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omments1.xml" ContentType="application/vnd.openxmlformats-officedocument.spreadsheetml.comments+xml"/>
  <Override PartName="/xl/pivotTables/pivotTable2.xml" ContentType="application/vnd.openxmlformats-officedocument.spreadsheetml.pivotTable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64011"/>
  <mc:AlternateContent xmlns:mc="http://schemas.openxmlformats.org/markup-compatibility/2006">
    <mc:Choice Requires="x15">
      <x15ac:absPath xmlns:x15ac="http://schemas.microsoft.com/office/spreadsheetml/2010/11/ac" url="S:\2022_tervezés\1-2-es tábla\"/>
    </mc:Choice>
  </mc:AlternateContent>
  <bookViews>
    <workbookView xWindow="0" yWindow="0" windowWidth="28800" windowHeight="11856" tabRatio="628" firstSheet="1" activeTab="1"/>
  </bookViews>
  <sheets>
    <sheet name="SAP rögzítés" sheetId="53" state="hidden" r:id="rId1"/>
    <sheet name="1 kari főtábla" sheetId="16" r:id="rId2"/>
    <sheet name="1 b felosztások" sheetId="17" r:id="rId3"/>
    <sheet name="2 források és kiadások" sheetId="23" r:id="rId4"/>
    <sheet name="3a bevételek" sheetId="55" r:id="rId5"/>
    <sheet name="3b képzési bevételek" sheetId="56" r:id="rId6"/>
    <sheet name="4. melléklet" sheetId="57" r:id="rId7"/>
    <sheet name="5. melléklet" sheetId="60" r:id="rId8"/>
    <sheet name="6. melléklet" sheetId="59" r:id="rId9"/>
    <sheet name="7. melléklet" sheetId="61" r:id="rId10"/>
    <sheet name="8 pályázat elszámolásköteles" sheetId="58" r:id="rId11"/>
    <sheet name="Bevétel 2a SZH 2022" sheetId="44" r:id="rId12"/>
    <sheet name="Kiadások 2a SZH 2022" sheetId="45" r:id="rId13"/>
    <sheet name="22.b2" sheetId="30" r:id="rId14"/>
    <sheet name="22.b3" sheetId="31" r:id="rId15"/>
    <sheet name="14.b" sheetId="29" r:id="rId16"/>
    <sheet name="14.c" sheetId="28" r:id="rId17"/>
    <sheet name="10." sheetId="27" r:id="rId18"/>
    <sheet name="3.a" sheetId="26" r:id="rId19"/>
    <sheet name="3.a SH itt lévő-nem lévő bontás" sheetId="62" r:id="rId20"/>
    <sheet name="Munka4" sheetId="49" state="hidden" r:id="rId21"/>
    <sheet name="Neptun sz.e." sheetId="32" r:id="rId22"/>
    <sheet name="Tervezés" sheetId="24" r:id="rId23"/>
    <sheet name="7." sheetId="36" r:id="rId24"/>
    <sheet name="7d űrlapsoros tervezéshez" sheetId="54" r:id="rId25"/>
    <sheet name="12." sheetId="35" r:id="rId26"/>
    <sheet name="12.c - folyórat" sheetId="38" r:id="rId27"/>
    <sheet name="12.c- EISZ" sheetId="39" r:id="rId28"/>
    <sheet name="20." sheetId="33" r:id="rId29"/>
    <sheet name="Munka2" sheetId="47" state="hidden" r:id="rId30"/>
    <sheet name="16" sheetId="63" r:id="rId31"/>
    <sheet name="11." sheetId="37" r:id="rId32"/>
    <sheet name="2022. tervsor" sheetId="25" r:id="rId33"/>
    <sheet name="Bevétel 2a 2022" sheetId="12" r:id="rId34"/>
    <sheet name="Kiadások 2a 2022" sheetId="14" r:id="rId35"/>
    <sheet name="19." sheetId="34" r:id="rId36"/>
    <sheet name="2a" sheetId="22" r:id="rId37"/>
    <sheet name="hallgatói létszámanalitika_NP_" sheetId="64" r:id="rId38"/>
  </sheets>
  <externalReferences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</externalReferences>
  <definedNames>
    <definedName name="_xlnm._FilterDatabase" localSheetId="1" hidden="1">'1 kari főtábla'!$A$1:$BP$1</definedName>
    <definedName name="_xlnm._FilterDatabase" localSheetId="32" hidden="1">'2022. tervsor'!$A$1:$Y$1</definedName>
    <definedName name="_xlnm._FilterDatabase" localSheetId="14" hidden="1">'22.b3'!$A$9:$K$284</definedName>
    <definedName name="_xlnm._FilterDatabase" localSheetId="23" hidden="1">'7.'!$A$3:$P$75</definedName>
    <definedName name="_xlnm._FilterDatabase" localSheetId="24" hidden="1">'7d űrlapsoros tervezéshez'!$A$6:$EI$49</definedName>
    <definedName name="_xlnm._FilterDatabase" localSheetId="11" hidden="1">'Bevétel 2a SZH 2022'!$A$1:$M$76</definedName>
    <definedName name="_xlnm._FilterDatabase" localSheetId="21" hidden="1">'Neptun sz.e.'!$A$1:$G$371</definedName>
    <definedName name="_xlnm._FilterDatabase" localSheetId="0" hidden="1">'SAP rögzítés'!$A$6:$U$233</definedName>
    <definedName name="a" localSheetId="6">[1]kv.várható.köz.2001!$A$1:$A$65536,[1]kv.várható.köz.2001!$A$1:$IV$1</definedName>
    <definedName name="a" localSheetId="7">[1]kv.várható.köz.2001!$A$1:$A$65536,[1]kv.várható.köz.2001!$A$1:$IV$1</definedName>
    <definedName name="a" localSheetId="9">[1]kv.várható.köz.2001!$A$1:$A$65536,[1]kv.várható.köz.2001!$A$1:$IV$1</definedName>
    <definedName name="a" localSheetId="24">#REF!</definedName>
    <definedName name="a" localSheetId="10">[1]kv.várható.köz.2001!$A$1:$A$65536,[1]kv.várható.köz.2001!$A$1:$IV$1</definedName>
    <definedName name="a">[2]kv.várható.köz.2001!$A$1:$A$65536,[2]kv.várható.köz.2001!$A$1:$IV$1</definedName>
    <definedName name="A15001_16_ÁJK_üzemeltetés">[3]munkaszám!$A$1:$A$33</definedName>
    <definedName name="as" localSheetId="30">#REF!</definedName>
    <definedName name="as" localSheetId="19">#REF!</definedName>
    <definedName name="as" localSheetId="24">#REF!</definedName>
    <definedName name="as">#REF!</definedName>
    <definedName name="asasdasdasd" localSheetId="30">OFFSET(#REF!,0,0,COUNTA(#REF!),1)</definedName>
    <definedName name="asasdasdasd" localSheetId="19">OFFSET(#REF!,0,0,COUNTA(#REF!),1)</definedName>
    <definedName name="asasdasdasd" localSheetId="24">OFFSET(#REF!,0,0,COUNTA(#REF!),1)</definedName>
    <definedName name="asasdasdasd">OFFSET(#REF!,0,0,COUNTA(#REF!),1)</definedName>
    <definedName name="asdsad" localSheetId="30">#REF!</definedName>
    <definedName name="asdsad" localSheetId="19">#REF!</definedName>
    <definedName name="asdsad" localSheetId="24">#REF!</definedName>
    <definedName name="asdsad">#REF!</definedName>
    <definedName name="bankszamlaszam" localSheetId="30">OFFSET(#REF!,0,0,COUNTA(#REF!),1)</definedName>
    <definedName name="bankszamlaszam" localSheetId="19">OFFSET(#REF!,0,0,COUNTA(#REF!),1)</definedName>
    <definedName name="bankszamlaszam" localSheetId="24">OFFSET(#REF!,0,0,COUNTA(#REF!),1)</definedName>
    <definedName name="bankszamlaszam">OFFSET(#REF!,0,0,COUNTA(#REF!),1)</definedName>
    <definedName name="beszerzés" localSheetId="24">OFFSET('[4]háttér adatbázis'!$A$1,0,0,COUNTA('[4]háttér adatbázis'!#REF!),5)</definedName>
    <definedName name="beszerzés">OFFSET('[4]háttér adatbázis'!$A$1,0,0,COUNTA('[4]háttér adatbázis'!#REF!),5)</definedName>
    <definedName name="Cím">'[4]háttér adatbázis'!$H$3:$H$95</definedName>
    <definedName name="DATA1" localSheetId="30">#REF!</definedName>
    <definedName name="DATA1" localSheetId="19">#REF!</definedName>
    <definedName name="DATA1" localSheetId="24">#REF!</definedName>
    <definedName name="DATA1">#REF!</definedName>
    <definedName name="DATA10" localSheetId="30">#REF!</definedName>
    <definedName name="DATA10" localSheetId="19">#REF!</definedName>
    <definedName name="DATA10" localSheetId="24">#REF!</definedName>
    <definedName name="DATA10">#REF!</definedName>
    <definedName name="DATA11" localSheetId="30">#REF!</definedName>
    <definedName name="DATA11" localSheetId="19">#REF!</definedName>
    <definedName name="DATA11" localSheetId="24">#REF!</definedName>
    <definedName name="DATA11">#REF!</definedName>
    <definedName name="DATA12" localSheetId="30">#REF!</definedName>
    <definedName name="DATA12" localSheetId="19">#REF!</definedName>
    <definedName name="DATA12" localSheetId="24">#REF!</definedName>
    <definedName name="DATA12">#REF!</definedName>
    <definedName name="DATA13" localSheetId="30">#REF!</definedName>
    <definedName name="DATA13" localSheetId="19">#REF!</definedName>
    <definedName name="DATA13" localSheetId="24">#REF!</definedName>
    <definedName name="DATA13">#REF!</definedName>
    <definedName name="DATA14" localSheetId="30">#REF!</definedName>
    <definedName name="DATA14" localSheetId="19">#REF!</definedName>
    <definedName name="DATA14" localSheetId="24">#REF!</definedName>
    <definedName name="DATA14">#REF!</definedName>
    <definedName name="DATA2" localSheetId="30">#REF!</definedName>
    <definedName name="DATA2" localSheetId="19">#REF!</definedName>
    <definedName name="DATA2" localSheetId="24">#REF!</definedName>
    <definedName name="DATA2">#REF!</definedName>
    <definedName name="DATA3" localSheetId="30">#REF!</definedName>
    <definedName name="DATA3" localSheetId="19">#REF!</definedName>
    <definedName name="DATA3" localSheetId="24">#REF!</definedName>
    <definedName name="DATA3">#REF!</definedName>
    <definedName name="DATA4" localSheetId="30">#REF!</definedName>
    <definedName name="DATA4" localSheetId="19">#REF!</definedName>
    <definedName name="DATA4" localSheetId="24">#REF!</definedName>
    <definedName name="DATA4">#REF!</definedName>
    <definedName name="DATA5" localSheetId="30">#REF!</definedName>
    <definedName name="DATA5" localSheetId="19">#REF!</definedName>
    <definedName name="DATA5" localSheetId="24">#REF!</definedName>
    <definedName name="DATA5">#REF!</definedName>
    <definedName name="DATA6" localSheetId="30">#REF!</definedName>
    <definedName name="DATA6" localSheetId="19">#REF!</definedName>
    <definedName name="DATA6" localSheetId="24">#REF!</definedName>
    <definedName name="DATA6">#REF!</definedName>
    <definedName name="DATA7" localSheetId="30">#REF!</definedName>
    <definedName name="DATA7" localSheetId="19">#REF!</definedName>
    <definedName name="DATA7" localSheetId="24">#REF!</definedName>
    <definedName name="DATA7">#REF!</definedName>
    <definedName name="DATA8" localSheetId="30">#REF!</definedName>
    <definedName name="DATA8" localSheetId="19">#REF!</definedName>
    <definedName name="DATA8" localSheetId="24">#REF!</definedName>
    <definedName name="DATA8">#REF!</definedName>
    <definedName name="DATA9" localSheetId="30">#REF!</definedName>
    <definedName name="DATA9" localSheetId="19">#REF!</definedName>
    <definedName name="DATA9" localSheetId="24">#REF!</definedName>
    <definedName name="DATA9">#REF!</definedName>
    <definedName name="ee">'[5]háttér adatbázis'!$M$2:$M$9</definedName>
    <definedName name="eee" localSheetId="6">[1]kv.várható.köz.2001!$A$1:$A$65536,[1]kv.várható.köz.2001!$A$1:$IV$1</definedName>
    <definedName name="eee" localSheetId="7">[1]kv.várható.köz.2001!$A$1:$A$65536,[1]kv.várható.köz.2001!$A$1:$IV$1</definedName>
    <definedName name="eee" localSheetId="9">[1]kv.várható.köz.2001!$A$1:$A$65536,[1]kv.várható.köz.2001!$A$1:$IV$1</definedName>
    <definedName name="eee" localSheetId="10">[1]kv.várható.köz.2001!$A$1:$A$65536,[1]kv.várható.köz.2001!$A$1:$IV$1</definedName>
    <definedName name="eee">[2]kv.várható.köz.2001!$A$1:$A$65536,[2]kv.várható.köz.2001!$A$1:$IV$1</definedName>
    <definedName name="előirányzat" localSheetId="24">OFFSET('[4]háttér adatbázis'!$A$1,0,0,COUNTA('[4]háttér adatbázis'!#REF!),5)</definedName>
    <definedName name="előirányzat">OFFSET('[4]háttér adatbázis'!$A$1,0,0,COUNTA('[4]háttér adatbázis'!#REF!),5)</definedName>
    <definedName name="Energianemek">'[4]háttér adatbázis'!$M$2:$M$8</definedName>
    <definedName name="épületek">[6]épületek!$F$3:$F$78</definedName>
    <definedName name="Épületkód">[7]kódok!$A$1:$A$65536</definedName>
    <definedName name="épületkódok">'[8]Új cím'!$A$7:$A$149</definedName>
    <definedName name="eseti">[9]technikai!$A$1:$A$2</definedName>
    <definedName name="ffff" localSheetId="6" hidden="1">[1]kv.várható.köz.2001!$A$1:$A$65536,[1]kv.várható.köz.2001!$A$1:$IV$1</definedName>
    <definedName name="ffff" localSheetId="7" hidden="1">[1]kv.várható.köz.2001!$A$1:$A$65536,[1]kv.várható.köz.2001!$A$1:$IV$1</definedName>
    <definedName name="ffff" localSheetId="9" hidden="1">[1]kv.várható.köz.2001!$A$1:$A$65536,[1]kv.várható.köz.2001!$A$1:$IV$1</definedName>
    <definedName name="ffff" localSheetId="10" hidden="1">[1]kv.várható.köz.2001!$A$1:$A$65536,[1]kv.várható.köz.2001!$A$1:$IV$1</definedName>
    <definedName name="ffff" hidden="1">[2]kv.várható.köz.2001!$A$1:$A$65536,[2]kv.várható.köz.2001!$A$1:$IV$1</definedName>
    <definedName name="fs" localSheetId="30">OFFSET(#REF!,0,0,COUNTA(#REF!),1)</definedName>
    <definedName name="fs" localSheetId="19">OFFSET(#REF!,0,0,COUNTA(#REF!),1)</definedName>
    <definedName name="fs" localSheetId="24">OFFSET(#REF!,0,0,COUNTA(#REF!),1)</definedName>
    <definedName name="fs">OFFSET(#REF!,0,0,COUNTA(#REF!),1)</definedName>
    <definedName name="gyakoriság">[9]technikai!$C$1:$C$6</definedName>
    <definedName name="júl">'[4]háttér adatbázis'!$H$3:$H$95</definedName>
    <definedName name="kata" localSheetId="30">#REF!</definedName>
    <definedName name="kata" localSheetId="19">#REF!</definedName>
    <definedName name="kata" localSheetId="24">#REF!</definedName>
    <definedName name="kata">#REF!</definedName>
    <definedName name="kkk" localSheetId="6">[1]kv.várható.köz.2001!$A$1:$A$65536,[1]kv.várható.köz.2001!$A$1:$IV$1</definedName>
    <definedName name="kkk" localSheetId="7">[1]kv.várható.köz.2001!$A$1:$A$65536,[1]kv.várható.köz.2001!$A$1:$IV$1</definedName>
    <definedName name="kkk" localSheetId="9">[1]kv.várható.köz.2001!$A$1:$A$65536,[1]kv.várható.köz.2001!$A$1:$IV$1</definedName>
    <definedName name="kkk" localSheetId="24">OFFSET(#REF!,0,0,COUNTA(#REF!),1)</definedName>
    <definedName name="kkk" localSheetId="10">[1]kv.várható.köz.2001!$A$1:$A$65536,[1]kv.várható.köz.2001!$A$1:$IV$1</definedName>
    <definedName name="kkk">[2]kv.várható.köz.2001!$A$1:$A$65536,[2]kv.várható.köz.2001!$A$1:$IV$1</definedName>
    <definedName name="KKK_KO_2015" localSheetId="6">[1]kv.várható.köz.2001!$A$1:$A$65536,[1]kv.várható.köz.2001!$A$1:$IV$1</definedName>
    <definedName name="KKK_KO_2015" localSheetId="7">[1]kv.várható.köz.2001!$A$1:$A$65536,[1]kv.várható.köz.2001!$A$1:$IV$1</definedName>
    <definedName name="KKK_KO_2015" localSheetId="9">[1]kv.várható.köz.2001!$A$1:$A$65536,[1]kv.várható.köz.2001!$A$1:$IV$1</definedName>
    <definedName name="KKK_KO_2015" localSheetId="10">[1]kv.várható.köz.2001!$A$1:$A$65536,[1]kv.várható.köz.2001!$A$1:$IV$1</definedName>
    <definedName name="KKK_KO_2015">[2]kv.várható.köz.2001!$A$1:$A$65536,[2]kv.várható.köz.2001!$A$1:$IV$1</definedName>
    <definedName name="kód" localSheetId="30">#REF!</definedName>
    <definedName name="kód" localSheetId="19">#REF!</definedName>
    <definedName name="kód" localSheetId="24">#REF!</definedName>
    <definedName name="kód">#REF!</definedName>
    <definedName name="Kognitiv_ELUP">[10]ELUP!$A$751:$A$756</definedName>
    <definedName name="kötelező">[9]technikai!$D$1:$D$2</definedName>
    <definedName name="közbesz" localSheetId="30">OFFSET(#REF!,0,0,COUNTA(#REF!),1)</definedName>
    <definedName name="közbesz" localSheetId="19">OFFSET(#REF!,0,0,COUNTA(#REF!),1)</definedName>
    <definedName name="közbesz" localSheetId="24">OFFSET(#REF!,0,0,COUNTA(#REF!),1)</definedName>
    <definedName name="közbesz">OFFSET(#REF!,0,0,COUNTA(#REF!),1)</definedName>
    <definedName name="levezetés" localSheetId="6">[1]kv.várható.köz.2001!$A$1:$A$65536,[1]kv.várható.köz.2001!$A$1:$IV$1</definedName>
    <definedName name="levezetés" localSheetId="7">[1]kv.várható.köz.2001!$A$1:$A$65536,[1]kv.várható.köz.2001!$A$1:$IV$1</definedName>
    <definedName name="levezetés" localSheetId="9">[1]kv.várható.köz.2001!$A$1:$A$65536,[1]kv.várható.köz.2001!$A$1:$IV$1</definedName>
    <definedName name="levezetés" localSheetId="10">[1]kv.várható.köz.2001!$A$1:$A$65536,[1]kv.várható.köz.2001!$A$1:$IV$1</definedName>
    <definedName name="levezetés">[2]kv.várható.köz.2001!$A$1:$A$65536,[2]kv.várható.köz.2001!$A$1:$IV$1</definedName>
    <definedName name="maradványok" localSheetId="6">[1]kv.várható.köz.2001!$A$1:$A$65536,[1]kv.várható.köz.2001!$A$1:$IV$1</definedName>
    <definedName name="maradványok" localSheetId="7">[1]kv.várható.köz.2001!$A$1:$A$65536,[1]kv.várható.köz.2001!$A$1:$IV$1</definedName>
    <definedName name="maradványok" localSheetId="9">[1]kv.várható.köz.2001!$A$1:$A$65536,[1]kv.várható.köz.2001!$A$1:$IV$1</definedName>
    <definedName name="maradványok" localSheetId="10">[1]kv.várható.köz.2001!$A$1:$A$65536,[1]kv.várható.köz.2001!$A$1:$IV$1</definedName>
    <definedName name="maradványok">[2]kv.várható.köz.2001!$A$1:$A$65536,[2]kv.várható.köz.2001!$A$1:$IV$1</definedName>
    <definedName name="Mértékegység">[11]Key!$D$2:$D$3</definedName>
    <definedName name="munka" localSheetId="30">#REF!</definedName>
    <definedName name="munka" localSheetId="19">#REF!</definedName>
    <definedName name="munka" localSheetId="24">#REF!</definedName>
    <definedName name="munka">#REF!</definedName>
    <definedName name="munka_2" localSheetId="30">#REF!</definedName>
    <definedName name="munka_2" localSheetId="19">#REF!</definedName>
    <definedName name="munka_2" localSheetId="24">#REF!</definedName>
    <definedName name="munka_2">#REF!</definedName>
    <definedName name="Munkaszámok" localSheetId="24">#REF!</definedName>
    <definedName name="munkaszámok">[12]munkaszám!$A$1:$A$35</definedName>
    <definedName name="_xlnm.Print_Titles" localSheetId="6">[1]kv.várható.köz.2001!$A$1:$A$65536,[1]kv.várható.köz.2001!$A$1:$IV$1</definedName>
    <definedName name="_xlnm.Print_Titles" localSheetId="7">[1]kv.várható.köz.2001!$A$1:$A$65536,[1]kv.várható.köz.2001!$A$1:$IV$1</definedName>
    <definedName name="_xlnm.Print_Titles" localSheetId="9">[1]kv.várható.köz.2001!$A$1:$A$65536,[1]kv.várható.köz.2001!$A$1:$IV$1</definedName>
    <definedName name="_xlnm.Print_Titles" localSheetId="24">'7d űrlapsoros tervezéshez'!$A:$B,'7d űrlapsoros tervezéshez'!$2:$6</definedName>
    <definedName name="_xlnm.Print_Titles" localSheetId="10">'8 pályázat elszámolásköteles'!$A:$D,'8 pályázat elszámolásköteles'!$1:$7</definedName>
    <definedName name="_xlnm.Print_Titles">[2]kv.várható.köz.2001!$A$1:$A$65536,[2]kv.várható.köz.2001!$A$1:$IV$1</definedName>
    <definedName name="ok" localSheetId="30">#REF!</definedName>
    <definedName name="ok" localSheetId="19">#REF!</definedName>
    <definedName name="ok" localSheetId="24">#REF!</definedName>
    <definedName name="ok">#REF!</definedName>
    <definedName name="okok" localSheetId="30">OFFSET(#REF!,0,0,COUNTA(#REF!),1)</definedName>
    <definedName name="okok" localSheetId="19">OFFSET(#REF!,0,0,COUNTA(#REF!),1)</definedName>
    <definedName name="okok" localSheetId="24">OFFSET(#REF!,0,0,COUNTA(#REF!),1)</definedName>
    <definedName name="okok">OFFSET(#REF!,0,0,COUNTA(#REF!),1)</definedName>
    <definedName name="okokok" localSheetId="30">#REF!</definedName>
    <definedName name="okokok" localSheetId="19">#REF!</definedName>
    <definedName name="okokok" localSheetId="24">#REF!</definedName>
    <definedName name="okokok">#REF!</definedName>
    <definedName name="oszlopazonositok" localSheetId="30">OFFSET(#REF!,0,0,COUNTA(#REF!),2)</definedName>
    <definedName name="oszlopazonositok" localSheetId="19">OFFSET(#REF!,0,0,COUNTA(#REF!),2)</definedName>
    <definedName name="oszlopazonositok" localSheetId="24">OFFSET(#REF!,0,0,COUNTA(#REF!),2)</definedName>
    <definedName name="oszlopazonositok">OFFSET(#REF!,0,0,COUNTA(#REF!),2)</definedName>
    <definedName name="Pályázatok" localSheetId="30">#REF!</definedName>
    <definedName name="Pályázatok" localSheetId="19">#REF!</definedName>
    <definedName name="Pályázatok" localSheetId="8">#REF!</definedName>
    <definedName name="Pályázatok" localSheetId="24">#REF!</definedName>
    <definedName name="Pályázatok">#REF!</definedName>
    <definedName name="rt" localSheetId="30">#REF!</definedName>
    <definedName name="rt" localSheetId="19">#REF!</definedName>
    <definedName name="rt" localSheetId="24">#REF!</definedName>
    <definedName name="rt">#REF!</definedName>
    <definedName name="szallitok" localSheetId="24">OFFSET('[4]háttér adatbázis'!$A$1,0,0,COUNTA('[4]háttér adatbázis'!#REF!),5)</definedName>
    <definedName name="szallitok">OFFSET('[4]háttér adatbázis'!$A$1,0,0,COUNTA('[4]háttér adatbázis'!#REF!),5)</definedName>
    <definedName name="szamlatipusok" localSheetId="24">OFFSET('[4]háttér adatbázis'!$Y$2,0,0,COUNTA('[4]háttér adatbázis'!#REF!)-1,1)</definedName>
    <definedName name="szamlatipusok">OFFSET('[4]háttér adatbázis'!$Y$2,0,0,COUNTA('[4]háttér adatbázis'!#REF!)-1,1)</definedName>
    <definedName name="Szerződés_típusok" localSheetId="30">#REF!</definedName>
    <definedName name="Szerződés_típusok" localSheetId="19">#REF!</definedName>
    <definedName name="Szerződés_típusok" localSheetId="8">#REF!</definedName>
    <definedName name="Szerződés_típusok" localSheetId="24">#REF!</definedName>
    <definedName name="Szerződés_típusok">#REF!</definedName>
    <definedName name="Szerződéstípus" localSheetId="30">#REF!</definedName>
    <definedName name="Szerződéstípus" localSheetId="19">#REF!</definedName>
    <definedName name="Szerződéstípus" localSheetId="8">#REF!</definedName>
    <definedName name="Szerződéstípus" localSheetId="24">#REF!</definedName>
    <definedName name="Szerződéstípus">#REF!</definedName>
    <definedName name="Szerződéstípusok" localSheetId="30">#REF!</definedName>
    <definedName name="Szerződéstípusok" localSheetId="19">#REF!</definedName>
    <definedName name="Szerződéstípusok" localSheetId="8">#REF!</definedName>
    <definedName name="Szerződéstípusok" localSheetId="24">#REF!</definedName>
    <definedName name="Szerződéstípusok">#REF!</definedName>
    <definedName name="Tagozat" localSheetId="30">#REF!</definedName>
    <definedName name="Tagozat" localSheetId="19">#REF!</definedName>
    <definedName name="Tagozat" localSheetId="8">#REF!</definedName>
    <definedName name="Tagozat" localSheetId="24">#REF!</definedName>
    <definedName name="Tagozat">#REF!</definedName>
    <definedName name="Tagozat_" localSheetId="30">#REF!</definedName>
    <definedName name="Tagozat_" localSheetId="19">#REF!</definedName>
    <definedName name="Tagozat_" localSheetId="8">#REF!</definedName>
    <definedName name="Tagozat_" localSheetId="24">#REF!</definedName>
    <definedName name="Tagozat_">#REF!</definedName>
    <definedName name="Tagozat_2018" localSheetId="30">#REF!</definedName>
    <definedName name="Tagozat_2018" localSheetId="19">#REF!</definedName>
    <definedName name="Tagozat_2018" localSheetId="8">#REF!</definedName>
    <definedName name="Tagozat_2018" localSheetId="24">#REF!</definedName>
    <definedName name="Tagozat_2018">#REF!</definedName>
    <definedName name="Tagozat_2019">'[13]Általános testnevelés'!$AB$5:$AB$12</definedName>
    <definedName name="TEST1" localSheetId="30">#REF!</definedName>
    <definedName name="TEST1" localSheetId="19">#REF!</definedName>
    <definedName name="TEST1" localSheetId="24">#REF!</definedName>
    <definedName name="TEST1">#REF!</definedName>
    <definedName name="TESTHKEY" localSheetId="30">#REF!</definedName>
    <definedName name="TESTHKEY" localSheetId="19">#REF!</definedName>
    <definedName name="TESTHKEY" localSheetId="24">#REF!</definedName>
    <definedName name="TESTHKEY">#REF!</definedName>
    <definedName name="TESTKEYS" localSheetId="30">#REF!</definedName>
    <definedName name="TESTKEYS" localSheetId="19">#REF!</definedName>
    <definedName name="TESTKEYS" localSheetId="24">#REF!</definedName>
    <definedName name="TESTKEYS">#REF!</definedName>
    <definedName name="TESTVKEY" localSheetId="30">#REF!</definedName>
    <definedName name="TESTVKEY" localSheetId="19">#REF!</definedName>
    <definedName name="TESTVKEY" localSheetId="24">#REF!</definedName>
    <definedName name="TESTVKEY">#REF!</definedName>
    <definedName name="tevékenység">[14]tevékenységek!$H$2:$H$112</definedName>
    <definedName name="Visszaigazolt" localSheetId="30">#REF!</definedName>
    <definedName name="Visszaigazolt" localSheetId="19">#REF!</definedName>
    <definedName name="Visszaigazolt" localSheetId="24">#REF!</definedName>
    <definedName name="Visszaigazolt">#REF!</definedName>
    <definedName name="ww">'[5]háttér adatbázis'!$M$2:$M$9</definedName>
    <definedName name="Z_39F0D880_D4B9_11D3_8202_0000F8086450_.wvu.PrintTitles" localSheetId="6" hidden="1">[1]kv.várható.köz.2001!$A$1:$A$65536,[1]kv.várható.köz.2001!$A$1:$IV$1</definedName>
    <definedName name="Z_39F0D880_D4B9_11D3_8202_0000F8086450_.wvu.PrintTitles" localSheetId="7" hidden="1">[1]kv.várható.köz.2001!$A$1:$A$65536,[1]kv.várható.köz.2001!$A$1:$IV$1</definedName>
    <definedName name="Z_39F0D880_D4B9_11D3_8202_0000F8086450_.wvu.PrintTitles" localSheetId="9" hidden="1">[1]kv.várható.köz.2001!$A$1:$A$65536,[1]kv.várható.köz.2001!$A$1:$IV$1</definedName>
    <definedName name="Z_39F0D880_D4B9_11D3_8202_0000F8086450_.wvu.PrintTitles" localSheetId="10" hidden="1">[1]kv.várható.köz.2001!$A$1:$A$65536,[1]kv.várható.köz.2001!$A$1:$IV$1</definedName>
    <definedName name="Z_39F0D880_D4B9_11D3_8202_0000F8086450_.wvu.PrintTitles" hidden="1">[2]kv.várható.köz.2001!$A$1:$A$65536,[2]kv.várható.köz.2001!$A$1:$IV$1</definedName>
  </definedNames>
  <calcPr calcId="162913"/>
  <pivotCaches>
    <pivotCache cacheId="0" r:id="rId53"/>
    <pivotCache cacheId="1" r:id="rId54"/>
    <pivotCache cacheId="2" r:id="rId55"/>
    <pivotCache cacheId="3" r:id="rId56"/>
  </pivotCaches>
</workbook>
</file>

<file path=xl/calcChain.xml><?xml version="1.0" encoding="utf-8"?>
<calcChain xmlns="http://schemas.openxmlformats.org/spreadsheetml/2006/main">
  <c r="AF508" i="16" l="1"/>
  <c r="AG508" i="16"/>
  <c r="AH508" i="16"/>
  <c r="AI508" i="16"/>
  <c r="AJ508" i="16"/>
  <c r="AK508" i="16"/>
  <c r="AL508" i="16"/>
  <c r="AM508" i="16"/>
  <c r="AN508" i="16"/>
  <c r="AO508" i="16"/>
  <c r="AP508" i="16"/>
  <c r="AQ508" i="16"/>
  <c r="AR508" i="16"/>
  <c r="AS508" i="16"/>
  <c r="AT508" i="16"/>
  <c r="AU508" i="16"/>
  <c r="AV508" i="16"/>
  <c r="AW508" i="16"/>
  <c r="AX508" i="16"/>
  <c r="AY508" i="16"/>
  <c r="AZ508" i="16"/>
  <c r="BA508" i="16"/>
  <c r="BB508" i="16"/>
  <c r="BC508" i="16"/>
  <c r="BD508" i="16"/>
  <c r="BE508" i="16"/>
  <c r="BF508" i="16"/>
  <c r="BG508" i="16"/>
  <c r="BH508" i="16"/>
  <c r="AC521" i="16"/>
  <c r="L521" i="16" s="1"/>
  <c r="Z519" i="16"/>
  <c r="Y519" i="16"/>
  <c r="R510" i="16"/>
  <c r="T510" i="16"/>
  <c r="N519" i="16"/>
  <c r="BL522" i="16"/>
  <c r="BJ522" i="16"/>
  <c r="J521" i="16" l="1"/>
  <c r="K521" i="16" s="1"/>
  <c r="AC519" i="16"/>
  <c r="AC185" i="16"/>
  <c r="AA185" i="16"/>
  <c r="AA191" i="16"/>
  <c r="D23" i="55" l="1"/>
  <c r="F36" i="55" l="1"/>
  <c r="E36" i="55"/>
  <c r="D35" i="55"/>
  <c r="D34" i="55"/>
  <c r="D33" i="55"/>
  <c r="D32" i="55"/>
  <c r="D20" i="55"/>
  <c r="D13" i="55"/>
  <c r="W27" i="59"/>
  <c r="W28" i="59"/>
  <c r="W29" i="59"/>
  <c r="W30" i="59"/>
  <c r="W31" i="59"/>
  <c r="W32" i="59"/>
  <c r="W33" i="59"/>
  <c r="D36" i="55" l="1"/>
  <c r="D39" i="55" s="1"/>
  <c r="D43" i="55"/>
  <c r="R33" i="59"/>
  <c r="U33" i="59" s="1"/>
  <c r="E33" i="59"/>
  <c r="F24" i="59"/>
  <c r="H24" i="59"/>
  <c r="I24" i="59"/>
  <c r="J24" i="59"/>
  <c r="K24" i="59"/>
  <c r="L24" i="59"/>
  <c r="M24" i="59"/>
  <c r="N24" i="59"/>
  <c r="O24" i="59"/>
  <c r="P24" i="59"/>
  <c r="S24" i="59"/>
  <c r="V24" i="59"/>
  <c r="E24" i="59"/>
  <c r="V4" i="59"/>
  <c r="F4" i="59"/>
  <c r="G4" i="59"/>
  <c r="H4" i="59"/>
  <c r="I4" i="59"/>
  <c r="J4" i="59"/>
  <c r="K4" i="59"/>
  <c r="L4" i="59"/>
  <c r="M4" i="59"/>
  <c r="N4" i="59"/>
  <c r="O4" i="59"/>
  <c r="P4" i="59"/>
  <c r="S4" i="59"/>
  <c r="M27" i="58" l="1"/>
  <c r="L27" i="58"/>
  <c r="K27" i="58"/>
  <c r="J27" i="58"/>
  <c r="H27" i="58"/>
  <c r="G27" i="58"/>
  <c r="F27" i="58"/>
  <c r="E27" i="58"/>
  <c r="N26" i="58"/>
  <c r="I26" i="58"/>
  <c r="O26" i="58" s="1"/>
  <c r="N25" i="58"/>
  <c r="I25" i="58"/>
  <c r="O25" i="58" s="1"/>
  <c r="N24" i="58"/>
  <c r="I24" i="58"/>
  <c r="O24" i="58" s="1"/>
  <c r="N23" i="58"/>
  <c r="I23" i="58"/>
  <c r="O23" i="58" s="1"/>
  <c r="N22" i="58"/>
  <c r="I22" i="58"/>
  <c r="O22" i="58" s="1"/>
  <c r="N21" i="58"/>
  <c r="I21" i="58"/>
  <c r="N20" i="58"/>
  <c r="I20" i="58"/>
  <c r="N19" i="58"/>
  <c r="I19" i="58"/>
  <c r="O19" i="58" s="1"/>
  <c r="N18" i="58"/>
  <c r="I18" i="58"/>
  <c r="O18" i="58" s="1"/>
  <c r="M15" i="58"/>
  <c r="L15" i="58"/>
  <c r="K15" i="58"/>
  <c r="J15" i="58"/>
  <c r="H15" i="58"/>
  <c r="G15" i="58"/>
  <c r="F15" i="58"/>
  <c r="E15" i="58"/>
  <c r="N14" i="58"/>
  <c r="I14" i="58"/>
  <c r="N13" i="58"/>
  <c r="O13" i="58" s="1"/>
  <c r="I13" i="58"/>
  <c r="N12" i="58"/>
  <c r="I12" i="58"/>
  <c r="N11" i="58"/>
  <c r="I11" i="58"/>
  <c r="N10" i="58"/>
  <c r="I10" i="58"/>
  <c r="N9" i="58"/>
  <c r="I9" i="58"/>
  <c r="O9" i="58" s="1"/>
  <c r="O14" i="58" l="1"/>
  <c r="I15" i="58"/>
  <c r="O20" i="58"/>
  <c r="N15" i="58"/>
  <c r="O11" i="58"/>
  <c r="O21" i="58"/>
  <c r="O12" i="58"/>
  <c r="I27" i="58"/>
  <c r="N27" i="58"/>
  <c r="O27" i="58"/>
  <c r="O10" i="58"/>
  <c r="O15" i="58" l="1"/>
  <c r="K21" i="56"/>
  <c r="H21" i="56"/>
  <c r="M21" i="56" s="1"/>
  <c r="K20" i="56"/>
  <c r="H20" i="56"/>
  <c r="M20" i="56" s="1"/>
  <c r="K19" i="56"/>
  <c r="H19" i="56"/>
  <c r="K18" i="56"/>
  <c r="H18" i="56"/>
  <c r="M18" i="56" s="1"/>
  <c r="K17" i="56"/>
  <c r="H17" i="56"/>
  <c r="M17" i="56" s="1"/>
  <c r="K16" i="56"/>
  <c r="H16" i="56"/>
  <c r="M16" i="56" s="1"/>
  <c r="K15" i="56"/>
  <c r="H15" i="56"/>
  <c r="M15" i="56" s="1"/>
  <c r="K14" i="56"/>
  <c r="H14" i="56"/>
  <c r="M14" i="56" s="1"/>
  <c r="K13" i="56"/>
  <c r="H13" i="56"/>
  <c r="K12" i="56"/>
  <c r="H12" i="56"/>
  <c r="K11" i="56"/>
  <c r="H11" i="56"/>
  <c r="M11" i="56" s="1"/>
  <c r="K10" i="56"/>
  <c r="H10" i="56"/>
  <c r="M10" i="56" s="1"/>
  <c r="K9" i="56"/>
  <c r="H9" i="56"/>
  <c r="M9" i="56" s="1"/>
  <c r="K8" i="56"/>
  <c r="H8" i="56"/>
  <c r="M8" i="56" s="1"/>
  <c r="K7" i="56"/>
  <c r="H7" i="56"/>
  <c r="K6" i="56"/>
  <c r="H6" i="56"/>
  <c r="M6" i="56" s="1"/>
  <c r="K22" i="56" l="1"/>
  <c r="M13" i="56"/>
  <c r="M19" i="56"/>
  <c r="M12" i="56"/>
  <c r="M7" i="56"/>
  <c r="M22" i="56"/>
  <c r="H22" i="56"/>
  <c r="AC201" i="16" l="1"/>
  <c r="AF358" i="16" l="1"/>
  <c r="AC482" i="16" l="1"/>
  <c r="I26" i="16" l="1"/>
  <c r="L510" i="16" l="1"/>
  <c r="L511" i="16"/>
  <c r="L512" i="16"/>
  <c r="L513" i="16"/>
  <c r="L514" i="16"/>
  <c r="L515" i="16"/>
  <c r="L516" i="16"/>
  <c r="L517" i="16"/>
  <c r="L518" i="16"/>
  <c r="L519" i="16"/>
  <c r="J510" i="16"/>
  <c r="K510" i="16" s="1"/>
  <c r="J511" i="16"/>
  <c r="K511" i="16" s="1"/>
  <c r="J512" i="16"/>
  <c r="K512" i="16" s="1"/>
  <c r="J513" i="16"/>
  <c r="K513" i="16" s="1"/>
  <c r="J514" i="16"/>
  <c r="K514" i="16" s="1"/>
  <c r="J515" i="16"/>
  <c r="K515" i="16" s="1"/>
  <c r="J516" i="16"/>
  <c r="K516" i="16" s="1"/>
  <c r="J517" i="16"/>
  <c r="K517" i="16" s="1"/>
  <c r="J518" i="16"/>
  <c r="K518" i="16" s="1"/>
  <c r="J519" i="16"/>
  <c r="K519" i="16" s="1"/>
  <c r="AA202" i="16"/>
  <c r="AA201" i="16"/>
  <c r="AD192" i="16"/>
  <c r="AD194" i="16"/>
  <c r="Z202" i="16"/>
  <c r="Z201" i="16"/>
  <c r="V202" i="16"/>
  <c r="V201" i="16"/>
  <c r="O187" i="16"/>
  <c r="P187" i="16"/>
  <c r="Q187" i="16"/>
  <c r="R187" i="16"/>
  <c r="S187" i="16"/>
  <c r="T187" i="16"/>
  <c r="U187" i="16"/>
  <c r="W187" i="16"/>
  <c r="X187" i="16"/>
  <c r="Y187" i="16"/>
  <c r="N187" i="16"/>
  <c r="J18" i="36" l="1"/>
  <c r="I258" i="16"/>
  <c r="O195" i="16" l="1"/>
  <c r="P195" i="16"/>
  <c r="Q195" i="16"/>
  <c r="R195" i="16"/>
  <c r="S195" i="16"/>
  <c r="T195" i="16"/>
  <c r="U195" i="16"/>
  <c r="V195" i="16"/>
  <c r="W195" i="16"/>
  <c r="X195" i="16"/>
  <c r="Y195" i="16"/>
  <c r="Z195" i="16"/>
  <c r="AA195" i="16"/>
  <c r="AB195" i="16"/>
  <c r="AC195" i="16"/>
  <c r="AD195" i="16"/>
  <c r="N195" i="16"/>
  <c r="K196" i="16"/>
  <c r="K195" i="16"/>
  <c r="L195" i="16" l="1"/>
  <c r="AC184" i="16"/>
  <c r="AF184" i="16"/>
  <c r="AG184" i="16"/>
  <c r="AH184" i="16"/>
  <c r="AI184" i="16"/>
  <c r="AJ184" i="16"/>
  <c r="AK184" i="16"/>
  <c r="AL184" i="16"/>
  <c r="AM184" i="16"/>
  <c r="H196" i="16" l="1"/>
  <c r="AA164" i="16" l="1"/>
  <c r="N164" i="16" s="1"/>
  <c r="AA167" i="16"/>
  <c r="N167" i="16" s="1"/>
  <c r="Z167" i="16"/>
  <c r="Y167" i="16"/>
  <c r="X167" i="16"/>
  <c r="W167" i="16"/>
  <c r="V167" i="16"/>
  <c r="U167" i="16"/>
  <c r="T167" i="16"/>
  <c r="S167" i="16"/>
  <c r="R167" i="16"/>
  <c r="Q167" i="16"/>
  <c r="P167" i="16"/>
  <c r="O167" i="16"/>
  <c r="Z165" i="16"/>
  <c r="Y165" i="16"/>
  <c r="X165" i="16"/>
  <c r="W165" i="16"/>
  <c r="V165" i="16"/>
  <c r="U165" i="16"/>
  <c r="T165" i="16"/>
  <c r="S165" i="16"/>
  <c r="R165" i="16"/>
  <c r="Q165" i="16"/>
  <c r="P165" i="16"/>
  <c r="O165" i="16"/>
  <c r="Z164" i="16"/>
  <c r="Y164" i="16"/>
  <c r="X164" i="16"/>
  <c r="W164" i="16"/>
  <c r="V164" i="16"/>
  <c r="U164" i="16"/>
  <c r="T164" i="16"/>
  <c r="S164" i="16"/>
  <c r="R164" i="16"/>
  <c r="Q164" i="16"/>
  <c r="P164" i="16"/>
  <c r="O164" i="16"/>
  <c r="AF190" i="16" l="1"/>
  <c r="AE185" i="16"/>
  <c r="AE186" i="16"/>
  <c r="AD186" i="16"/>
  <c r="AD184" i="16" s="1"/>
  <c r="L197" i="16"/>
  <c r="J197" i="16"/>
  <c r="K197" i="16" s="1"/>
  <c r="H197" i="16"/>
  <c r="H194" i="16"/>
  <c r="AG190" i="16"/>
  <c r="AH190" i="16"/>
  <c r="AI190" i="16"/>
  <c r="AJ190" i="16"/>
  <c r="AK190" i="16"/>
  <c r="AL190" i="16"/>
  <c r="AM190" i="16"/>
  <c r="I190" i="16"/>
  <c r="BL192" i="16"/>
  <c r="H192" i="16"/>
  <c r="I193" i="16"/>
  <c r="AF193" i="16"/>
  <c r="AG193" i="16"/>
  <c r="AH193" i="16"/>
  <c r="AI193" i="16"/>
  <c r="AJ193" i="16"/>
  <c r="AK193" i="16"/>
  <c r="AL193" i="16"/>
  <c r="AM193" i="16"/>
  <c r="BL193" i="16"/>
  <c r="O186" i="16"/>
  <c r="P186" i="16"/>
  <c r="Q186" i="16"/>
  <c r="R186" i="16"/>
  <c r="S186" i="16"/>
  <c r="T186" i="16"/>
  <c r="U186" i="16"/>
  <c r="V186" i="16"/>
  <c r="W186" i="16"/>
  <c r="X186" i="16"/>
  <c r="Y186" i="16"/>
  <c r="Z186" i="16"/>
  <c r="N186" i="16"/>
  <c r="Q185" i="16"/>
  <c r="R185" i="16"/>
  <c r="S185" i="16"/>
  <c r="T185" i="16"/>
  <c r="U185" i="16"/>
  <c r="V185" i="16"/>
  <c r="W185" i="16"/>
  <c r="X185" i="16"/>
  <c r="Z185" i="16"/>
  <c r="V184" i="16" l="1"/>
  <c r="Z184" i="16"/>
  <c r="AM189" i="16"/>
  <c r="AE184" i="16"/>
  <c r="R36" i="59"/>
  <c r="R37" i="59"/>
  <c r="R35" i="59"/>
  <c r="Q36" i="59"/>
  <c r="U36" i="59" s="1"/>
  <c r="W36" i="59" s="1"/>
  <c r="Q37" i="59"/>
  <c r="Q35" i="59"/>
  <c r="E27" i="59"/>
  <c r="F27" i="59"/>
  <c r="G27" i="59"/>
  <c r="H27" i="59"/>
  <c r="I27" i="59"/>
  <c r="J27" i="59"/>
  <c r="K27" i="59"/>
  <c r="L27" i="59"/>
  <c r="M27" i="59"/>
  <c r="N27" i="59"/>
  <c r="O27" i="59"/>
  <c r="P27" i="59"/>
  <c r="Q27" i="59"/>
  <c r="T27" i="59"/>
  <c r="U27" i="59"/>
  <c r="U35" i="59" l="1"/>
  <c r="W35" i="59" s="1"/>
  <c r="U37" i="59"/>
  <c r="W37" i="59" s="1"/>
  <c r="F32" i="59"/>
  <c r="G32" i="59"/>
  <c r="H32" i="59"/>
  <c r="I32" i="59"/>
  <c r="J32" i="59"/>
  <c r="K32" i="59"/>
  <c r="L32" i="59"/>
  <c r="M32" i="59"/>
  <c r="N32" i="59"/>
  <c r="O32" i="59"/>
  <c r="P32" i="59"/>
  <c r="Q32" i="59"/>
  <c r="T32" i="59"/>
  <c r="W16" i="59"/>
  <c r="W14" i="59"/>
  <c r="W11" i="59"/>
  <c r="W8" i="59"/>
  <c r="W6" i="59"/>
  <c r="W34" i="59"/>
  <c r="T34" i="59"/>
  <c r="R34" i="59"/>
  <c r="Q34" i="59"/>
  <c r="P34" i="59"/>
  <c r="O34" i="59"/>
  <c r="N34" i="59"/>
  <c r="M34" i="59"/>
  <c r="L34" i="59"/>
  <c r="K34" i="59"/>
  <c r="J34" i="59"/>
  <c r="I34" i="59"/>
  <c r="H34" i="59"/>
  <c r="G34" i="59"/>
  <c r="F34" i="59"/>
  <c r="E34" i="59"/>
  <c r="G26" i="59"/>
  <c r="G24" i="59" s="1"/>
  <c r="T25" i="59"/>
  <c r="Q25" i="59"/>
  <c r="R23" i="59"/>
  <c r="T23" i="59" s="1"/>
  <c r="Q23" i="59"/>
  <c r="U23" i="59" s="1"/>
  <c r="R22" i="59"/>
  <c r="T22" i="59" s="1"/>
  <c r="Q22" i="59"/>
  <c r="T21" i="59"/>
  <c r="Q21" i="59"/>
  <c r="T20" i="59"/>
  <c r="Q20" i="59"/>
  <c r="T19" i="59"/>
  <c r="Q19" i="59"/>
  <c r="T18" i="59"/>
  <c r="Q18" i="59"/>
  <c r="R17" i="59"/>
  <c r="T17" i="59" s="1"/>
  <c r="Q17" i="59"/>
  <c r="T16" i="59"/>
  <c r="Q16" i="59"/>
  <c r="R15" i="59"/>
  <c r="Q15" i="59"/>
  <c r="T14" i="59"/>
  <c r="Q14" i="59"/>
  <c r="T13" i="59"/>
  <c r="Q13" i="59"/>
  <c r="R12" i="59"/>
  <c r="T12" i="59" s="1"/>
  <c r="Q12" i="59"/>
  <c r="T11" i="59"/>
  <c r="Q11" i="59"/>
  <c r="R10" i="59"/>
  <c r="T10" i="59" s="1"/>
  <c r="Q10" i="59"/>
  <c r="R9" i="59"/>
  <c r="T9" i="59" s="1"/>
  <c r="Q9" i="59"/>
  <c r="T8" i="59"/>
  <c r="Q8" i="59"/>
  <c r="T7" i="59"/>
  <c r="Q7" i="59"/>
  <c r="T6" i="59"/>
  <c r="Q6" i="59"/>
  <c r="R5" i="59"/>
  <c r="E5" i="59"/>
  <c r="E4" i="59" s="1"/>
  <c r="T5" i="59" l="1"/>
  <c r="R4" i="59"/>
  <c r="U11" i="59"/>
  <c r="U34" i="59"/>
  <c r="Q26" i="59"/>
  <c r="Q24" i="59" s="1"/>
  <c r="G38" i="59"/>
  <c r="U16" i="59"/>
  <c r="U7" i="59"/>
  <c r="W7" i="59" s="1"/>
  <c r="U13" i="59"/>
  <c r="W13" i="59" s="1"/>
  <c r="P38" i="59"/>
  <c r="H38" i="59"/>
  <c r="I38" i="59"/>
  <c r="M38" i="59"/>
  <c r="O38" i="59"/>
  <c r="U6" i="59"/>
  <c r="U14" i="59"/>
  <c r="U20" i="59"/>
  <c r="W20" i="59" s="1"/>
  <c r="U9" i="59"/>
  <c r="W9" i="59" s="1"/>
  <c r="U18" i="59"/>
  <c r="W18" i="59" s="1"/>
  <c r="U22" i="59"/>
  <c r="W22" i="59" s="1"/>
  <c r="U8" i="59"/>
  <c r="U19" i="59"/>
  <c r="W19" i="59" s="1"/>
  <c r="U25" i="59"/>
  <c r="J38" i="59"/>
  <c r="K38" i="59"/>
  <c r="F38" i="59"/>
  <c r="N38" i="59"/>
  <c r="U17" i="59"/>
  <c r="W17" i="59" s="1"/>
  <c r="U21" i="59"/>
  <c r="W21" i="59" s="1"/>
  <c r="L38" i="59"/>
  <c r="U12" i="59"/>
  <c r="W12" i="59" s="1"/>
  <c r="U10" i="59"/>
  <c r="W10" i="59" s="1"/>
  <c r="T15" i="59"/>
  <c r="Q5" i="59"/>
  <c r="Q4" i="59" s="1"/>
  <c r="T4" i="59" l="1"/>
  <c r="R26" i="59"/>
  <c r="W25" i="59"/>
  <c r="U5" i="59"/>
  <c r="U4" i="59" s="1"/>
  <c r="Q38" i="59"/>
  <c r="U15" i="59"/>
  <c r="W15" i="59" s="1"/>
  <c r="T26" i="59" l="1"/>
  <c r="R24" i="59"/>
  <c r="R38" i="59" s="1"/>
  <c r="W5" i="59"/>
  <c r="U26" i="59" l="1"/>
  <c r="T24" i="59"/>
  <c r="T38" i="59" s="1"/>
  <c r="R61" i="60"/>
  <c r="Q61" i="60"/>
  <c r="P61" i="60"/>
  <c r="O61" i="60"/>
  <c r="N61" i="60"/>
  <c r="M61" i="60"/>
  <c r="L61" i="60"/>
  <c r="K61" i="60"/>
  <c r="J61" i="60"/>
  <c r="I61" i="60"/>
  <c r="H61" i="60"/>
  <c r="G61" i="60"/>
  <c r="F61" i="60"/>
  <c r="E61" i="60"/>
  <c r="D61" i="60"/>
  <c r="C61" i="60"/>
  <c r="B61" i="60"/>
  <c r="Q59" i="60"/>
  <c r="P59" i="60"/>
  <c r="M59" i="60"/>
  <c r="L59" i="60"/>
  <c r="K59" i="60"/>
  <c r="J59" i="60"/>
  <c r="I59" i="60"/>
  <c r="H59" i="60"/>
  <c r="G59" i="60"/>
  <c r="F59" i="60"/>
  <c r="E59" i="60"/>
  <c r="D59" i="60"/>
  <c r="C59" i="60"/>
  <c r="B59" i="60"/>
  <c r="O58" i="60"/>
  <c r="N58" i="60"/>
  <c r="R58" i="60" s="1"/>
  <c r="O57" i="60"/>
  <c r="N57" i="60"/>
  <c r="R57" i="60" s="1"/>
  <c r="O56" i="60"/>
  <c r="N56" i="60"/>
  <c r="R56" i="60" s="1"/>
  <c r="O55" i="60"/>
  <c r="N55" i="60"/>
  <c r="R55" i="60" s="1"/>
  <c r="O54" i="60"/>
  <c r="N54" i="60"/>
  <c r="R54" i="60" s="1"/>
  <c r="O53" i="60"/>
  <c r="N53" i="60"/>
  <c r="R53" i="60" s="1"/>
  <c r="O52" i="60"/>
  <c r="N52" i="60"/>
  <c r="R52" i="60" s="1"/>
  <c r="O51" i="60"/>
  <c r="N51" i="60"/>
  <c r="R51" i="60" s="1"/>
  <c r="O50" i="60"/>
  <c r="N50" i="60"/>
  <c r="R50" i="60" s="1"/>
  <c r="O49" i="60"/>
  <c r="N49" i="60"/>
  <c r="R49" i="60" s="1"/>
  <c r="O48" i="60"/>
  <c r="N48" i="60"/>
  <c r="R48" i="60" s="1"/>
  <c r="O47" i="60"/>
  <c r="N47" i="60"/>
  <c r="R47" i="60" s="1"/>
  <c r="O46" i="60"/>
  <c r="N46" i="60"/>
  <c r="R46" i="60" s="1"/>
  <c r="O45" i="60"/>
  <c r="N45" i="60"/>
  <c r="R45" i="60" s="1"/>
  <c r="O44" i="60"/>
  <c r="N44" i="60"/>
  <c r="R44" i="60" s="1"/>
  <c r="O43" i="60"/>
  <c r="N43" i="60"/>
  <c r="R25" i="60"/>
  <c r="Q25" i="60"/>
  <c r="P25" i="60"/>
  <c r="O25" i="60"/>
  <c r="N25" i="60"/>
  <c r="M25" i="60"/>
  <c r="L25" i="60"/>
  <c r="K25" i="60"/>
  <c r="J25" i="60"/>
  <c r="I25" i="60"/>
  <c r="H25" i="60"/>
  <c r="G25" i="60"/>
  <c r="F25" i="60"/>
  <c r="E25" i="60"/>
  <c r="D25" i="60"/>
  <c r="C25" i="60"/>
  <c r="B25" i="60"/>
  <c r="Q23" i="60"/>
  <c r="P23" i="60"/>
  <c r="M23" i="60"/>
  <c r="L23" i="60"/>
  <c r="K23" i="60"/>
  <c r="J23" i="60"/>
  <c r="I23" i="60"/>
  <c r="H23" i="60"/>
  <c r="G23" i="60"/>
  <c r="F23" i="60"/>
  <c r="E23" i="60"/>
  <c r="D23" i="60"/>
  <c r="C23" i="60"/>
  <c r="B23" i="60"/>
  <c r="O22" i="60"/>
  <c r="N22" i="60"/>
  <c r="R22" i="60" s="1"/>
  <c r="O21" i="60"/>
  <c r="N21" i="60"/>
  <c r="R21" i="60" s="1"/>
  <c r="O20" i="60"/>
  <c r="N20" i="60"/>
  <c r="R20" i="60" s="1"/>
  <c r="O19" i="60"/>
  <c r="N19" i="60"/>
  <c r="R19" i="60" s="1"/>
  <c r="O18" i="60"/>
  <c r="N18" i="60"/>
  <c r="R18" i="60" s="1"/>
  <c r="O17" i="60"/>
  <c r="N17" i="60"/>
  <c r="R17" i="60" s="1"/>
  <c r="O16" i="60"/>
  <c r="N16" i="60"/>
  <c r="R16" i="60" s="1"/>
  <c r="O15" i="60"/>
  <c r="N15" i="60"/>
  <c r="R15" i="60" s="1"/>
  <c r="O14" i="60"/>
  <c r="N14" i="60"/>
  <c r="R14" i="60" s="1"/>
  <c r="O13" i="60"/>
  <c r="N13" i="60"/>
  <c r="R13" i="60" s="1"/>
  <c r="O12" i="60"/>
  <c r="N12" i="60"/>
  <c r="R12" i="60" s="1"/>
  <c r="O11" i="60"/>
  <c r="N11" i="60"/>
  <c r="O10" i="60"/>
  <c r="N10" i="60"/>
  <c r="R10" i="60" s="1"/>
  <c r="O9" i="60"/>
  <c r="N9" i="60"/>
  <c r="R9" i="60" s="1"/>
  <c r="O36" i="57"/>
  <c r="N36" i="57"/>
  <c r="O35" i="57"/>
  <c r="N35" i="57"/>
  <c r="O34" i="57"/>
  <c r="N34" i="57"/>
  <c r="O33" i="57"/>
  <c r="N33" i="57"/>
  <c r="O32" i="57"/>
  <c r="N32" i="57"/>
  <c r="O31" i="57"/>
  <c r="N31" i="57"/>
  <c r="O30" i="57"/>
  <c r="N30" i="57"/>
  <c r="R29" i="57"/>
  <c r="Q29" i="57"/>
  <c r="P29" i="57"/>
  <c r="M29" i="57"/>
  <c r="L29" i="57"/>
  <c r="K29" i="57"/>
  <c r="J29" i="57"/>
  <c r="I29" i="57"/>
  <c r="H29" i="57"/>
  <c r="G29" i="57"/>
  <c r="F29" i="57"/>
  <c r="E29" i="57"/>
  <c r="D29" i="57"/>
  <c r="C29" i="57"/>
  <c r="B29" i="57"/>
  <c r="Q27" i="57"/>
  <c r="Q38" i="57" s="1"/>
  <c r="P27" i="57"/>
  <c r="P38" i="57" s="1"/>
  <c r="M27" i="57"/>
  <c r="M38" i="57" s="1"/>
  <c r="L27" i="57"/>
  <c r="L38" i="57" s="1"/>
  <c r="K27" i="57"/>
  <c r="K38" i="57" s="1"/>
  <c r="J27" i="57"/>
  <c r="I27" i="57"/>
  <c r="H27" i="57"/>
  <c r="G27" i="57"/>
  <c r="G38" i="57" s="1"/>
  <c r="F27" i="57"/>
  <c r="F38" i="57" s="1"/>
  <c r="E27" i="57"/>
  <c r="E38" i="57" s="1"/>
  <c r="D27" i="57"/>
  <c r="D38" i="57" s="1"/>
  <c r="C27" i="57"/>
  <c r="C38" i="57" s="1"/>
  <c r="B27" i="57"/>
  <c r="B38" i="57" s="1"/>
  <c r="O26" i="57"/>
  <c r="N26" i="57"/>
  <c r="R26" i="57" s="1"/>
  <c r="O25" i="57"/>
  <c r="N25" i="57"/>
  <c r="R25" i="57" s="1"/>
  <c r="O24" i="57"/>
  <c r="N24" i="57"/>
  <c r="R24" i="57" s="1"/>
  <c r="O23" i="57"/>
  <c r="N23" i="57"/>
  <c r="R23" i="57" s="1"/>
  <c r="O22" i="57"/>
  <c r="N22" i="57"/>
  <c r="R22" i="57" s="1"/>
  <c r="O21" i="57"/>
  <c r="N21" i="57"/>
  <c r="R21" i="57" s="1"/>
  <c r="O20" i="57"/>
  <c r="N20" i="57"/>
  <c r="R20" i="57" s="1"/>
  <c r="O19" i="57"/>
  <c r="N19" i="57"/>
  <c r="R19" i="57" s="1"/>
  <c r="O18" i="57"/>
  <c r="N18" i="57"/>
  <c r="R18" i="57" s="1"/>
  <c r="O17" i="57"/>
  <c r="N17" i="57"/>
  <c r="R17" i="57" s="1"/>
  <c r="O16" i="57"/>
  <c r="N16" i="57"/>
  <c r="R16" i="57" s="1"/>
  <c r="O15" i="57"/>
  <c r="N15" i="57"/>
  <c r="R15" i="57" s="1"/>
  <c r="O14" i="57"/>
  <c r="N14" i="57"/>
  <c r="R14" i="57" s="1"/>
  <c r="O13" i="57"/>
  <c r="N13" i="57"/>
  <c r="N27" i="57" s="1"/>
  <c r="N276" i="16"/>
  <c r="N59" i="60" l="1"/>
  <c r="O59" i="60"/>
  <c r="R43" i="60"/>
  <c r="R59" i="60" s="1"/>
  <c r="J38" i="57"/>
  <c r="O27" i="57"/>
  <c r="N29" i="57"/>
  <c r="N38" i="57" s="1"/>
  <c r="H38" i="57"/>
  <c r="O29" i="57"/>
  <c r="O38" i="57" s="1"/>
  <c r="I38" i="57"/>
  <c r="W26" i="59"/>
  <c r="W24" i="59" s="1"/>
  <c r="U24" i="59"/>
  <c r="O23" i="60"/>
  <c r="N23" i="60"/>
  <c r="R11" i="60"/>
  <c r="R23" i="60" s="1"/>
  <c r="R13" i="57"/>
  <c r="R27" i="57" s="1"/>
  <c r="R38" i="57" s="1"/>
  <c r="E37" i="64" l="1"/>
  <c r="H37" i="64" s="1"/>
  <c r="L36" i="64"/>
  <c r="E36" i="64"/>
  <c r="H36" i="64" s="1"/>
  <c r="L35" i="64"/>
  <c r="E35" i="64"/>
  <c r="H35" i="64" s="1"/>
  <c r="L34" i="64"/>
  <c r="E34" i="64"/>
  <c r="H34" i="64" s="1"/>
  <c r="L33" i="64"/>
  <c r="E33" i="64"/>
  <c r="H33" i="64" s="1"/>
  <c r="L32" i="64"/>
  <c r="E32" i="64"/>
  <c r="H32" i="64" s="1"/>
  <c r="L31" i="64"/>
  <c r="E31" i="64"/>
  <c r="H31" i="64" s="1"/>
  <c r="L30" i="64"/>
  <c r="E30" i="64"/>
  <c r="H30" i="64" s="1"/>
  <c r="L29" i="64"/>
  <c r="E29" i="64"/>
  <c r="H29" i="64" s="1"/>
  <c r="L28" i="64"/>
  <c r="E28" i="64"/>
  <c r="H28" i="64" s="1"/>
  <c r="L27" i="64"/>
  <c r="E27" i="64"/>
  <c r="H27" i="64" s="1"/>
  <c r="L26" i="64"/>
  <c r="E26" i="64"/>
  <c r="H26" i="64" s="1"/>
  <c r="L25" i="64"/>
  <c r="E25" i="64"/>
  <c r="H25" i="64" s="1"/>
  <c r="L24" i="64"/>
  <c r="E24" i="64"/>
  <c r="H24" i="64" s="1"/>
  <c r="L23" i="64"/>
  <c r="J18" i="64"/>
  <c r="J17" i="64"/>
  <c r="J16" i="64"/>
  <c r="J15" i="64"/>
  <c r="J14" i="64"/>
  <c r="J13" i="64"/>
  <c r="J12" i="64"/>
  <c r="J11" i="64"/>
  <c r="J10" i="64"/>
  <c r="J9" i="64"/>
  <c r="J8" i="64"/>
  <c r="J7" i="64"/>
  <c r="J6" i="64"/>
  <c r="J5" i="64"/>
  <c r="N152" i="16" l="1"/>
  <c r="O152" i="16"/>
  <c r="P152" i="16"/>
  <c r="Q152" i="16"/>
  <c r="R152" i="16"/>
  <c r="S152" i="16"/>
  <c r="T152" i="16"/>
  <c r="U152" i="16"/>
  <c r="V152" i="16"/>
  <c r="W152" i="16"/>
  <c r="X152" i="16"/>
  <c r="Y152" i="16"/>
  <c r="AA152" i="16"/>
  <c r="O199" i="16" l="1"/>
  <c r="P199" i="16"/>
  <c r="Q199" i="16"/>
  <c r="R199" i="16"/>
  <c r="S199" i="16"/>
  <c r="T199" i="16"/>
  <c r="U199" i="16"/>
  <c r="V199" i="16"/>
  <c r="W199" i="16"/>
  <c r="X199" i="16"/>
  <c r="Y199" i="16"/>
  <c r="Z199" i="16"/>
  <c r="AA199" i="16"/>
  <c r="AB199" i="16"/>
  <c r="AC199" i="16"/>
  <c r="AD199" i="16"/>
  <c r="AE199" i="16"/>
  <c r="AF199" i="16"/>
  <c r="AG199" i="16"/>
  <c r="AH199" i="16"/>
  <c r="AI199" i="16"/>
  <c r="AJ199" i="16"/>
  <c r="AK199" i="16"/>
  <c r="AL199" i="16"/>
  <c r="AM199" i="16"/>
  <c r="N199" i="16"/>
  <c r="E60" i="44" l="1"/>
  <c r="E62" i="44" s="1"/>
  <c r="J118" i="16" l="1"/>
  <c r="U30" i="17" l="1"/>
  <c r="K31" i="17" s="1"/>
  <c r="U28" i="17"/>
  <c r="K29" i="17" s="1"/>
  <c r="R31" i="17" l="1"/>
  <c r="J31" i="17"/>
  <c r="P29" i="17"/>
  <c r="I31" i="17"/>
  <c r="N31" i="17"/>
  <c r="F31" i="17"/>
  <c r="D29" i="17"/>
  <c r="C31" i="17"/>
  <c r="M31" i="17"/>
  <c r="E31" i="17"/>
  <c r="J29" i="17"/>
  <c r="Q31" i="17"/>
  <c r="P31" i="17"/>
  <c r="H29" i="17"/>
  <c r="O31" i="17"/>
  <c r="R29" i="17"/>
  <c r="T31" i="17"/>
  <c r="L31" i="17"/>
  <c r="D31" i="17"/>
  <c r="I29" i="17"/>
  <c r="H31" i="17"/>
  <c r="G31" i="17"/>
  <c r="Q29" i="17"/>
  <c r="S31" i="17"/>
  <c r="O29" i="17"/>
  <c r="G29" i="17"/>
  <c r="N29" i="17"/>
  <c r="F29" i="17"/>
  <c r="E29" i="17"/>
  <c r="T29" i="17"/>
  <c r="L29" i="17"/>
  <c r="M29" i="17"/>
  <c r="S29" i="17"/>
  <c r="U31" i="17" l="1"/>
  <c r="U29" i="17"/>
  <c r="R26" i="17" l="1"/>
  <c r="S26" i="17"/>
  <c r="T26" i="17"/>
  <c r="AF356" i="16" l="1"/>
  <c r="O9" i="16" l="1"/>
  <c r="P9" i="16"/>
  <c r="Q9" i="16"/>
  <c r="R9" i="16"/>
  <c r="S9" i="16"/>
  <c r="T9" i="16"/>
  <c r="U9" i="16"/>
  <c r="V9" i="16"/>
  <c r="W9" i="16"/>
  <c r="X9" i="16"/>
  <c r="Y9" i="16"/>
  <c r="AA9" i="16"/>
  <c r="N9" i="16"/>
  <c r="AB7" i="16"/>
  <c r="O7" i="16"/>
  <c r="P7" i="16"/>
  <c r="Q7" i="16"/>
  <c r="R7" i="16"/>
  <c r="S7" i="16"/>
  <c r="T7" i="16"/>
  <c r="U7" i="16"/>
  <c r="V7" i="16"/>
  <c r="W7" i="16"/>
  <c r="X7" i="16"/>
  <c r="Y7" i="16"/>
  <c r="Z7" i="16"/>
  <c r="AA7" i="16"/>
  <c r="N7" i="16"/>
  <c r="H82" i="16"/>
  <c r="H83" i="16"/>
  <c r="H84" i="16"/>
  <c r="H85" i="16"/>
  <c r="H86" i="16"/>
  <c r="H87" i="16"/>
  <c r="O16" i="16"/>
  <c r="P16" i="16"/>
  <c r="Q16" i="16"/>
  <c r="R16" i="16"/>
  <c r="S16" i="16"/>
  <c r="T16" i="16"/>
  <c r="U16" i="16"/>
  <c r="V16" i="16"/>
  <c r="W16" i="16"/>
  <c r="X16" i="16"/>
  <c r="Y16" i="16"/>
  <c r="Z16" i="16"/>
  <c r="AA16" i="16"/>
  <c r="AB14" i="16"/>
  <c r="O14" i="16"/>
  <c r="P14" i="16"/>
  <c r="Q14" i="16"/>
  <c r="R14" i="16"/>
  <c r="S14" i="16"/>
  <c r="T14" i="16"/>
  <c r="U14" i="16"/>
  <c r="V14" i="16"/>
  <c r="W14" i="16"/>
  <c r="X14" i="16"/>
  <c r="Y14" i="16"/>
  <c r="Z14" i="16"/>
  <c r="AA14" i="16"/>
  <c r="N16" i="16"/>
  <c r="N14" i="16"/>
  <c r="J266" i="31"/>
  <c r="J267" i="31"/>
  <c r="J268" i="31"/>
  <c r="J269" i="31"/>
  <c r="J270" i="31"/>
  <c r="J271" i="31"/>
  <c r="J272" i="31"/>
  <c r="J273" i="31"/>
  <c r="J265" i="31"/>
  <c r="I261" i="31"/>
  <c r="I262" i="31"/>
  <c r="I264" i="31"/>
  <c r="I265" i="31"/>
  <c r="I266" i="31"/>
  <c r="I267" i="31"/>
  <c r="I268" i="31"/>
  <c r="I269" i="31"/>
  <c r="I270" i="31"/>
  <c r="I271" i="31"/>
  <c r="I272" i="31"/>
  <c r="I273" i="31"/>
  <c r="I274" i="31"/>
  <c r="I260" i="31"/>
  <c r="BK125" i="16" l="1"/>
  <c r="BJ125" i="16"/>
  <c r="BK124" i="16"/>
  <c r="BJ124" i="16"/>
  <c r="I125" i="16"/>
  <c r="AQ125" i="16" s="1"/>
  <c r="BL125" i="16" s="1"/>
  <c r="I124" i="16"/>
  <c r="I123" i="16"/>
  <c r="I87" i="16"/>
  <c r="I86" i="16"/>
  <c r="I85" i="16"/>
  <c r="I84" i="16"/>
  <c r="I83" i="16"/>
  <c r="I82" i="16"/>
  <c r="AA83" i="16" l="1"/>
  <c r="AB83" i="16"/>
  <c r="AA87" i="16"/>
  <c r="AB87" i="16"/>
  <c r="AA82" i="16"/>
  <c r="AB82" i="16"/>
  <c r="AA86" i="16"/>
  <c r="AB86" i="16"/>
  <c r="AB84" i="16"/>
  <c r="AA84" i="16"/>
  <c r="AQ124" i="16"/>
  <c r="BL124" i="16" s="1"/>
  <c r="F274" i="31"/>
  <c r="Z152" i="16" s="1"/>
  <c r="H263" i="31"/>
  <c r="G263" i="31"/>
  <c r="F263" i="31"/>
  <c r="AB152" i="16" s="1"/>
  <c r="AB153" i="16" s="1"/>
  <c r="E263" i="31"/>
  <c r="AB16" i="16" s="1"/>
  <c r="H160" i="31"/>
  <c r="G160" i="31"/>
  <c r="F160" i="31"/>
  <c r="E160" i="31"/>
  <c r="H159" i="31"/>
  <c r="G159" i="31"/>
  <c r="F159" i="31"/>
  <c r="E159" i="31"/>
  <c r="H158" i="31"/>
  <c r="G158" i="31"/>
  <c r="F158" i="31"/>
  <c r="E158" i="31"/>
  <c r="N165" i="16"/>
  <c r="F21" i="26"/>
  <c r="N153" i="16" l="1"/>
  <c r="V153" i="16"/>
  <c r="Y153" i="16"/>
  <c r="W153" i="16"/>
  <c r="U153" i="16"/>
  <c r="R153" i="16"/>
  <c r="X153" i="16"/>
  <c r="O153" i="16"/>
  <c r="S153" i="16"/>
  <c r="Q153" i="16"/>
  <c r="AA153" i="16"/>
  <c r="P153" i="16"/>
  <c r="T153" i="16"/>
  <c r="Z153" i="16"/>
  <c r="AB9" i="16"/>
  <c r="Z9" i="16"/>
  <c r="J274" i="31"/>
  <c r="AQ123" i="16"/>
  <c r="T24" i="17" l="1"/>
  <c r="S24" i="17"/>
  <c r="I9" i="16" l="1"/>
  <c r="N24" i="17"/>
  <c r="M24" i="17"/>
  <c r="L24" i="17"/>
  <c r="I24" i="17"/>
  <c r="C24" i="17"/>
  <c r="U22" i="17"/>
  <c r="O23" i="17" s="1"/>
  <c r="Z194" i="16" s="1"/>
  <c r="O19" i="17"/>
  <c r="K19" i="17"/>
  <c r="U17" i="17"/>
  <c r="O18" i="17" s="1"/>
  <c r="H14" i="17"/>
  <c r="U14" i="17" s="1"/>
  <c r="T12" i="17"/>
  <c r="S12" i="17"/>
  <c r="R12" i="17"/>
  <c r="Q12" i="17"/>
  <c r="P12" i="17"/>
  <c r="O12" i="17"/>
  <c r="N12" i="17"/>
  <c r="M12" i="17"/>
  <c r="L12" i="17"/>
  <c r="K12" i="17"/>
  <c r="J12" i="17"/>
  <c r="I12" i="17"/>
  <c r="H12" i="17"/>
  <c r="G12" i="17"/>
  <c r="F12" i="17"/>
  <c r="E12" i="17"/>
  <c r="D12" i="17"/>
  <c r="C12" i="17"/>
  <c r="U11" i="17"/>
  <c r="U9" i="17"/>
  <c r="I7" i="17"/>
  <c r="H7" i="17"/>
  <c r="U7" i="17" l="1"/>
  <c r="H8" i="17" s="1"/>
  <c r="U12" i="17"/>
  <c r="Q13" i="17" s="1"/>
  <c r="U24" i="17"/>
  <c r="S25" i="17" s="1"/>
  <c r="Q23" i="17"/>
  <c r="T23" i="17"/>
  <c r="AE194" i="16" s="1"/>
  <c r="E23" i="17"/>
  <c r="H23" i="17"/>
  <c r="S194" i="16" s="1"/>
  <c r="I23" i="17"/>
  <c r="T194" i="16" s="1"/>
  <c r="L23" i="17"/>
  <c r="W194" i="16" s="1"/>
  <c r="D23" i="17"/>
  <c r="M23" i="17"/>
  <c r="X194" i="16" s="1"/>
  <c r="P23" i="17"/>
  <c r="AA194" i="16" s="1"/>
  <c r="M15" i="17"/>
  <c r="S15" i="17"/>
  <c r="K15" i="17"/>
  <c r="C15" i="17"/>
  <c r="Q15" i="17"/>
  <c r="P15" i="17"/>
  <c r="L15" i="17"/>
  <c r="R15" i="17"/>
  <c r="J15" i="17"/>
  <c r="I15" i="17"/>
  <c r="H15" i="17"/>
  <c r="T15" i="17"/>
  <c r="D15" i="17"/>
  <c r="O15" i="17"/>
  <c r="G15" i="17"/>
  <c r="N15" i="17"/>
  <c r="F15" i="17"/>
  <c r="E15" i="17"/>
  <c r="J23" i="17"/>
  <c r="U194" i="16" s="1"/>
  <c r="R23" i="17"/>
  <c r="U19" i="17"/>
  <c r="O20" i="17" s="1"/>
  <c r="O21" i="17" s="1"/>
  <c r="C23" i="17"/>
  <c r="K23" i="17"/>
  <c r="V194" i="16" s="1"/>
  <c r="S23" i="17"/>
  <c r="K18" i="17"/>
  <c r="F23" i="17"/>
  <c r="Q194" i="16" s="1"/>
  <c r="N23" i="17"/>
  <c r="Y194" i="16" s="1"/>
  <c r="G23" i="17"/>
  <c r="R194" i="16" s="1"/>
  <c r="N194" i="16" l="1"/>
  <c r="N185" i="16"/>
  <c r="O194" i="16"/>
  <c r="O185" i="16"/>
  <c r="P194" i="16"/>
  <c r="P185" i="16"/>
  <c r="Z196" i="16"/>
  <c r="Z192" i="16"/>
  <c r="I8" i="17"/>
  <c r="D8" i="17"/>
  <c r="L8" i="17"/>
  <c r="T8" i="17"/>
  <c r="E8" i="17"/>
  <c r="M8" i="17"/>
  <c r="C8" i="17"/>
  <c r="Q8" i="17"/>
  <c r="F8" i="17"/>
  <c r="N8" i="17"/>
  <c r="G8" i="17"/>
  <c r="O8" i="17"/>
  <c r="P8" i="17"/>
  <c r="J8" i="17"/>
  <c r="R8" i="17"/>
  <c r="K8" i="17"/>
  <c r="S8" i="17"/>
  <c r="O13" i="17"/>
  <c r="O16" i="17" s="1"/>
  <c r="Z191" i="16" s="1"/>
  <c r="J13" i="17"/>
  <c r="J16" i="17" s="1"/>
  <c r="G13" i="17"/>
  <c r="G16" i="17" s="1"/>
  <c r="E13" i="17"/>
  <c r="E16" i="17" s="1"/>
  <c r="T13" i="17"/>
  <c r="T16" i="17" s="1"/>
  <c r="L13" i="17"/>
  <c r="L16" i="17" s="1"/>
  <c r="M13" i="17"/>
  <c r="M16" i="17" s="1"/>
  <c r="D13" i="17"/>
  <c r="D16" i="17" s="1"/>
  <c r="S13" i="17"/>
  <c r="S16" i="17" s="1"/>
  <c r="R13" i="17"/>
  <c r="R16" i="17" s="1"/>
  <c r="I13" i="17"/>
  <c r="I16" i="17" s="1"/>
  <c r="K13" i="17"/>
  <c r="K16" i="17" s="1"/>
  <c r="V191" i="16" s="1"/>
  <c r="Q16" i="17"/>
  <c r="P13" i="17"/>
  <c r="P16" i="17" s="1"/>
  <c r="N13" i="17"/>
  <c r="N16" i="17" s="1"/>
  <c r="C13" i="17"/>
  <c r="C16" i="17" s="1"/>
  <c r="H13" i="17"/>
  <c r="H16" i="17" s="1"/>
  <c r="F13" i="17"/>
  <c r="F16" i="17" s="1"/>
  <c r="N25" i="17"/>
  <c r="P25" i="17"/>
  <c r="R25" i="17"/>
  <c r="D25" i="17"/>
  <c r="Q25" i="17"/>
  <c r="K25" i="17"/>
  <c r="I25" i="17"/>
  <c r="L25" i="17"/>
  <c r="M25" i="17"/>
  <c r="E25" i="17"/>
  <c r="G25" i="17"/>
  <c r="J25" i="17"/>
  <c r="O25" i="17"/>
  <c r="H25" i="17"/>
  <c r="C25" i="17"/>
  <c r="F25" i="17"/>
  <c r="T25" i="17"/>
  <c r="K20" i="17"/>
  <c r="U20" i="17" s="1"/>
  <c r="U23" i="17"/>
  <c r="U18" i="17"/>
  <c r="U15" i="17"/>
  <c r="O191" i="16" l="1"/>
  <c r="O196" i="16"/>
  <c r="O192" i="16"/>
  <c r="AE191" i="16"/>
  <c r="AE192" i="16"/>
  <c r="N191" i="16"/>
  <c r="N196" i="16"/>
  <c r="N192" i="16"/>
  <c r="T191" i="16"/>
  <c r="T196" i="16"/>
  <c r="T192" i="16"/>
  <c r="W191" i="16"/>
  <c r="W196" i="16"/>
  <c r="W192" i="16"/>
  <c r="AD191" i="16"/>
  <c r="AD196" i="16"/>
  <c r="P191" i="16"/>
  <c r="P196" i="16"/>
  <c r="P192" i="16"/>
  <c r="R191" i="16"/>
  <c r="R196" i="16"/>
  <c r="R192" i="16"/>
  <c r="AC196" i="16"/>
  <c r="AC193" i="16" s="1"/>
  <c r="AC192" i="16"/>
  <c r="Q191" i="16"/>
  <c r="Q196" i="16"/>
  <c r="Q192" i="16"/>
  <c r="AA196" i="16"/>
  <c r="AA192" i="16"/>
  <c r="U191" i="16"/>
  <c r="U196" i="16"/>
  <c r="U192" i="16"/>
  <c r="AB196" i="16"/>
  <c r="AB193" i="16" s="1"/>
  <c r="AB192" i="16"/>
  <c r="X191" i="16"/>
  <c r="X196" i="16"/>
  <c r="X192" i="16"/>
  <c r="S191" i="16"/>
  <c r="S196" i="16"/>
  <c r="S192" i="16"/>
  <c r="Y191" i="16"/>
  <c r="Y196" i="16"/>
  <c r="Y192" i="16"/>
  <c r="U13" i="17"/>
  <c r="U25" i="17"/>
  <c r="K21" i="17"/>
  <c r="U16" i="17"/>
  <c r="AE190" i="16" l="1"/>
  <c r="U21" i="17"/>
  <c r="V196" i="16"/>
  <c r="L196" i="16" s="1"/>
  <c r="V192" i="16"/>
  <c r="U4" i="17"/>
  <c r="U3" i="17"/>
  <c r="BJ5" i="16"/>
  <c r="G5" i="17" l="1"/>
  <c r="R85" i="16" s="1"/>
  <c r="O5" i="17"/>
  <c r="Z85" i="16" s="1"/>
  <c r="J5" i="17"/>
  <c r="U85" i="16" s="1"/>
  <c r="K5" i="17"/>
  <c r="V85" i="16" s="1"/>
  <c r="M5" i="17"/>
  <c r="X85" i="16" s="1"/>
  <c r="H5" i="17"/>
  <c r="S85" i="16" s="1"/>
  <c r="P5" i="17"/>
  <c r="AA85" i="16" s="1"/>
  <c r="R5" i="17"/>
  <c r="D5" i="17"/>
  <c r="O85" i="16" s="1"/>
  <c r="T5" i="17"/>
  <c r="F5" i="17"/>
  <c r="Q85" i="16" s="1"/>
  <c r="I5" i="17"/>
  <c r="T85" i="16" s="1"/>
  <c r="Q5" i="17"/>
  <c r="AB85" i="16" s="1"/>
  <c r="S5" i="17"/>
  <c r="L5" i="17"/>
  <c r="W85" i="16" s="1"/>
  <c r="E5" i="17"/>
  <c r="P85" i="16" s="1"/>
  <c r="C5" i="17"/>
  <c r="N85" i="16" s="1"/>
  <c r="N5" i="17"/>
  <c r="Y85" i="16" s="1"/>
  <c r="J6" i="17"/>
  <c r="R6" i="17"/>
  <c r="E6" i="17"/>
  <c r="F6" i="17"/>
  <c r="O6" i="17"/>
  <c r="H6" i="17"/>
  <c r="P6" i="17"/>
  <c r="Q6" i="17"/>
  <c r="K6" i="17"/>
  <c r="S6" i="17"/>
  <c r="M6" i="17"/>
  <c r="C6" i="17"/>
  <c r="I6" i="17"/>
  <c r="D6" i="17"/>
  <c r="L6" i="17"/>
  <c r="T6" i="17"/>
  <c r="U6" i="17"/>
  <c r="N6" i="17"/>
  <c r="G6" i="17"/>
  <c r="AE497" i="16"/>
  <c r="AD497" i="16"/>
  <c r="AC497" i="16"/>
  <c r="AE470" i="16"/>
  <c r="AD470" i="16"/>
  <c r="AC470" i="16"/>
  <c r="AE407" i="16"/>
  <c r="AD407" i="16"/>
  <c r="AC407" i="16"/>
  <c r="AE406" i="16"/>
  <c r="AD406" i="16"/>
  <c r="AC406" i="16"/>
  <c r="AE351" i="16"/>
  <c r="AD351" i="16"/>
  <c r="AC351" i="16"/>
  <c r="AE348" i="16"/>
  <c r="AD348" i="16"/>
  <c r="AC348" i="16"/>
  <c r="AE336" i="16"/>
  <c r="AE274" i="16" s="1"/>
  <c r="AD336" i="16"/>
  <c r="AD274" i="16" s="1"/>
  <c r="AC336" i="16"/>
  <c r="AC274" i="16" s="1"/>
  <c r="AE267" i="16"/>
  <c r="AD267" i="16"/>
  <c r="AC267" i="16"/>
  <c r="AE253" i="16"/>
  <c r="AD253" i="16"/>
  <c r="AC253" i="16"/>
  <c r="AE252" i="16"/>
  <c r="AD252" i="16"/>
  <c r="AC252" i="16"/>
  <c r="AE178" i="16"/>
  <c r="AD178" i="16"/>
  <c r="AC178" i="16"/>
  <c r="AE175" i="16"/>
  <c r="AD175" i="16"/>
  <c r="AC175" i="16"/>
  <c r="AE18" i="16"/>
  <c r="AE96" i="16" s="1"/>
  <c r="AD18" i="16"/>
  <c r="AD96" i="16" s="1"/>
  <c r="AC18" i="16"/>
  <c r="AC96" i="16" s="1"/>
  <c r="AF407" i="16"/>
  <c r="AF406" i="16"/>
  <c r="AF501" i="16"/>
  <c r="AF351" i="16"/>
  <c r="AF348" i="16"/>
  <c r="AF336" i="16"/>
  <c r="AF274" i="16" s="1"/>
  <c r="AF267" i="16"/>
  <c r="AF253" i="16"/>
  <c r="AF252" i="16"/>
  <c r="AF178" i="16"/>
  <c r="AF18" i="16"/>
  <c r="AF93" i="16" s="1"/>
  <c r="AG497" i="16"/>
  <c r="AG470" i="16"/>
  <c r="AG407" i="16"/>
  <c r="AG406" i="16"/>
  <c r="AG351" i="16"/>
  <c r="AG348" i="16"/>
  <c r="AG336" i="16"/>
  <c r="AG274" i="16" s="1"/>
  <c r="AG267" i="16"/>
  <c r="AG253" i="16"/>
  <c r="AG252" i="16"/>
  <c r="AG178" i="16"/>
  <c r="AG175" i="16"/>
  <c r="AG18" i="16"/>
  <c r="AG90" i="16" s="1"/>
  <c r="Z470" i="16"/>
  <c r="Z407" i="16"/>
  <c r="Z406" i="16"/>
  <c r="Z348" i="16"/>
  <c r="Z336" i="16"/>
  <c r="Z274" i="16" s="1"/>
  <c r="Z269" i="16" a="1"/>
  <c r="Z269" i="16" s="1"/>
  <c r="Z253" i="16"/>
  <c r="Z252" i="16"/>
  <c r="Z178" i="16"/>
  <c r="Z163" i="16"/>
  <c r="Z162" i="16"/>
  <c r="Z161" i="16"/>
  <c r="Z159" i="16"/>
  <c r="Z104" i="16"/>
  <c r="Z77" i="16"/>
  <c r="Z75" i="16"/>
  <c r="Z18" i="16"/>
  <c r="Y470" i="16"/>
  <c r="X470" i="16"/>
  <c r="W470" i="16"/>
  <c r="V470" i="16"/>
  <c r="U470" i="16"/>
  <c r="T470" i="16"/>
  <c r="S470" i="16"/>
  <c r="R470" i="16"/>
  <c r="Q470" i="16"/>
  <c r="P470" i="16"/>
  <c r="Y407" i="16"/>
  <c r="X407" i="16"/>
  <c r="W407" i="16"/>
  <c r="V407" i="16"/>
  <c r="U407" i="16"/>
  <c r="T407" i="16"/>
  <c r="S407" i="16"/>
  <c r="R407" i="16"/>
  <c r="Q407" i="16"/>
  <c r="P407" i="16"/>
  <c r="Y406" i="16"/>
  <c r="X406" i="16"/>
  <c r="W406" i="16"/>
  <c r="V406" i="16"/>
  <c r="U406" i="16"/>
  <c r="T406" i="16"/>
  <c r="S406" i="16"/>
  <c r="R406" i="16"/>
  <c r="Q406" i="16"/>
  <c r="P406" i="16"/>
  <c r="Y348" i="16"/>
  <c r="X348" i="16"/>
  <c r="W348" i="16"/>
  <c r="V348" i="16"/>
  <c r="U348" i="16"/>
  <c r="T348" i="16"/>
  <c r="S348" i="16"/>
  <c r="R348" i="16"/>
  <c r="Q348" i="16"/>
  <c r="P348" i="16"/>
  <c r="Y336" i="16"/>
  <c r="Y274" i="16" s="1"/>
  <c r="X336" i="16"/>
  <c r="X274" i="16" s="1"/>
  <c r="W336" i="16"/>
  <c r="W274" i="16" s="1"/>
  <c r="V336" i="16"/>
  <c r="V274" i="16" s="1"/>
  <c r="U336" i="16"/>
  <c r="U274" i="16" s="1"/>
  <c r="T336" i="16"/>
  <c r="T274" i="16" s="1"/>
  <c r="S336" i="16"/>
  <c r="S274" i="16" s="1"/>
  <c r="R336" i="16"/>
  <c r="R274" i="16" s="1"/>
  <c r="Q336" i="16"/>
  <c r="Q274" i="16" s="1"/>
  <c r="P336" i="16"/>
  <c r="P274" i="16" s="1"/>
  <c r="Y269" i="16" a="1"/>
  <c r="Y269" i="16" s="1"/>
  <c r="X269" i="16" a="1"/>
  <c r="X269" i="16" s="1"/>
  <c r="W269" i="16" a="1"/>
  <c r="W269" i="16" s="1"/>
  <c r="V269" i="16" a="1"/>
  <c r="V269" i="16" s="1"/>
  <c r="U269" i="16" a="1"/>
  <c r="U269" i="16" s="1"/>
  <c r="T269" i="16" a="1"/>
  <c r="T269" i="16" s="1"/>
  <c r="S269" i="16" a="1"/>
  <c r="S269" i="16" s="1"/>
  <c r="R269" i="16" a="1"/>
  <c r="R269" i="16" s="1"/>
  <c r="Q269" i="16" a="1"/>
  <c r="Q269" i="16" s="1"/>
  <c r="P269" i="16" a="1"/>
  <c r="P269" i="16" s="1"/>
  <c r="Y253" i="16"/>
  <c r="X253" i="16"/>
  <c r="W253" i="16"/>
  <c r="V253" i="16"/>
  <c r="U253" i="16"/>
  <c r="T253" i="16"/>
  <c r="S253" i="16"/>
  <c r="R253" i="16"/>
  <c r="Q253" i="16"/>
  <c r="P253" i="16"/>
  <c r="Y252" i="16"/>
  <c r="X252" i="16"/>
  <c r="W252" i="16"/>
  <c r="V252" i="16"/>
  <c r="U252" i="16"/>
  <c r="T252" i="16"/>
  <c r="S252" i="16"/>
  <c r="R252" i="16"/>
  <c r="Q252" i="16"/>
  <c r="P252" i="16"/>
  <c r="Y184" i="16"/>
  <c r="X184" i="16"/>
  <c r="W184" i="16"/>
  <c r="U184" i="16"/>
  <c r="T184" i="16"/>
  <c r="S184" i="16"/>
  <c r="R184" i="16"/>
  <c r="Q184" i="16"/>
  <c r="P184" i="16"/>
  <c r="Y178" i="16"/>
  <c r="X178" i="16"/>
  <c r="W178" i="16"/>
  <c r="V178" i="16"/>
  <c r="U178" i="16"/>
  <c r="T178" i="16"/>
  <c r="S178" i="16"/>
  <c r="R178" i="16"/>
  <c r="Q178" i="16"/>
  <c r="P178" i="16"/>
  <c r="Y163" i="16"/>
  <c r="X163" i="16"/>
  <c r="W163" i="16"/>
  <c r="V163" i="16"/>
  <c r="U163" i="16"/>
  <c r="T163" i="16"/>
  <c r="S163" i="16"/>
  <c r="R163" i="16"/>
  <c r="Q163" i="16"/>
  <c r="P163" i="16"/>
  <c r="Y162" i="16"/>
  <c r="X162" i="16"/>
  <c r="W162" i="16"/>
  <c r="V162" i="16"/>
  <c r="U162" i="16"/>
  <c r="T162" i="16"/>
  <c r="S162" i="16"/>
  <c r="R162" i="16"/>
  <c r="Q162" i="16"/>
  <c r="P162" i="16"/>
  <c r="Y161" i="16"/>
  <c r="X161" i="16"/>
  <c r="W161" i="16"/>
  <c r="V161" i="16"/>
  <c r="U161" i="16"/>
  <c r="T161" i="16"/>
  <c r="S161" i="16"/>
  <c r="R161" i="16"/>
  <c r="Q161" i="16"/>
  <c r="P161" i="16"/>
  <c r="Y159" i="16"/>
  <c r="X159" i="16"/>
  <c r="W159" i="16"/>
  <c r="V159" i="16"/>
  <c r="U159" i="16"/>
  <c r="T159" i="16"/>
  <c r="S159" i="16"/>
  <c r="R159" i="16"/>
  <c r="Q159" i="16"/>
  <c r="P159" i="16"/>
  <c r="Y104" i="16"/>
  <c r="X104" i="16"/>
  <c r="W104" i="16"/>
  <c r="V104" i="16"/>
  <c r="U104" i="16"/>
  <c r="T104" i="16"/>
  <c r="S104" i="16"/>
  <c r="R104" i="16"/>
  <c r="Q104" i="16"/>
  <c r="P104" i="16"/>
  <c r="Y77" i="16"/>
  <c r="X77" i="16"/>
  <c r="W77" i="16"/>
  <c r="V77" i="16"/>
  <c r="U77" i="16"/>
  <c r="T77" i="16"/>
  <c r="S77" i="16"/>
  <c r="R77" i="16"/>
  <c r="Q77" i="16"/>
  <c r="P77" i="16"/>
  <c r="X75" i="16"/>
  <c r="W75" i="16"/>
  <c r="V75" i="16"/>
  <c r="T75" i="16"/>
  <c r="S75" i="16"/>
  <c r="R75" i="16"/>
  <c r="Q75" i="16"/>
  <c r="P75" i="16"/>
  <c r="Y18" i="16"/>
  <c r="X18" i="16"/>
  <c r="W18" i="16"/>
  <c r="V18" i="16"/>
  <c r="U18" i="16"/>
  <c r="T18" i="16"/>
  <c r="S18" i="16"/>
  <c r="R18" i="16"/>
  <c r="Q18" i="16"/>
  <c r="P18" i="16"/>
  <c r="O470" i="16"/>
  <c r="O407" i="16"/>
  <c r="O406" i="16"/>
  <c r="O348" i="16"/>
  <c r="O336" i="16"/>
  <c r="O274" i="16" s="1"/>
  <c r="O269" i="16" a="1"/>
  <c r="O269" i="16" s="1"/>
  <c r="O253" i="16"/>
  <c r="O252" i="16"/>
  <c r="O184" i="16"/>
  <c r="O178" i="16"/>
  <c r="O163" i="16"/>
  <c r="O162" i="16"/>
  <c r="O161" i="16"/>
  <c r="O159" i="16"/>
  <c r="O104" i="16"/>
  <c r="O77" i="16"/>
  <c r="O75" i="16"/>
  <c r="O18" i="16"/>
  <c r="O83" i="16" l="1"/>
  <c r="O86" i="16"/>
  <c r="O82" i="16"/>
  <c r="O84" i="16"/>
  <c r="O87" i="16"/>
  <c r="O125" i="16"/>
  <c r="O124" i="16"/>
  <c r="S84" i="16"/>
  <c r="S87" i="16"/>
  <c r="S83" i="16"/>
  <c r="S86" i="16"/>
  <c r="S82" i="16"/>
  <c r="S125" i="16"/>
  <c r="S124" i="16"/>
  <c r="T87" i="16"/>
  <c r="T82" i="16"/>
  <c r="T83" i="16"/>
  <c r="T86" i="16"/>
  <c r="T84" i="16"/>
  <c r="T124" i="16"/>
  <c r="T125" i="16"/>
  <c r="Z84" i="16"/>
  <c r="Z87" i="16"/>
  <c r="Z83" i="16"/>
  <c r="Z82" i="16"/>
  <c r="Z86" i="16"/>
  <c r="Z124" i="16"/>
  <c r="Z125" i="16"/>
  <c r="N83" i="16"/>
  <c r="N86" i="16"/>
  <c r="N84" i="16"/>
  <c r="N87" i="16"/>
  <c r="N82" i="16"/>
  <c r="N124" i="16"/>
  <c r="N125" i="16"/>
  <c r="Q86" i="16"/>
  <c r="Q84" i="16"/>
  <c r="Q87" i="16"/>
  <c r="Q82" i="16"/>
  <c r="Q83" i="16"/>
  <c r="Q124" i="16"/>
  <c r="Q125" i="16"/>
  <c r="R84" i="16"/>
  <c r="R87" i="16"/>
  <c r="R83" i="16"/>
  <c r="R82" i="16"/>
  <c r="R86" i="16"/>
  <c r="R125" i="16"/>
  <c r="R124" i="16"/>
  <c r="X83" i="16"/>
  <c r="X86" i="16"/>
  <c r="X84" i="16"/>
  <c r="X87" i="16"/>
  <c r="X82" i="16"/>
  <c r="X124" i="16"/>
  <c r="X125" i="16"/>
  <c r="P83" i="16"/>
  <c r="P86" i="16"/>
  <c r="P84" i="16"/>
  <c r="P87" i="16"/>
  <c r="P82" i="16"/>
  <c r="P124" i="16"/>
  <c r="P125" i="16"/>
  <c r="Y86" i="16"/>
  <c r="Y84" i="16"/>
  <c r="Y87" i="16"/>
  <c r="Y82" i="16"/>
  <c r="Y83" i="16"/>
  <c r="Y124" i="16"/>
  <c r="Y125" i="16"/>
  <c r="V83" i="16"/>
  <c r="V82" i="16"/>
  <c r="V86" i="16"/>
  <c r="V84" i="16"/>
  <c r="V87" i="16"/>
  <c r="V124" i="16"/>
  <c r="V125" i="16"/>
  <c r="U82" i="16"/>
  <c r="U83" i="16"/>
  <c r="U86" i="16"/>
  <c r="U84" i="16"/>
  <c r="U87" i="16"/>
  <c r="U124" i="16"/>
  <c r="U125" i="16"/>
  <c r="W83" i="16"/>
  <c r="W86" i="16"/>
  <c r="W82" i="16"/>
  <c r="W84" i="16"/>
  <c r="W87" i="16"/>
  <c r="W125" i="16"/>
  <c r="W124" i="16"/>
  <c r="U5" i="17"/>
  <c r="AG93" i="16"/>
  <c r="AC347" i="16"/>
  <c r="AC479" i="16"/>
  <c r="AD482" i="16"/>
  <c r="AE482" i="16"/>
  <c r="AG189" i="16"/>
  <c r="AG183" i="16" s="1"/>
  <c r="AG501" i="16"/>
  <c r="AG504" i="16" s="1"/>
  <c r="AE501" i="16"/>
  <c r="AE504" i="16" s="1"/>
  <c r="AE403" i="16"/>
  <c r="AF403" i="16"/>
  <c r="AD90" i="16"/>
  <c r="AC249" i="16"/>
  <c r="AD403" i="16"/>
  <c r="AG482" i="16"/>
  <c r="AD347" i="16"/>
  <c r="AD501" i="16"/>
  <c r="AD504" i="16" s="1"/>
  <c r="AE479" i="16"/>
  <c r="AG96" i="16"/>
  <c r="AG347" i="16"/>
  <c r="O249" i="16"/>
  <c r="AG403" i="16"/>
  <c r="AD93" i="16"/>
  <c r="AF90" i="16"/>
  <c r="AF189" i="16"/>
  <c r="AF183" i="16" s="1"/>
  <c r="AF347" i="16"/>
  <c r="AE90" i="16"/>
  <c r="AC501" i="16"/>
  <c r="AC504" i="16" s="1"/>
  <c r="O403" i="16"/>
  <c r="AG249" i="16"/>
  <c r="AG479" i="16"/>
  <c r="AF249" i="16"/>
  <c r="AE93" i="16"/>
  <c r="AD249" i="16"/>
  <c r="AE249" i="16"/>
  <c r="AE347" i="16"/>
  <c r="AC403" i="16"/>
  <c r="AD479" i="16"/>
  <c r="AC90" i="16"/>
  <c r="AC93" i="16"/>
  <c r="W403" i="16"/>
  <c r="Z249" i="16"/>
  <c r="P249" i="16"/>
  <c r="P403" i="16"/>
  <c r="T403" i="16"/>
  <c r="X403" i="16"/>
  <c r="R403" i="16"/>
  <c r="V403" i="16"/>
  <c r="Z403" i="16"/>
  <c r="Q403" i="16"/>
  <c r="U403" i="16"/>
  <c r="Y403" i="16"/>
  <c r="U249" i="16"/>
  <c r="T249" i="16"/>
  <c r="X249" i="16"/>
  <c r="S403" i="16"/>
  <c r="Q249" i="16"/>
  <c r="Y249" i="16"/>
  <c r="S249" i="16"/>
  <c r="W249" i="16"/>
  <c r="R249" i="16"/>
  <c r="V249" i="16"/>
  <c r="AE478" i="16" l="1"/>
  <c r="W123" i="16"/>
  <c r="P123" i="16"/>
  <c r="R123" i="16"/>
  <c r="S123" i="16"/>
  <c r="O123" i="16"/>
  <c r="L125" i="16"/>
  <c r="J125" i="16"/>
  <c r="K125" i="16" s="1"/>
  <c r="BI125" i="16"/>
  <c r="U123" i="16"/>
  <c r="V123" i="16"/>
  <c r="Y123" i="16"/>
  <c r="X123" i="16"/>
  <c r="Q123" i="16"/>
  <c r="N123" i="16"/>
  <c r="L124" i="16"/>
  <c r="BI124" i="16"/>
  <c r="J124" i="16"/>
  <c r="K124" i="16" s="1"/>
  <c r="Z123" i="16"/>
  <c r="T123" i="16"/>
  <c r="L82" i="16"/>
  <c r="J82" i="16"/>
  <c r="K82" i="16" s="1"/>
  <c r="J84" i="16"/>
  <c r="K84" i="16" s="1"/>
  <c r="L84" i="16"/>
  <c r="J86" i="16"/>
  <c r="K86" i="16" s="1"/>
  <c r="L86" i="16"/>
  <c r="L83" i="16"/>
  <c r="J83" i="16"/>
  <c r="K83" i="16" s="1"/>
  <c r="L85" i="16"/>
  <c r="J85" i="16"/>
  <c r="K85" i="16" s="1"/>
  <c r="AG496" i="16"/>
  <c r="AD478" i="16"/>
  <c r="AD499" i="16" s="1"/>
  <c r="AC478" i="16"/>
  <c r="AC499" i="16" s="1"/>
  <c r="AE500" i="16"/>
  <c r="AE502" i="16" s="1"/>
  <c r="AG478" i="16"/>
  <c r="AG499" i="16" s="1"/>
  <c r="AC500" i="16"/>
  <c r="AC485" i="16" s="1"/>
  <c r="AG500" i="16"/>
  <c r="AG485" i="16" s="1"/>
  <c r="AD500" i="16"/>
  <c r="AD502" i="16" s="1"/>
  <c r="AE499" i="16"/>
  <c r="J123" i="16" l="1"/>
  <c r="K123" i="16" s="1"/>
  <c r="AE485" i="16"/>
  <c r="AC502" i="16"/>
  <c r="AG502" i="16"/>
  <c r="AD485" i="16"/>
  <c r="I199" i="16" l="1"/>
  <c r="I200" i="16"/>
  <c r="I267" i="16" l="1"/>
  <c r="I268" i="16" s="1"/>
  <c r="I266" i="16"/>
  <c r="AI266" i="16" s="1"/>
  <c r="I263" i="16"/>
  <c r="AI263" i="16" s="1"/>
  <c r="I261" i="16"/>
  <c r="AM261" i="16" s="1"/>
  <c r="I260" i="16"/>
  <c r="AM260" i="16" s="1"/>
  <c r="AM258" i="16"/>
  <c r="I170" i="16"/>
  <c r="I165" i="16"/>
  <c r="I158" i="16"/>
  <c r="I157" i="16"/>
  <c r="AB150" i="16"/>
  <c r="I152" i="16"/>
  <c r="I149" i="16"/>
  <c r="BA149" i="16" s="1"/>
  <c r="BL149" i="16" s="1"/>
  <c r="I148" i="16"/>
  <c r="BL153" i="16"/>
  <c r="BK153" i="16"/>
  <c r="H153" i="16"/>
  <c r="BK152" i="16"/>
  <c r="H152" i="16"/>
  <c r="BL151" i="16"/>
  <c r="BK151" i="16"/>
  <c r="H151" i="16"/>
  <c r="BL150" i="16"/>
  <c r="H150" i="16"/>
  <c r="BJ149" i="16"/>
  <c r="BI149" i="16"/>
  <c r="H149" i="16"/>
  <c r="BL148" i="16"/>
  <c r="BJ148" i="16"/>
  <c r="BI148" i="16"/>
  <c r="H148" i="16"/>
  <c r="I106" i="16"/>
  <c r="I103" i="16"/>
  <c r="I105" i="16" s="1"/>
  <c r="Z105" i="16" s="1"/>
  <c r="Z103" i="16" s="1"/>
  <c r="I102" i="16"/>
  <c r="I109" i="16"/>
  <c r="I77" i="16"/>
  <c r="I74" i="16"/>
  <c r="I73" i="16"/>
  <c r="I16" i="16"/>
  <c r="I13" i="16"/>
  <c r="I12" i="16"/>
  <c r="I6" i="16"/>
  <c r="I5" i="16"/>
  <c r="AB268" i="16" l="1"/>
  <c r="X268" i="16"/>
  <c r="T268" i="16"/>
  <c r="P268" i="16"/>
  <c r="U268" i="16"/>
  <c r="AA268" i="16"/>
  <c r="W268" i="16"/>
  <c r="S268" i="16"/>
  <c r="O268" i="16"/>
  <c r="Z268" i="16"/>
  <c r="V268" i="16"/>
  <c r="R268" i="16"/>
  <c r="Y268" i="16"/>
  <c r="Q268" i="16"/>
  <c r="N268" i="16"/>
  <c r="V105" i="16"/>
  <c r="V103" i="16" s="1"/>
  <c r="R105" i="16"/>
  <c r="R103" i="16" s="1"/>
  <c r="O105" i="16"/>
  <c r="O103" i="16" s="1"/>
  <c r="Y105" i="16"/>
  <c r="Y103" i="16" s="1"/>
  <c r="U105" i="16"/>
  <c r="U103" i="16" s="1"/>
  <c r="Q105" i="16"/>
  <c r="Q103" i="16" s="1"/>
  <c r="X105" i="16"/>
  <c r="X103" i="16" s="1"/>
  <c r="T105" i="16"/>
  <c r="T103" i="16" s="1"/>
  <c r="P105" i="16"/>
  <c r="P103" i="16" s="1"/>
  <c r="W105" i="16"/>
  <c r="W103" i="16" s="1"/>
  <c r="S105" i="16"/>
  <c r="S103" i="16" s="1"/>
  <c r="I265" i="16"/>
  <c r="I259" i="16"/>
  <c r="BA152" i="16"/>
  <c r="BJ153" i="16"/>
  <c r="AL148" i="16"/>
  <c r="BJ150" i="16"/>
  <c r="BJ152" i="16"/>
  <c r="I150" i="16"/>
  <c r="AL149" i="16"/>
  <c r="I107" i="16"/>
  <c r="Z107" i="16" s="1"/>
  <c r="AI265" i="16" l="1"/>
  <c r="AI264" i="16" s="1"/>
  <c r="AI262" i="16" s="1"/>
  <c r="I264" i="16"/>
  <c r="Y501" i="16"/>
  <c r="Y267" i="16"/>
  <c r="O501" i="16"/>
  <c r="O267" i="16"/>
  <c r="Z267" i="16"/>
  <c r="Z501" i="16"/>
  <c r="R267" i="16"/>
  <c r="R501" i="16"/>
  <c r="X501" i="16"/>
  <c r="X267" i="16"/>
  <c r="P501" i="16"/>
  <c r="P267" i="16"/>
  <c r="Q501" i="16"/>
  <c r="Q267" i="16"/>
  <c r="V267" i="16"/>
  <c r="V501" i="16"/>
  <c r="W501" i="16"/>
  <c r="W267" i="16"/>
  <c r="S501" i="16"/>
  <c r="S267" i="16"/>
  <c r="T267" i="16"/>
  <c r="T501" i="16"/>
  <c r="U501" i="16"/>
  <c r="U267" i="16"/>
  <c r="Y120" i="16"/>
  <c r="U120" i="16"/>
  <c r="Q120" i="16"/>
  <c r="AB120" i="16"/>
  <c r="X120" i="16"/>
  <c r="P120" i="16"/>
  <c r="AA120" i="16"/>
  <c r="W120" i="16"/>
  <c r="O120" i="16"/>
  <c r="V120" i="16"/>
  <c r="N120" i="16"/>
  <c r="T120" i="16"/>
  <c r="S120" i="16"/>
  <c r="Z120" i="16"/>
  <c r="R120" i="16"/>
  <c r="I108" i="16"/>
  <c r="Z108" i="16" s="1"/>
  <c r="Z106" i="16" s="1"/>
  <c r="Z102" i="16" s="1"/>
  <c r="W107" i="16"/>
  <c r="S107" i="16"/>
  <c r="V107" i="16"/>
  <c r="R107" i="16"/>
  <c r="O107" i="16"/>
  <c r="Y107" i="16"/>
  <c r="U107" i="16"/>
  <c r="Q107" i="16"/>
  <c r="X107" i="16"/>
  <c r="T107" i="16"/>
  <c r="P107" i="16"/>
  <c r="BL152" i="16"/>
  <c r="J153" i="16"/>
  <c r="K153" i="16" s="1"/>
  <c r="L153" i="16"/>
  <c r="BI153" i="16"/>
  <c r="J149" i="16"/>
  <c r="K149" i="16" s="1"/>
  <c r="BK149" i="16"/>
  <c r="L149" i="16"/>
  <c r="AL150" i="16"/>
  <c r="BK148" i="16"/>
  <c r="L148" i="16"/>
  <c r="J148" i="16"/>
  <c r="K148" i="16" s="1"/>
  <c r="Y108" i="16" l="1"/>
  <c r="Y106" i="16" s="1"/>
  <c r="Y102" i="16" s="1"/>
  <c r="U108" i="16"/>
  <c r="U106" i="16" s="1"/>
  <c r="U102" i="16" s="1"/>
  <c r="Q108" i="16"/>
  <c r="Q106" i="16" s="1"/>
  <c r="Q102" i="16" s="1"/>
  <c r="X108" i="16"/>
  <c r="X106" i="16" s="1"/>
  <c r="X102" i="16" s="1"/>
  <c r="T108" i="16"/>
  <c r="T106" i="16" s="1"/>
  <c r="T102" i="16" s="1"/>
  <c r="P108" i="16"/>
  <c r="P106" i="16" s="1"/>
  <c r="P102" i="16" s="1"/>
  <c r="O108" i="16"/>
  <c r="O106" i="16" s="1"/>
  <c r="O102" i="16" s="1"/>
  <c r="W108" i="16"/>
  <c r="W106" i="16" s="1"/>
  <c r="W102" i="16" s="1"/>
  <c r="S108" i="16"/>
  <c r="S106" i="16" s="1"/>
  <c r="S102" i="16" s="1"/>
  <c r="V108" i="16"/>
  <c r="V106" i="16" s="1"/>
  <c r="V102" i="16" s="1"/>
  <c r="R108" i="16"/>
  <c r="R106" i="16" s="1"/>
  <c r="R102" i="16" s="1"/>
  <c r="BK150" i="16"/>
  <c r="AA150" i="16" l="1"/>
  <c r="C28" i="34"/>
  <c r="B28" i="34"/>
  <c r="E27" i="34"/>
  <c r="D27" i="34"/>
  <c r="E26" i="34"/>
  <c r="D26" i="34"/>
  <c r="E25" i="34"/>
  <c r="D25" i="34"/>
  <c r="E24" i="34"/>
  <c r="D24" i="34"/>
  <c r="E23" i="34"/>
  <c r="D23" i="34"/>
  <c r="E22" i="34"/>
  <c r="D22" i="34"/>
  <c r="E21" i="34"/>
  <c r="D21" i="34"/>
  <c r="E20" i="34"/>
  <c r="D20" i="34"/>
  <c r="E19" i="34"/>
  <c r="D19" i="34"/>
  <c r="D28" i="34" s="1"/>
  <c r="K11" i="34"/>
  <c r="J11" i="34"/>
  <c r="I11" i="34"/>
  <c r="H11" i="34"/>
  <c r="G11" i="34"/>
  <c r="F11" i="34"/>
  <c r="E11" i="34"/>
  <c r="D11" i="34"/>
  <c r="C11" i="34"/>
  <c r="K8" i="34"/>
  <c r="J8" i="34"/>
  <c r="I8" i="34"/>
  <c r="H8" i="34"/>
  <c r="G8" i="34"/>
  <c r="F8" i="34"/>
  <c r="E8" i="34"/>
  <c r="D8" i="34"/>
  <c r="C8" i="34"/>
  <c r="L7" i="34"/>
  <c r="L6" i="34"/>
  <c r="J21" i="37"/>
  <c r="J20" i="37"/>
  <c r="J19" i="37"/>
  <c r="J18" i="37"/>
  <c r="C22" i="37"/>
  <c r="J12" i="37"/>
  <c r="E13" i="37"/>
  <c r="F29" i="33"/>
  <c r="F30" i="33" s="1"/>
  <c r="G30" i="33" s="1"/>
  <c r="I25" i="33"/>
  <c r="G25" i="33"/>
  <c r="F25" i="33"/>
  <c r="G24" i="33"/>
  <c r="F24" i="33"/>
  <c r="I20" i="33"/>
  <c r="K20" i="33" s="1"/>
  <c r="E20" i="33"/>
  <c r="H20" i="33" s="1"/>
  <c r="I19" i="33"/>
  <c r="K19" i="33" s="1"/>
  <c r="E19" i="33"/>
  <c r="H19" i="33" s="1"/>
  <c r="I18" i="33"/>
  <c r="K18" i="33" s="1"/>
  <c r="E18" i="33"/>
  <c r="H18" i="33" s="1"/>
  <c r="K16" i="33"/>
  <c r="K15" i="33"/>
  <c r="K14" i="33"/>
  <c r="E14" i="33"/>
  <c r="E25" i="33" s="1"/>
  <c r="C14" i="33"/>
  <c r="I13" i="33"/>
  <c r="C13" i="33"/>
  <c r="C24" i="33" s="1"/>
  <c r="H8" i="33"/>
  <c r="H5" i="33" s="1"/>
  <c r="G8" i="33"/>
  <c r="G23" i="33" s="1"/>
  <c r="F8" i="33"/>
  <c r="F23" i="33" s="1"/>
  <c r="E8" i="33"/>
  <c r="E7" i="33" s="1"/>
  <c r="D8" i="33"/>
  <c r="C22" i="33" s="1"/>
  <c r="G6" i="33"/>
  <c r="E6" i="33"/>
  <c r="F5" i="33"/>
  <c r="E5" i="33"/>
  <c r="M56" i="39"/>
  <c r="M55" i="39"/>
  <c r="O55" i="39" s="1"/>
  <c r="M54" i="39"/>
  <c r="M53" i="39"/>
  <c r="M52" i="39"/>
  <c r="M51" i="39"/>
  <c r="M50" i="39"/>
  <c r="M49" i="39"/>
  <c r="M48" i="39"/>
  <c r="M47" i="39"/>
  <c r="B26" i="38"/>
  <c r="G16" i="38"/>
  <c r="G15" i="38"/>
  <c r="G14" i="38"/>
  <c r="G13" i="38"/>
  <c r="G12" i="38"/>
  <c r="G11" i="38"/>
  <c r="G10" i="38"/>
  <c r="G9" i="38"/>
  <c r="G8" i="38"/>
  <c r="G7" i="38"/>
  <c r="G6" i="38"/>
  <c r="G5" i="38"/>
  <c r="F4" i="38"/>
  <c r="G4" i="38" s="1"/>
  <c r="E4" i="38"/>
  <c r="E17" i="38" s="1"/>
  <c r="J5" i="35"/>
  <c r="EG7" i="54"/>
  <c r="L75" i="36"/>
  <c r="N75" i="36" s="1"/>
  <c r="L74" i="36"/>
  <c r="N74" i="36" s="1"/>
  <c r="L73" i="36"/>
  <c r="N73" i="36" s="1"/>
  <c r="L72" i="36"/>
  <c r="N72" i="36" s="1"/>
  <c r="L71" i="36"/>
  <c r="N71" i="36" s="1"/>
  <c r="L70" i="36"/>
  <c r="N70" i="36" s="1"/>
  <c r="L69" i="36"/>
  <c r="N69" i="36" s="1"/>
  <c r="L68" i="36"/>
  <c r="N68" i="36" s="1"/>
  <c r="L67" i="36"/>
  <c r="N67" i="36" s="1"/>
  <c r="L66" i="36"/>
  <c r="N66" i="36" s="1"/>
  <c r="L65" i="36"/>
  <c r="N65" i="36" s="1"/>
  <c r="L64" i="36"/>
  <c r="N64" i="36" s="1"/>
  <c r="L63" i="36"/>
  <c r="N63" i="36" s="1"/>
  <c r="L62" i="36"/>
  <c r="N62" i="36" s="1"/>
  <c r="L61" i="36"/>
  <c r="N61" i="36" s="1"/>
  <c r="L60" i="36"/>
  <c r="N60" i="36" s="1"/>
  <c r="L59" i="36"/>
  <c r="N59" i="36" s="1"/>
  <c r="L58" i="36"/>
  <c r="N58" i="36" s="1"/>
  <c r="L57" i="36"/>
  <c r="N57" i="36" s="1"/>
  <c r="L56" i="36"/>
  <c r="N56" i="36" s="1"/>
  <c r="L55" i="36"/>
  <c r="N55" i="36" s="1"/>
  <c r="L54" i="36"/>
  <c r="N54" i="36" s="1"/>
  <c r="L53" i="36"/>
  <c r="N53" i="36" s="1"/>
  <c r="L52" i="36"/>
  <c r="N52" i="36" s="1"/>
  <c r="L51" i="36"/>
  <c r="N51" i="36" s="1"/>
  <c r="L50" i="36"/>
  <c r="N50" i="36" s="1"/>
  <c r="L49" i="36"/>
  <c r="N49" i="36" s="1"/>
  <c r="L48" i="36"/>
  <c r="N48" i="36" s="1"/>
  <c r="L47" i="36"/>
  <c r="N47" i="36" s="1"/>
  <c r="L46" i="36"/>
  <c r="N46" i="36" s="1"/>
  <c r="L45" i="36"/>
  <c r="N45" i="36" s="1"/>
  <c r="L44" i="36"/>
  <c r="N44" i="36" s="1"/>
  <c r="L43" i="36"/>
  <c r="N43" i="36" s="1"/>
  <c r="L42" i="36"/>
  <c r="N42" i="36" s="1"/>
  <c r="L41" i="36"/>
  <c r="N41" i="36" s="1"/>
  <c r="L40" i="36"/>
  <c r="N40" i="36" s="1"/>
  <c r="L39" i="36"/>
  <c r="N39" i="36" s="1"/>
  <c r="L38" i="36"/>
  <c r="N38" i="36" s="1"/>
  <c r="L37" i="36"/>
  <c r="N37" i="36" s="1"/>
  <c r="L36" i="36"/>
  <c r="N36" i="36" s="1"/>
  <c r="L35" i="36"/>
  <c r="N35" i="36" s="1"/>
  <c r="L34" i="36"/>
  <c r="N34" i="36" s="1"/>
  <c r="L33" i="36"/>
  <c r="N33" i="36" s="1"/>
  <c r="L32" i="36"/>
  <c r="N32" i="36" s="1"/>
  <c r="L31" i="36"/>
  <c r="N31" i="36" s="1"/>
  <c r="L30" i="36"/>
  <c r="N30" i="36" s="1"/>
  <c r="L29" i="36"/>
  <c r="N29" i="36" s="1"/>
  <c r="L28" i="36"/>
  <c r="N28" i="36" s="1"/>
  <c r="L27" i="36"/>
  <c r="N27" i="36" s="1"/>
  <c r="L26" i="36"/>
  <c r="N26" i="36" s="1"/>
  <c r="L25" i="36"/>
  <c r="N25" i="36" s="1"/>
  <c r="L24" i="36"/>
  <c r="N24" i="36" s="1"/>
  <c r="L23" i="36"/>
  <c r="N23" i="36" s="1"/>
  <c r="L22" i="36"/>
  <c r="N22" i="36" s="1"/>
  <c r="L21" i="36"/>
  <c r="N21" i="36" s="1"/>
  <c r="M20" i="36"/>
  <c r="L20" i="36"/>
  <c r="M19" i="36"/>
  <c r="L19" i="36"/>
  <c r="I119" i="16"/>
  <c r="I121" i="16" s="1"/>
  <c r="M17" i="36"/>
  <c r="L17" i="36"/>
  <c r="L16" i="36"/>
  <c r="N16" i="36" s="1"/>
  <c r="M15" i="36"/>
  <c r="L15" i="36"/>
  <c r="M14" i="36"/>
  <c r="N14" i="36" s="1"/>
  <c r="L14" i="36"/>
  <c r="M13" i="36"/>
  <c r="L13" i="36"/>
  <c r="M12" i="36"/>
  <c r="L12" i="36"/>
  <c r="M11" i="36"/>
  <c r="L11" i="36"/>
  <c r="M10" i="36"/>
  <c r="N10" i="36" s="1"/>
  <c r="L10" i="36"/>
  <c r="M9" i="36"/>
  <c r="L9" i="36"/>
  <c r="M8" i="36"/>
  <c r="L8" i="36"/>
  <c r="M7" i="36"/>
  <c r="L7" i="36"/>
  <c r="L6" i="36"/>
  <c r="N6" i="36" s="1"/>
  <c r="L5" i="36"/>
  <c r="N5" i="36" s="1"/>
  <c r="L4" i="36"/>
  <c r="N4" i="36" s="1"/>
  <c r="I43" i="26"/>
  <c r="H43" i="26"/>
  <c r="I42" i="26"/>
  <c r="H42" i="26"/>
  <c r="I41" i="26"/>
  <c r="H41" i="26"/>
  <c r="I40" i="26"/>
  <c r="H40" i="26"/>
  <c r="I39" i="26"/>
  <c r="H39" i="26"/>
  <c r="I38" i="26"/>
  <c r="H38" i="26"/>
  <c r="I37" i="26"/>
  <c r="H37" i="26"/>
  <c r="I36" i="26"/>
  <c r="H36" i="26"/>
  <c r="I35" i="26"/>
  <c r="H35" i="26"/>
  <c r="I34" i="26"/>
  <c r="H34" i="26"/>
  <c r="I33" i="26"/>
  <c r="H33" i="26"/>
  <c r="I32" i="26"/>
  <c r="H32" i="26"/>
  <c r="I31" i="26"/>
  <c r="H31" i="26"/>
  <c r="I30" i="26"/>
  <c r="H30" i="26"/>
  <c r="AI71" i="27"/>
  <c r="C69" i="27"/>
  <c r="C68" i="27"/>
  <c r="C67" i="27"/>
  <c r="C66" i="27"/>
  <c r="C65" i="27"/>
  <c r="C64" i="27"/>
  <c r="C63" i="27"/>
  <c r="C62" i="27"/>
  <c r="C61" i="27"/>
  <c r="C60" i="27"/>
  <c r="C59" i="27"/>
  <c r="C58" i="27"/>
  <c r="C57" i="27"/>
  <c r="C56" i="27"/>
  <c r="C55" i="27"/>
  <c r="C54" i="27"/>
  <c r="C53" i="27"/>
  <c r="C52" i="27"/>
  <c r="C51" i="27"/>
  <c r="C50" i="27"/>
  <c r="C49" i="27"/>
  <c r="C48" i="27"/>
  <c r="C47" i="27"/>
  <c r="D46" i="27"/>
  <c r="C46" i="27"/>
  <c r="C45" i="27"/>
  <c r="C44" i="27"/>
  <c r="N43" i="27"/>
  <c r="K43" i="27"/>
  <c r="J43" i="27"/>
  <c r="I43" i="27"/>
  <c r="G43" i="27"/>
  <c r="F43" i="27"/>
  <c r="AI42" i="27"/>
  <c r="AP40" i="27"/>
  <c r="AP41" i="27" s="1"/>
  <c r="AP70" i="27" s="1"/>
  <c r="AN40" i="27"/>
  <c r="AN41" i="27" s="1"/>
  <c r="AN42" i="27" s="1"/>
  <c r="AM40" i="27"/>
  <c r="AM41" i="27" s="1"/>
  <c r="AM42" i="27" s="1"/>
  <c r="AL40" i="27"/>
  <c r="AL41" i="27" s="1"/>
  <c r="AL42" i="27" s="1"/>
  <c r="AJ40" i="27"/>
  <c r="AJ41" i="27" s="1"/>
  <c r="AH40" i="27"/>
  <c r="AH41" i="27" s="1"/>
  <c r="AG40" i="27"/>
  <c r="AG41" i="27" s="1"/>
  <c r="AG42" i="27" s="1"/>
  <c r="AF40" i="27"/>
  <c r="AF41" i="27" s="1"/>
  <c r="AE40" i="27"/>
  <c r="AE41" i="27" s="1"/>
  <c r="AD40" i="27"/>
  <c r="AD41" i="27" s="1"/>
  <c r="AC40" i="27"/>
  <c r="AC41" i="27" s="1"/>
  <c r="AC42" i="27" s="1"/>
  <c r="AB40" i="27"/>
  <c r="AB41" i="27" s="1"/>
  <c r="AB42" i="27" s="1"/>
  <c r="AA40" i="27"/>
  <c r="AA41" i="27" s="1"/>
  <c r="Z40" i="27"/>
  <c r="Z41" i="27" s="1"/>
  <c r="Y40" i="27"/>
  <c r="Y41" i="27" s="1"/>
  <c r="Y42" i="27" s="1"/>
  <c r="X40" i="27"/>
  <c r="X41" i="27" s="1"/>
  <c r="W40" i="27"/>
  <c r="W41" i="27" s="1"/>
  <c r="V40" i="27"/>
  <c r="V41" i="27" s="1"/>
  <c r="U40" i="27"/>
  <c r="U41" i="27" s="1"/>
  <c r="U42" i="27" s="1"/>
  <c r="S40" i="27"/>
  <c r="S41" i="27" s="1"/>
  <c r="P40" i="27"/>
  <c r="P41" i="27" s="1"/>
  <c r="P42" i="27" s="1"/>
  <c r="N40" i="27"/>
  <c r="N41" i="27" s="1"/>
  <c r="M40" i="27"/>
  <c r="M41" i="27" s="1"/>
  <c r="M70" i="27" s="1"/>
  <c r="L40" i="27"/>
  <c r="L41" i="27" s="1"/>
  <c r="K40" i="27"/>
  <c r="K41" i="27" s="1"/>
  <c r="J40" i="27"/>
  <c r="J41" i="27" s="1"/>
  <c r="I40" i="27"/>
  <c r="I41" i="27" s="1"/>
  <c r="I70" i="27" s="1"/>
  <c r="H40" i="27"/>
  <c r="H41" i="27" s="1"/>
  <c r="G40" i="27"/>
  <c r="G41" i="27" s="1"/>
  <c r="E40" i="27"/>
  <c r="E41" i="27" s="1"/>
  <c r="E70" i="27" s="1"/>
  <c r="AJ39" i="27"/>
  <c r="AH39" i="27"/>
  <c r="AG39" i="27"/>
  <c r="AF39" i="27"/>
  <c r="AE39" i="27"/>
  <c r="AD39" i="27"/>
  <c r="AC39" i="27"/>
  <c r="AA39" i="27"/>
  <c r="Z39" i="27"/>
  <c r="Y39" i="27"/>
  <c r="X39" i="27"/>
  <c r="W39" i="27"/>
  <c r="V39" i="27"/>
  <c r="U39" i="27"/>
  <c r="T39" i="27"/>
  <c r="S39" i="27"/>
  <c r="P39" i="27"/>
  <c r="N39" i="27"/>
  <c r="M39" i="27"/>
  <c r="L39" i="27"/>
  <c r="K39" i="27"/>
  <c r="J39" i="27"/>
  <c r="I39" i="27"/>
  <c r="H39" i="27"/>
  <c r="G39" i="27"/>
  <c r="E39" i="27"/>
  <c r="C38" i="27"/>
  <c r="D38" i="27" s="1"/>
  <c r="C37" i="27"/>
  <c r="D36" i="27"/>
  <c r="C36" i="27"/>
  <c r="C35" i="27"/>
  <c r="D35" i="27" s="1"/>
  <c r="AK34" i="27"/>
  <c r="AK40" i="27" s="1"/>
  <c r="AK41" i="27" s="1"/>
  <c r="AK42" i="27" s="1"/>
  <c r="R34" i="27"/>
  <c r="R40" i="27" s="1"/>
  <c r="R41" i="27" s="1"/>
  <c r="R42" i="27" s="1"/>
  <c r="O34" i="27"/>
  <c r="F34" i="27"/>
  <c r="F40" i="27" s="1"/>
  <c r="F41" i="27" s="1"/>
  <c r="C33" i="27"/>
  <c r="D33" i="27" s="1"/>
  <c r="D32" i="27"/>
  <c r="C32" i="27"/>
  <c r="O30" i="27"/>
  <c r="D29" i="27"/>
  <c r="C29" i="27"/>
  <c r="D28" i="27"/>
  <c r="C28" i="27"/>
  <c r="C27" i="27"/>
  <c r="C26" i="27"/>
  <c r="C25" i="27"/>
  <c r="C24" i="27"/>
  <c r="D23" i="27"/>
  <c r="C23" i="27"/>
  <c r="C22" i="27"/>
  <c r="D22" i="27" s="1"/>
  <c r="D21" i="27"/>
  <c r="C21" i="27"/>
  <c r="C20" i="27"/>
  <c r="C19" i="27"/>
  <c r="C18" i="27"/>
  <c r="C17" i="27"/>
  <c r="O16" i="27"/>
  <c r="C16" i="27" s="1"/>
  <c r="AO15" i="27"/>
  <c r="T15" i="27"/>
  <c r="C15" i="27" s="1"/>
  <c r="AT15" i="27" s="1"/>
  <c r="AO14" i="27"/>
  <c r="D14" i="27"/>
  <c r="D13" i="27"/>
  <c r="C13" i="27"/>
  <c r="D12" i="27"/>
  <c r="C12" i="27"/>
  <c r="D11" i="27"/>
  <c r="C11" i="27"/>
  <c r="C10" i="27"/>
  <c r="C8" i="27"/>
  <c r="D8" i="27" s="1"/>
  <c r="C7" i="27"/>
  <c r="D7" i="27" s="1"/>
  <c r="C6" i="27"/>
  <c r="R2" i="27"/>
  <c r="Q30" i="27" s="1"/>
  <c r="M32" i="28"/>
  <c r="A32" i="28"/>
  <c r="M30" i="28"/>
  <c r="A30" i="28"/>
  <c r="M27" i="28"/>
  <c r="A27" i="28"/>
  <c r="M24" i="28"/>
  <c r="A24" i="28"/>
  <c r="M22" i="28"/>
  <c r="A22" i="28"/>
  <c r="M20" i="28"/>
  <c r="A20" i="28"/>
  <c r="M16" i="28"/>
  <c r="A16" i="28"/>
  <c r="M11" i="28"/>
  <c r="A11" i="28"/>
  <c r="M7" i="28"/>
  <c r="A7" i="28"/>
  <c r="V121" i="16" l="1"/>
  <c r="V119" i="16" s="1"/>
  <c r="O121" i="16"/>
  <c r="O119" i="16" s="1"/>
  <c r="Q121" i="16"/>
  <c r="Q119" i="16" s="1"/>
  <c r="Z121" i="16"/>
  <c r="Z119" i="16" s="1"/>
  <c r="R121" i="16"/>
  <c r="R119" i="16" s="1"/>
  <c r="AB121" i="16"/>
  <c r="W121" i="16"/>
  <c r="W119" i="16" s="1"/>
  <c r="N121" i="16"/>
  <c r="T121" i="16"/>
  <c r="T119" i="16" s="1"/>
  <c r="X121" i="16"/>
  <c r="X119" i="16" s="1"/>
  <c r="Y121" i="16"/>
  <c r="Y119" i="16" s="1"/>
  <c r="P121" i="16"/>
  <c r="P119" i="16" s="1"/>
  <c r="AA121" i="16"/>
  <c r="S121" i="16"/>
  <c r="S119" i="16" s="1"/>
  <c r="U121" i="16"/>
  <c r="U119" i="16" s="1"/>
  <c r="C34" i="27"/>
  <c r="N20" i="36"/>
  <c r="E28" i="34"/>
  <c r="AO40" i="27"/>
  <c r="AO41" i="27" s="1"/>
  <c r="AO42" i="27" s="1"/>
  <c r="N9" i="36"/>
  <c r="N13" i="36"/>
  <c r="N17" i="36"/>
  <c r="C43" i="27"/>
  <c r="D5" i="33"/>
  <c r="I5" i="33" s="1"/>
  <c r="F22" i="33"/>
  <c r="N12" i="36"/>
  <c r="P12" i="36" s="1"/>
  <c r="D47" i="27"/>
  <c r="N8" i="36"/>
  <c r="P8" i="36" s="1"/>
  <c r="N11" i="36"/>
  <c r="P11" i="36" s="1"/>
  <c r="N18" i="36"/>
  <c r="P18" i="36" s="1"/>
  <c r="D6" i="33"/>
  <c r="I6" i="33" s="1"/>
  <c r="H6" i="33"/>
  <c r="F7" i="33"/>
  <c r="I8" i="33"/>
  <c r="I22" i="33" s="1"/>
  <c r="H14" i="33"/>
  <c r="H25" i="33" s="1"/>
  <c r="C23" i="33"/>
  <c r="M57" i="39"/>
  <c r="M59" i="39" s="1"/>
  <c r="H7" i="33"/>
  <c r="K21" i="33"/>
  <c r="H23" i="33"/>
  <c r="L8" i="34"/>
  <c r="AE81" i="16"/>
  <c r="Y81" i="16"/>
  <c r="U81" i="16"/>
  <c r="Q81" i="16"/>
  <c r="O81" i="16"/>
  <c r="AD81" i="16"/>
  <c r="AG81" i="16"/>
  <c r="Z81" i="16"/>
  <c r="X81" i="16"/>
  <c r="T81" i="16"/>
  <c r="P81" i="16"/>
  <c r="AC81" i="16"/>
  <c r="AF81" i="16"/>
  <c r="W81" i="16"/>
  <c r="S81" i="16"/>
  <c r="V81" i="16"/>
  <c r="R81" i="16"/>
  <c r="C14" i="27"/>
  <c r="AK39" i="27"/>
  <c r="N7" i="36"/>
  <c r="P7" i="36" s="1"/>
  <c r="N15" i="36"/>
  <c r="N19" i="36"/>
  <c r="P19" i="36" s="1"/>
  <c r="F6" i="33"/>
  <c r="D7" i="33"/>
  <c r="I7" i="33" s="1"/>
  <c r="E13" i="33"/>
  <c r="E24" i="33" s="1"/>
  <c r="F28" i="33"/>
  <c r="G28" i="33" s="1"/>
  <c r="L11" i="34"/>
  <c r="I24" i="33"/>
  <c r="P15" i="36"/>
  <c r="BI150" i="16"/>
  <c r="L150" i="16"/>
  <c r="J150" i="16"/>
  <c r="K150" i="16" s="1"/>
  <c r="P9" i="36"/>
  <c r="P10" i="36"/>
  <c r="P20" i="36"/>
  <c r="G4" i="37"/>
  <c r="G5" i="37"/>
  <c r="G7" i="37"/>
  <c r="G10" i="37"/>
  <c r="G11" i="37"/>
  <c r="P13" i="36"/>
  <c r="P14" i="36"/>
  <c r="P17" i="36"/>
  <c r="K12" i="37"/>
  <c r="N12" i="37" s="1"/>
  <c r="K18" i="37"/>
  <c r="N18" i="37" s="1"/>
  <c r="K19" i="37"/>
  <c r="K20" i="37"/>
  <c r="N20" i="37" s="1"/>
  <c r="K21" i="37"/>
  <c r="N21" i="37" s="1"/>
  <c r="BI152" i="16"/>
  <c r="J152" i="16"/>
  <c r="K152" i="16" s="1"/>
  <c r="L152" i="16"/>
  <c r="F13" i="37"/>
  <c r="F12" i="37"/>
  <c r="F11" i="37"/>
  <c r="F10" i="37"/>
  <c r="F9" i="37"/>
  <c r="F8" i="37"/>
  <c r="F7" i="37"/>
  <c r="F6" i="37"/>
  <c r="F5" i="37"/>
  <c r="F4" i="37"/>
  <c r="N19" i="37"/>
  <c r="D21" i="37"/>
  <c r="D19" i="37"/>
  <c r="D22" i="37"/>
  <c r="D20" i="37"/>
  <c r="D18" i="37"/>
  <c r="G8" i="37"/>
  <c r="H13" i="37"/>
  <c r="I9" i="37" s="1"/>
  <c r="L13" i="37"/>
  <c r="M13" i="37" s="1"/>
  <c r="J4" i="37"/>
  <c r="K4" i="37" s="1"/>
  <c r="J5" i="37"/>
  <c r="K5" i="37" s="1"/>
  <c r="J6" i="37"/>
  <c r="K6" i="37" s="1"/>
  <c r="J7" i="37"/>
  <c r="K7" i="37" s="1"/>
  <c r="J8" i="37"/>
  <c r="K8" i="37" s="1"/>
  <c r="J9" i="37"/>
  <c r="K9" i="37" s="1"/>
  <c r="J10" i="37"/>
  <c r="K10" i="37" s="1"/>
  <c r="J11" i="37"/>
  <c r="K11" i="37" s="1"/>
  <c r="C13" i="37"/>
  <c r="D13" i="37" s="1"/>
  <c r="G18" i="37"/>
  <c r="G19" i="37"/>
  <c r="G20" i="37"/>
  <c r="G21" i="37"/>
  <c r="H22" i="37"/>
  <c r="I21" i="37" s="1"/>
  <c r="L22" i="37"/>
  <c r="M22" i="37" s="1"/>
  <c r="G6" i="37"/>
  <c r="G9" i="37"/>
  <c r="E22" i="37"/>
  <c r="F21" i="37" s="1"/>
  <c r="C25" i="33"/>
  <c r="G22" i="33"/>
  <c r="E23" i="33"/>
  <c r="I23" i="33"/>
  <c r="G29" i="33"/>
  <c r="G31" i="33" s="1"/>
  <c r="F31" i="33"/>
  <c r="G5" i="33"/>
  <c r="G7" i="33"/>
  <c r="H29" i="33"/>
  <c r="K13" i="33"/>
  <c r="F17" i="38"/>
  <c r="G17" i="38" s="1"/>
  <c r="L70" i="27"/>
  <c r="L42" i="27"/>
  <c r="S71" i="27"/>
  <c r="S70" i="27"/>
  <c r="S42" i="27"/>
  <c r="AF71" i="27"/>
  <c r="AF42" i="27"/>
  <c r="H70" i="27"/>
  <c r="H42" i="27"/>
  <c r="X71" i="27"/>
  <c r="X42" i="27"/>
  <c r="C30" i="27"/>
  <c r="C40" i="27" s="1"/>
  <c r="F42" i="27"/>
  <c r="F70" i="27"/>
  <c r="Q40" i="27"/>
  <c r="Q41" i="27" s="1"/>
  <c r="Q42" i="27" s="1"/>
  <c r="Q39" i="27"/>
  <c r="J42" i="27"/>
  <c r="J70" i="27"/>
  <c r="N71" i="27"/>
  <c r="N42" i="27"/>
  <c r="V42" i="27"/>
  <c r="V70" i="27"/>
  <c r="Z42" i="27"/>
  <c r="Z70" i="27"/>
  <c r="AD42" i="27"/>
  <c r="AD71" i="27"/>
  <c r="AD70" i="27"/>
  <c r="AH42" i="27"/>
  <c r="AH71" i="27"/>
  <c r="G70" i="27"/>
  <c r="G42" i="27"/>
  <c r="K70" i="27"/>
  <c r="K42" i="27"/>
  <c r="W70" i="27"/>
  <c r="W42" i="27"/>
  <c r="AA70" i="27"/>
  <c r="AA42" i="27"/>
  <c r="AE70" i="27"/>
  <c r="AE42" i="27"/>
  <c r="AJ71" i="27"/>
  <c r="AJ42" i="27"/>
  <c r="O40" i="27"/>
  <c r="O41" i="27" s="1"/>
  <c r="O42" i="27" s="1"/>
  <c r="AL70" i="27"/>
  <c r="AG71" i="27"/>
  <c r="T40" i="27"/>
  <c r="T41" i="27" s="1"/>
  <c r="T42" i="27" s="1"/>
  <c r="U70" i="27"/>
  <c r="E42" i="27"/>
  <c r="I42" i="27"/>
  <c r="M42" i="27"/>
  <c r="O39" i="27"/>
  <c r="F39" i="27"/>
  <c r="R39" i="27"/>
  <c r="I4" i="16"/>
  <c r="H13" i="33" l="1"/>
  <c r="H24" i="33" s="1"/>
  <c r="I18" i="37"/>
  <c r="H31" i="33"/>
  <c r="C5" i="27"/>
  <c r="D11" i="37"/>
  <c r="E22" i="33"/>
  <c r="C70" i="27"/>
  <c r="D7" i="37"/>
  <c r="D4" i="37"/>
  <c r="D12" i="37"/>
  <c r="I12" i="37"/>
  <c r="K22" i="37"/>
  <c r="N22" i="37" s="1"/>
  <c r="D6" i="37"/>
  <c r="D9" i="37"/>
  <c r="I5" i="37"/>
  <c r="G13" i="37"/>
  <c r="F22" i="37"/>
  <c r="G22" i="37"/>
  <c r="N10" i="37"/>
  <c r="N6" i="37"/>
  <c r="M20" i="37"/>
  <c r="M11" i="37"/>
  <c r="M7" i="37"/>
  <c r="F20" i="37"/>
  <c r="J22" i="37"/>
  <c r="I22" i="37"/>
  <c r="N9" i="37"/>
  <c r="N5" i="37"/>
  <c r="J13" i="37"/>
  <c r="I13" i="37"/>
  <c r="M19" i="37"/>
  <c r="M10" i="37"/>
  <c r="M6" i="37"/>
  <c r="I8" i="37"/>
  <c r="I4" i="37"/>
  <c r="F19" i="37"/>
  <c r="I20" i="37"/>
  <c r="N8" i="37"/>
  <c r="K13" i="37"/>
  <c r="N4" i="37"/>
  <c r="M18" i="37"/>
  <c r="M9" i="37"/>
  <c r="M5" i="37"/>
  <c r="I11" i="37"/>
  <c r="I7" i="37"/>
  <c r="F18" i="37"/>
  <c r="I19" i="37"/>
  <c r="D10" i="37"/>
  <c r="N11" i="37"/>
  <c r="N7" i="37"/>
  <c r="D5" i="37"/>
  <c r="M21" i="37"/>
  <c r="M12" i="37"/>
  <c r="M8" i="37"/>
  <c r="M4" i="37"/>
  <c r="I10" i="37"/>
  <c r="I6" i="37"/>
  <c r="D8" i="37"/>
  <c r="H22" i="33"/>
  <c r="C41" i="27"/>
  <c r="C42" i="27"/>
  <c r="C71" i="27"/>
  <c r="H80" i="44"/>
  <c r="H78" i="44"/>
  <c r="H79" i="44" l="1"/>
  <c r="N13" i="37"/>
  <c r="O22" i="37"/>
  <c r="P22" i="37" s="1"/>
  <c r="O21" i="37"/>
  <c r="P21" i="37" s="1"/>
  <c r="O20" i="37"/>
  <c r="P20" i="37" s="1"/>
  <c r="O19" i="37"/>
  <c r="P19" i="37" s="1"/>
  <c r="O18" i="37"/>
  <c r="P18" i="37" s="1"/>
  <c r="BE501" i="16"/>
  <c r="BE500" i="16"/>
  <c r="BE499" i="16"/>
  <c r="BE497" i="16"/>
  <c r="BE496" i="16"/>
  <c r="BE178" i="16"/>
  <c r="BE175" i="16"/>
  <c r="BE172" i="16"/>
  <c r="BE169" i="16"/>
  <c r="BE88" i="16"/>
  <c r="BE126" i="16" s="1"/>
  <c r="BE143" i="16" s="1"/>
  <c r="R21" i="37" l="1"/>
  <c r="Q21" i="37"/>
  <c r="R18" i="37"/>
  <c r="Q18" i="37"/>
  <c r="R22" i="37"/>
  <c r="Q22" i="37"/>
  <c r="R19" i="37"/>
  <c r="Q19" i="37"/>
  <c r="O10" i="37"/>
  <c r="P10" i="37" s="1"/>
  <c r="O7" i="37"/>
  <c r="P7" i="37" s="1"/>
  <c r="O4" i="37"/>
  <c r="P4" i="37" s="1"/>
  <c r="O9" i="37"/>
  <c r="P9" i="37" s="1"/>
  <c r="O6" i="37"/>
  <c r="P6" i="37" s="1"/>
  <c r="O5" i="37"/>
  <c r="P5" i="37" s="1"/>
  <c r="O13" i="37"/>
  <c r="P13" i="37" s="1"/>
  <c r="O12" i="37"/>
  <c r="P12" i="37" s="1"/>
  <c r="O11" i="37"/>
  <c r="P11" i="37" s="1"/>
  <c r="O8" i="37"/>
  <c r="P8" i="37" s="1"/>
  <c r="R20" i="37"/>
  <c r="Q20" i="37"/>
  <c r="BE502" i="16"/>
  <c r="BE504" i="16"/>
  <c r="BE485" i="16"/>
  <c r="M486" i="16"/>
  <c r="AN88" i="16"/>
  <c r="AO88" i="16"/>
  <c r="AP88" i="16"/>
  <c r="AQ88" i="16"/>
  <c r="AR88" i="16"/>
  <c r="AS88" i="16"/>
  <c r="AT88" i="16"/>
  <c r="AU88" i="16"/>
  <c r="AV88" i="16"/>
  <c r="AW88" i="16"/>
  <c r="AX88" i="16"/>
  <c r="AY88" i="16"/>
  <c r="AZ88" i="16"/>
  <c r="BA88" i="16"/>
  <c r="BB88" i="16"/>
  <c r="BC88" i="16"/>
  <c r="BD88" i="16"/>
  <c r="BF88" i="16"/>
  <c r="BG88" i="16"/>
  <c r="BH88" i="16"/>
  <c r="R12" i="37" l="1"/>
  <c r="Q12" i="37"/>
  <c r="Q9" i="37"/>
  <c r="R9" i="37"/>
  <c r="R13" i="37"/>
  <c r="Q13" i="37"/>
  <c r="Q4" i="37"/>
  <c r="R4" i="37"/>
  <c r="Q8" i="37"/>
  <c r="R8" i="37"/>
  <c r="Q5" i="37"/>
  <c r="R5" i="37"/>
  <c r="Q7" i="37"/>
  <c r="R7" i="37"/>
  <c r="Q11" i="37"/>
  <c r="R11" i="37"/>
  <c r="Q6" i="37"/>
  <c r="R6" i="37"/>
  <c r="Q10" i="37"/>
  <c r="R10" i="37"/>
  <c r="AM470" i="16"/>
  <c r="AL470" i="16"/>
  <c r="AK470" i="16"/>
  <c r="AJ470" i="16"/>
  <c r="AI470" i="16"/>
  <c r="AH470" i="16"/>
  <c r="AB470" i="16"/>
  <c r="AA470" i="16"/>
  <c r="AM336" i="16"/>
  <c r="AL336" i="16"/>
  <c r="AK336" i="16"/>
  <c r="AJ336" i="16"/>
  <c r="AI336" i="16"/>
  <c r="AH336" i="16"/>
  <c r="AB336" i="16"/>
  <c r="AB274" i="16" s="1"/>
  <c r="AA336" i="16"/>
  <c r="H508" i="16"/>
  <c r="H489" i="16"/>
  <c r="H488" i="16"/>
  <c r="H477" i="16"/>
  <c r="H476" i="16"/>
  <c r="H475" i="16"/>
  <c r="H474" i="16"/>
  <c r="H473" i="16"/>
  <c r="H472" i="16"/>
  <c r="H471" i="16"/>
  <c r="H470" i="16"/>
  <c r="H469" i="16"/>
  <c r="H468" i="16"/>
  <c r="H467" i="16"/>
  <c r="H466" i="16"/>
  <c r="H465" i="16"/>
  <c r="H464" i="16"/>
  <c r="H463" i="16"/>
  <c r="H462" i="16"/>
  <c r="H461" i="16"/>
  <c r="H460" i="16"/>
  <c r="H459" i="16"/>
  <c r="H458" i="16"/>
  <c r="H457" i="16"/>
  <c r="H456" i="16"/>
  <c r="H455" i="16"/>
  <c r="H454" i="16"/>
  <c r="H453" i="16"/>
  <c r="H452" i="16"/>
  <c r="H451" i="16"/>
  <c r="H450" i="16"/>
  <c r="H449" i="16"/>
  <c r="H448" i="16"/>
  <c r="H447" i="16"/>
  <c r="H446" i="16"/>
  <c r="H445" i="16"/>
  <c r="H444" i="16"/>
  <c r="H443" i="16"/>
  <c r="H442" i="16"/>
  <c r="H441" i="16"/>
  <c r="H440" i="16"/>
  <c r="H439" i="16"/>
  <c r="H438" i="16"/>
  <c r="H437" i="16"/>
  <c r="H436" i="16"/>
  <c r="H435" i="16"/>
  <c r="H434" i="16"/>
  <c r="H433" i="16"/>
  <c r="H432" i="16"/>
  <c r="H431" i="16"/>
  <c r="H430" i="16"/>
  <c r="H429" i="16"/>
  <c r="H428" i="16"/>
  <c r="H427" i="16"/>
  <c r="H426" i="16"/>
  <c r="H425" i="16"/>
  <c r="H424" i="16"/>
  <c r="H423" i="16"/>
  <c r="H422" i="16"/>
  <c r="H421" i="16"/>
  <c r="H420" i="16"/>
  <c r="H419" i="16"/>
  <c r="H418" i="16"/>
  <c r="H417" i="16"/>
  <c r="H416" i="16"/>
  <c r="H415" i="16"/>
  <c r="H414" i="16"/>
  <c r="H413" i="16"/>
  <c r="H412" i="16"/>
  <c r="H411" i="16"/>
  <c r="H409" i="16"/>
  <c r="H408" i="16"/>
  <c r="H407" i="16"/>
  <c r="H406" i="16"/>
  <c r="H405" i="16"/>
  <c r="H404" i="16"/>
  <c r="H403" i="16"/>
  <c r="H402" i="16"/>
  <c r="H401" i="16"/>
  <c r="H400" i="16"/>
  <c r="H399" i="16"/>
  <c r="H398" i="16"/>
  <c r="H397" i="16"/>
  <c r="H396" i="16"/>
  <c r="H395" i="16"/>
  <c r="H394" i="16"/>
  <c r="H393" i="16"/>
  <c r="H392" i="16"/>
  <c r="H391" i="16"/>
  <c r="H390" i="16"/>
  <c r="H389" i="16"/>
  <c r="H388" i="16"/>
  <c r="H387" i="16"/>
  <c r="H386" i="16"/>
  <c r="H385" i="16"/>
  <c r="H384" i="16"/>
  <c r="H383" i="16"/>
  <c r="H382" i="16"/>
  <c r="H381" i="16"/>
  <c r="H380" i="16"/>
  <c r="H379" i="16"/>
  <c r="H378" i="16"/>
  <c r="H377" i="16"/>
  <c r="H376" i="16"/>
  <c r="H375" i="16"/>
  <c r="H374" i="16"/>
  <c r="H373" i="16"/>
  <c r="H372" i="16"/>
  <c r="H371" i="16"/>
  <c r="H370" i="16"/>
  <c r="H369" i="16"/>
  <c r="H368" i="16"/>
  <c r="H367" i="16"/>
  <c r="H366" i="16"/>
  <c r="H365" i="16"/>
  <c r="H364" i="16"/>
  <c r="H363" i="16"/>
  <c r="H362" i="16"/>
  <c r="H361" i="16"/>
  <c r="H346" i="16"/>
  <c r="H345" i="16"/>
  <c r="H344" i="16"/>
  <c r="H343" i="16"/>
  <c r="H342" i="16"/>
  <c r="H341" i="16"/>
  <c r="H340" i="16"/>
  <c r="H339" i="16"/>
  <c r="H338" i="16"/>
  <c r="H337" i="16"/>
  <c r="H336" i="16"/>
  <c r="H335" i="16"/>
  <c r="H334" i="16"/>
  <c r="H333" i="16"/>
  <c r="H332" i="16"/>
  <c r="H331" i="16"/>
  <c r="H330" i="16"/>
  <c r="H329" i="16"/>
  <c r="H328" i="16"/>
  <c r="H327" i="16"/>
  <c r="H326" i="16"/>
  <c r="H325" i="16"/>
  <c r="H324" i="16"/>
  <c r="H323" i="16"/>
  <c r="H322" i="16"/>
  <c r="H321" i="16"/>
  <c r="H320" i="16"/>
  <c r="H319" i="16"/>
  <c r="H318" i="16"/>
  <c r="H317" i="16"/>
  <c r="H316" i="16"/>
  <c r="H315" i="16"/>
  <c r="H314" i="16"/>
  <c r="H313" i="16"/>
  <c r="H312" i="16"/>
  <c r="H311" i="16"/>
  <c r="H310" i="16"/>
  <c r="H309" i="16"/>
  <c r="H308" i="16"/>
  <c r="H307" i="16"/>
  <c r="H306" i="16"/>
  <c r="H305" i="16"/>
  <c r="H304" i="16"/>
  <c r="H303" i="16"/>
  <c r="H302" i="16"/>
  <c r="H301" i="16"/>
  <c r="H300" i="16"/>
  <c r="H299" i="16"/>
  <c r="H298" i="16"/>
  <c r="H297" i="16"/>
  <c r="H296" i="16"/>
  <c r="H295" i="16"/>
  <c r="H294" i="16"/>
  <c r="H293" i="16"/>
  <c r="H292" i="16"/>
  <c r="H291" i="16"/>
  <c r="H290" i="16"/>
  <c r="H289" i="16"/>
  <c r="H288" i="16"/>
  <c r="H287" i="16"/>
  <c r="H286" i="16"/>
  <c r="H285" i="16"/>
  <c r="H284" i="16"/>
  <c r="H283" i="16"/>
  <c r="H282" i="16"/>
  <c r="H281" i="16"/>
  <c r="H280" i="16"/>
  <c r="H279" i="16"/>
  <c r="H278" i="16"/>
  <c r="H277" i="16"/>
  <c r="H273" i="16"/>
  <c r="H272" i="16"/>
  <c r="H271" i="16"/>
  <c r="H270" i="16"/>
  <c r="H255" i="16"/>
  <c r="H254" i="16"/>
  <c r="H253" i="16"/>
  <c r="H252" i="16"/>
  <c r="H251" i="16"/>
  <c r="H250" i="16"/>
  <c r="H249" i="16"/>
  <c r="H248" i="16"/>
  <c r="H247" i="16"/>
  <c r="H246" i="16"/>
  <c r="H245" i="16"/>
  <c r="H244" i="16"/>
  <c r="H243" i="16"/>
  <c r="H242" i="16"/>
  <c r="H241" i="16"/>
  <c r="H240" i="16"/>
  <c r="H239" i="16"/>
  <c r="H238" i="16"/>
  <c r="H237" i="16"/>
  <c r="H236" i="16"/>
  <c r="H235" i="16"/>
  <c r="H234" i="16"/>
  <c r="H233" i="16"/>
  <c r="H232" i="16"/>
  <c r="H231" i="16"/>
  <c r="H230" i="16"/>
  <c r="H229" i="16"/>
  <c r="H228" i="16"/>
  <c r="H227" i="16"/>
  <c r="H226" i="16"/>
  <c r="H225" i="16"/>
  <c r="H224" i="16"/>
  <c r="H223" i="16"/>
  <c r="H222" i="16"/>
  <c r="H221" i="16"/>
  <c r="H220" i="16"/>
  <c r="H219" i="16"/>
  <c r="H218" i="16"/>
  <c r="H217" i="16"/>
  <c r="H216" i="16"/>
  <c r="H215" i="16"/>
  <c r="H214" i="16"/>
  <c r="H213" i="16"/>
  <c r="H212" i="16"/>
  <c r="H211" i="16"/>
  <c r="H210" i="16"/>
  <c r="H209" i="16"/>
  <c r="H208" i="16"/>
  <c r="H207" i="16"/>
  <c r="H206" i="16"/>
  <c r="H205" i="16"/>
  <c r="H204" i="16"/>
  <c r="H203" i="16"/>
  <c r="H198" i="16"/>
  <c r="H191" i="16"/>
  <c r="H176" i="16"/>
  <c r="H173" i="16"/>
  <c r="H170" i="16"/>
  <c r="H168" i="16"/>
  <c r="H167" i="16"/>
  <c r="H166" i="16"/>
  <c r="H165" i="16"/>
  <c r="H164" i="16"/>
  <c r="H163" i="16"/>
  <c r="H162" i="16"/>
  <c r="H161" i="16"/>
  <c r="H160" i="16"/>
  <c r="H159" i="16"/>
  <c r="H158" i="16"/>
  <c r="H157" i="16"/>
  <c r="H155" i="16"/>
  <c r="H154" i="16"/>
  <c r="H146" i="16"/>
  <c r="H145" i="16"/>
  <c r="H144" i="16"/>
  <c r="H121" i="16"/>
  <c r="H120" i="16"/>
  <c r="H117" i="16"/>
  <c r="H116" i="16"/>
  <c r="H114" i="16"/>
  <c r="H113" i="16"/>
  <c r="H111" i="16"/>
  <c r="H110" i="16"/>
  <c r="H108" i="16"/>
  <c r="H107" i="16"/>
  <c r="H105" i="16"/>
  <c r="H104" i="16"/>
  <c r="H101" i="16"/>
  <c r="H100" i="16"/>
  <c r="H99" i="16"/>
  <c r="H97" i="16"/>
  <c r="H96" i="16"/>
  <c r="H94" i="16"/>
  <c r="H93" i="16"/>
  <c r="H91" i="16"/>
  <c r="H90" i="16"/>
  <c r="H80" i="16"/>
  <c r="H79" i="16"/>
  <c r="H78" i="16"/>
  <c r="H77" i="16"/>
  <c r="H76" i="16"/>
  <c r="H75" i="16"/>
  <c r="H74" i="16"/>
  <c r="H73" i="16"/>
  <c r="H71" i="16"/>
  <c r="H70" i="16"/>
  <c r="H69" i="16"/>
  <c r="H68" i="16"/>
  <c r="H67" i="16"/>
  <c r="H66" i="16"/>
  <c r="H65" i="16"/>
  <c r="H64" i="16"/>
  <c r="H63" i="16"/>
  <c r="H62" i="16"/>
  <c r="H61" i="16"/>
  <c r="H60" i="16"/>
  <c r="H59" i="16"/>
  <c r="H58" i="16"/>
  <c r="H57" i="16"/>
  <c r="H56" i="16"/>
  <c r="H55" i="16"/>
  <c r="H54" i="16"/>
  <c r="H53" i="16"/>
  <c r="H52" i="16"/>
  <c r="H51" i="16"/>
  <c r="H50" i="16"/>
  <c r="H49" i="16"/>
  <c r="H48" i="16"/>
  <c r="H47" i="16"/>
  <c r="H46" i="16"/>
  <c r="H45" i="16"/>
  <c r="H44" i="16"/>
  <c r="H43" i="16"/>
  <c r="H42" i="16"/>
  <c r="H41" i="16"/>
  <c r="H40" i="16"/>
  <c r="H39" i="16"/>
  <c r="H38" i="16"/>
  <c r="H37" i="16"/>
  <c r="H36" i="16"/>
  <c r="H35" i="16"/>
  <c r="H34" i="16"/>
  <c r="H33" i="16"/>
  <c r="H32" i="16"/>
  <c r="H31" i="16"/>
  <c r="H30" i="16"/>
  <c r="H29" i="16"/>
  <c r="H28" i="16"/>
  <c r="H27" i="16"/>
  <c r="H26" i="16"/>
  <c r="H25" i="16"/>
  <c r="H24" i="16"/>
  <c r="H23" i="16"/>
  <c r="H22" i="16"/>
  <c r="H21" i="16"/>
  <c r="H20" i="16"/>
  <c r="H17" i="16"/>
  <c r="H16" i="16"/>
  <c r="H15" i="16"/>
  <c r="H14" i="16"/>
  <c r="H13" i="16"/>
  <c r="H12" i="16"/>
  <c r="H10" i="16"/>
  <c r="H9" i="16"/>
  <c r="H8" i="16"/>
  <c r="H7" i="16"/>
  <c r="H6" i="16"/>
  <c r="N336" i="16"/>
  <c r="N274" i="16" s="1"/>
  <c r="AA252" i="16"/>
  <c r="AB252" i="16"/>
  <c r="AH252" i="16"/>
  <c r="AI252" i="16"/>
  <c r="AJ252" i="16"/>
  <c r="AK252" i="16"/>
  <c r="AL252" i="16"/>
  <c r="AM252" i="16"/>
  <c r="AA253" i="16"/>
  <c r="AB253" i="16"/>
  <c r="AH253" i="16"/>
  <c r="AI253" i="16"/>
  <c r="AJ253" i="16"/>
  <c r="AK253" i="16"/>
  <c r="AL253" i="16"/>
  <c r="AM253" i="16"/>
  <c r="N253" i="16"/>
  <c r="N252" i="16"/>
  <c r="I80" i="44" l="1"/>
  <c r="J80" i="44"/>
  <c r="K80" i="44"/>
  <c r="L80" i="44"/>
  <c r="E80" i="44"/>
  <c r="F80" i="44"/>
  <c r="G80" i="44"/>
  <c r="I78" i="44"/>
  <c r="J78" i="44"/>
  <c r="K78" i="44"/>
  <c r="L78" i="44"/>
  <c r="L79" i="44" s="1"/>
  <c r="E78" i="44"/>
  <c r="F78" i="44"/>
  <c r="G78" i="44"/>
  <c r="J200" i="16"/>
  <c r="K3" i="45" s="1"/>
  <c r="L200" i="16"/>
  <c r="BI200" i="16"/>
  <c r="BJ200" i="16"/>
  <c r="BK200" i="16"/>
  <c r="BL200" i="16"/>
  <c r="E79" i="44" l="1"/>
  <c r="I79" i="44"/>
  <c r="F79" i="44"/>
  <c r="J79" i="44"/>
  <c r="K79" i="44"/>
  <c r="K200" i="16"/>
  <c r="G79" i="44"/>
  <c r="BI182" i="16"/>
  <c r="BL182" i="16"/>
  <c r="BK182" i="16"/>
  <c r="BJ182" i="16"/>
  <c r="J182" i="16"/>
  <c r="M66" i="44" s="1"/>
  <c r="BL145" i="16"/>
  <c r="BK146" i="16"/>
  <c r="BL146" i="16"/>
  <c r="BK147" i="16"/>
  <c r="BL147" i="16"/>
  <c r="BK154" i="16"/>
  <c r="BL154" i="16"/>
  <c r="BK155" i="16"/>
  <c r="BL155" i="16"/>
  <c r="BK156" i="16"/>
  <c r="BL156" i="16"/>
  <c r="BI157" i="16"/>
  <c r="BJ157" i="16"/>
  <c r="I145" i="16"/>
  <c r="I146" i="16"/>
  <c r="I147" i="16"/>
  <c r="I154" i="16"/>
  <c r="I155" i="16"/>
  <c r="BK134" i="16"/>
  <c r="BL134" i="16"/>
  <c r="BK135" i="16"/>
  <c r="BL135" i="16"/>
  <c r="BK136" i="16"/>
  <c r="BL136" i="16"/>
  <c r="BL137" i="16"/>
  <c r="BK138" i="16"/>
  <c r="BL138" i="16"/>
  <c r="BK139" i="16"/>
  <c r="BL139" i="16"/>
  <c r="I134" i="16"/>
  <c r="I135" i="16"/>
  <c r="I136" i="16"/>
  <c r="I137" i="16"/>
  <c r="AF137" i="16" s="1"/>
  <c r="BK137" i="16" s="1"/>
  <c r="I138" i="16"/>
  <c r="I139" i="16"/>
  <c r="BL80" i="16"/>
  <c r="I80" i="16"/>
  <c r="P73" i="12"/>
  <c r="O73" i="12"/>
  <c r="N73" i="12"/>
  <c r="M73" i="12"/>
  <c r="L73" i="12"/>
  <c r="K73" i="12"/>
  <c r="J73" i="12"/>
  <c r="I73" i="12"/>
  <c r="H73" i="12"/>
  <c r="G73" i="12"/>
  <c r="F73" i="12"/>
  <c r="P71" i="12"/>
  <c r="O71" i="12"/>
  <c r="N71" i="12"/>
  <c r="M71" i="12"/>
  <c r="L71" i="12"/>
  <c r="K71" i="12"/>
  <c r="J71" i="12"/>
  <c r="I71" i="12"/>
  <c r="H71" i="12"/>
  <c r="G71" i="12"/>
  <c r="F71" i="12"/>
  <c r="Z154" i="16" l="1"/>
  <c r="AB154" i="16"/>
  <c r="BJ154" i="16" s="1"/>
  <c r="N145" i="16"/>
  <c r="O145" i="16"/>
  <c r="S145" i="16"/>
  <c r="W145" i="16"/>
  <c r="AA145" i="16"/>
  <c r="AE145" i="16"/>
  <c r="AI145" i="16"/>
  <c r="AM145" i="16"/>
  <c r="V145" i="16"/>
  <c r="AD145" i="16"/>
  <c r="P145" i="16"/>
  <c r="T145" i="16"/>
  <c r="X145" i="16"/>
  <c r="AB145" i="16"/>
  <c r="BJ145" i="16" s="1"/>
  <c r="AF145" i="16"/>
  <c r="AJ145" i="16"/>
  <c r="Z145" i="16"/>
  <c r="AH145" i="16"/>
  <c r="Q145" i="16"/>
  <c r="U145" i="16"/>
  <c r="Y145" i="16"/>
  <c r="AC145" i="16"/>
  <c r="AG145" i="16"/>
  <c r="AK145" i="16"/>
  <c r="R145" i="16"/>
  <c r="AL145" i="16"/>
  <c r="AL170" i="16" s="1"/>
  <c r="AC80" i="16"/>
  <c r="AD80" i="16"/>
  <c r="AE80" i="16"/>
  <c r="AF80" i="16"/>
  <c r="N155" i="16"/>
  <c r="O155" i="16"/>
  <c r="S155" i="16"/>
  <c r="W155" i="16"/>
  <c r="AA155" i="16"/>
  <c r="P155" i="16"/>
  <c r="T155" i="16"/>
  <c r="X155" i="16"/>
  <c r="AB155" i="16"/>
  <c r="Q155" i="16"/>
  <c r="U155" i="16"/>
  <c r="Y155" i="16"/>
  <c r="R155" i="16"/>
  <c r="Z155" i="16"/>
  <c r="V155" i="16"/>
  <c r="O146" i="16"/>
  <c r="S146" i="16"/>
  <c r="W146" i="16"/>
  <c r="AA146" i="16"/>
  <c r="U146" i="16"/>
  <c r="Y146" i="16"/>
  <c r="V146" i="16"/>
  <c r="Z146" i="16"/>
  <c r="P146" i="16"/>
  <c r="T146" i="16"/>
  <c r="X146" i="16"/>
  <c r="AB146" i="16"/>
  <c r="Q146" i="16"/>
  <c r="R146" i="16"/>
  <c r="Z139" i="16"/>
  <c r="V139" i="16"/>
  <c r="R139" i="16"/>
  <c r="N139" i="16"/>
  <c r="Y139" i="16"/>
  <c r="U139" i="16"/>
  <c r="Q139" i="16"/>
  <c r="AB139" i="16"/>
  <c r="BJ139" i="16" s="1"/>
  <c r="X139" i="16"/>
  <c r="T139" i="16"/>
  <c r="P139" i="16"/>
  <c r="AA139" i="16"/>
  <c r="W139" i="16"/>
  <c r="S139" i="16"/>
  <c r="O139" i="16"/>
  <c r="AB138" i="16"/>
  <c r="BJ138" i="16" s="1"/>
  <c r="X138" i="16"/>
  <c r="T138" i="16"/>
  <c r="P138" i="16"/>
  <c r="Q138" i="16"/>
  <c r="AA138" i="16"/>
  <c r="W138" i="16"/>
  <c r="S138" i="16"/>
  <c r="O138" i="16"/>
  <c r="U138" i="16"/>
  <c r="Z138" i="16"/>
  <c r="V138" i="16"/>
  <c r="R138" i="16"/>
  <c r="N138" i="16"/>
  <c r="Y138" i="16"/>
  <c r="AB137" i="16"/>
  <c r="BJ137" i="16" s="1"/>
  <c r="AA137" i="16"/>
  <c r="W137" i="16"/>
  <c r="S137" i="16"/>
  <c r="O137" i="16"/>
  <c r="T137" i="16"/>
  <c r="Z137" i="16"/>
  <c r="V137" i="16"/>
  <c r="R137" i="16"/>
  <c r="N137" i="16"/>
  <c r="P137" i="16"/>
  <c r="Y137" i="16"/>
  <c r="U137" i="16"/>
  <c r="Q137" i="16"/>
  <c r="X137" i="16"/>
  <c r="AB136" i="16"/>
  <c r="BJ136" i="16" s="1"/>
  <c r="X136" i="16"/>
  <c r="T136" i="16"/>
  <c r="P136" i="16"/>
  <c r="AA136" i="16"/>
  <c r="W136" i="16"/>
  <c r="S136" i="16"/>
  <c r="O136" i="16"/>
  <c r="Z136" i="16"/>
  <c r="V136" i="16"/>
  <c r="R136" i="16"/>
  <c r="N136" i="16"/>
  <c r="Y136" i="16"/>
  <c r="U136" i="16"/>
  <c r="Q136" i="16"/>
  <c r="AB135" i="16"/>
  <c r="BJ135" i="16" s="1"/>
  <c r="X135" i="16"/>
  <c r="T135" i="16"/>
  <c r="P135" i="16"/>
  <c r="U135" i="16"/>
  <c r="AA135" i="16"/>
  <c r="W135" i="16"/>
  <c r="S135" i="16"/>
  <c r="O135" i="16"/>
  <c r="Q135" i="16"/>
  <c r="Z135" i="16"/>
  <c r="V135" i="16"/>
  <c r="R135" i="16"/>
  <c r="N135" i="16"/>
  <c r="Y135" i="16"/>
  <c r="AB134" i="16"/>
  <c r="BJ134" i="16" s="1"/>
  <c r="X134" i="16"/>
  <c r="T134" i="16"/>
  <c r="P134" i="16"/>
  <c r="AA134" i="16"/>
  <c r="W134" i="16"/>
  <c r="S134" i="16"/>
  <c r="O134" i="16"/>
  <c r="U134" i="16"/>
  <c r="Z134" i="16"/>
  <c r="V134" i="16"/>
  <c r="R134" i="16"/>
  <c r="N134" i="16"/>
  <c r="Y134" i="16"/>
  <c r="Q134" i="16"/>
  <c r="AB80" i="16"/>
  <c r="BJ80" i="16" s="1"/>
  <c r="X80" i="16"/>
  <c r="T80" i="16"/>
  <c r="P80" i="16"/>
  <c r="Q80" i="16"/>
  <c r="AA80" i="16"/>
  <c r="W80" i="16"/>
  <c r="S80" i="16"/>
  <c r="O80" i="16"/>
  <c r="U80" i="16"/>
  <c r="Z80" i="16"/>
  <c r="V80" i="16"/>
  <c r="R80" i="16"/>
  <c r="N80" i="16"/>
  <c r="Y80" i="16"/>
  <c r="N146" i="16"/>
  <c r="AG80" i="16"/>
  <c r="Y154" i="16"/>
  <c r="U154" i="16"/>
  <c r="Q154" i="16"/>
  <c r="X154" i="16"/>
  <c r="T154" i="16"/>
  <c r="P154" i="16"/>
  <c r="W154" i="16"/>
  <c r="S154" i="16"/>
  <c r="R154" i="16"/>
  <c r="V154" i="16"/>
  <c r="N154" i="16"/>
  <c r="O154" i="16"/>
  <c r="N72" i="12"/>
  <c r="F72" i="12"/>
  <c r="J72" i="12"/>
  <c r="O72" i="12"/>
  <c r="G72" i="12"/>
  <c r="AH80" i="16"/>
  <c r="K72" i="12"/>
  <c r="L72" i="12"/>
  <c r="P72" i="12"/>
  <c r="I72" i="12"/>
  <c r="M72" i="12"/>
  <c r="L182" i="16"/>
  <c r="K182" i="16"/>
  <c r="AA154" i="16"/>
  <c r="H72" i="12"/>
  <c r="L145" i="16" l="1"/>
  <c r="AK170" i="16"/>
  <c r="AK173" i="16"/>
  <c r="AJ170" i="16"/>
  <c r="AJ173" i="16"/>
  <c r="AM173" i="16"/>
  <c r="AM170" i="16"/>
  <c r="AG170" i="16"/>
  <c r="AG169" i="16" s="1"/>
  <c r="AG173" i="16"/>
  <c r="AG172" i="16" s="1"/>
  <c r="AF173" i="16"/>
  <c r="AF172" i="16" s="1"/>
  <c r="AF170" i="16"/>
  <c r="AF169" i="16" s="1"/>
  <c r="AI173" i="16"/>
  <c r="AI170" i="16"/>
  <c r="AC173" i="16"/>
  <c r="AC172" i="16" s="1"/>
  <c r="AC170" i="16"/>
  <c r="AC169" i="16" s="1"/>
  <c r="BK145" i="16"/>
  <c r="AH170" i="16"/>
  <c r="AH173" i="16"/>
  <c r="AD170" i="16"/>
  <c r="AD169" i="16" s="1"/>
  <c r="AD173" i="16"/>
  <c r="AD172" i="16" s="1"/>
  <c r="AE173" i="16"/>
  <c r="AE172" i="16" s="1"/>
  <c r="AE170" i="16"/>
  <c r="AE169" i="16" s="1"/>
  <c r="BJ155" i="16"/>
  <c r="L155" i="16"/>
  <c r="BI154" i="16"/>
  <c r="BJ146" i="16"/>
  <c r="BI155" i="16"/>
  <c r="J155" i="16"/>
  <c r="J146" i="16"/>
  <c r="L146" i="16"/>
  <c r="BI146" i="16"/>
  <c r="BI139" i="16"/>
  <c r="J139" i="16"/>
  <c r="L139" i="16"/>
  <c r="L138" i="16"/>
  <c r="BI138" i="16"/>
  <c r="J138" i="16"/>
  <c r="BI134" i="16"/>
  <c r="BI137" i="16"/>
  <c r="J137" i="16"/>
  <c r="L137" i="16"/>
  <c r="L136" i="16"/>
  <c r="BI136" i="16"/>
  <c r="J136" i="16"/>
  <c r="L135" i="16"/>
  <c r="BI135" i="16"/>
  <c r="J135" i="16"/>
  <c r="J154" i="16"/>
  <c r="J145" i="16"/>
  <c r="BI145" i="16"/>
  <c r="L154" i="16"/>
  <c r="BK80" i="16"/>
  <c r="J80" i="16"/>
  <c r="L80" i="16"/>
  <c r="BI80" i="16"/>
  <c r="M47" i="44" l="1"/>
  <c r="K155" i="16"/>
  <c r="M44" i="44"/>
  <c r="K146" i="16"/>
  <c r="M37" i="44"/>
  <c r="K139" i="16"/>
  <c r="M36" i="44"/>
  <c r="K138" i="16"/>
  <c r="M35" i="44"/>
  <c r="K137" i="16"/>
  <c r="M34" i="44"/>
  <c r="K136" i="16"/>
  <c r="M33" i="44"/>
  <c r="K135" i="16"/>
  <c r="K145" i="16"/>
  <c r="M43" i="44"/>
  <c r="K154" i="16"/>
  <c r="M46" i="44"/>
  <c r="K80" i="16"/>
  <c r="M7" i="44"/>
  <c r="I487" i="16" l="1"/>
  <c r="AK189" i="16" l="1"/>
  <c r="AK183" i="16" s="1"/>
  <c r="AH189" i="16"/>
  <c r="AH183" i="16" s="1"/>
  <c r="AJ189" i="16"/>
  <c r="AJ183" i="16" s="1"/>
  <c r="AI189" i="16"/>
  <c r="AI183" i="16" s="1"/>
  <c r="AL189" i="16"/>
  <c r="AL183" i="16" s="1"/>
  <c r="E487" i="16" l="1"/>
  <c r="J357" i="16" l="1"/>
  <c r="I357" i="16" s="1"/>
  <c r="J356" i="16" l="1"/>
  <c r="I354" i="16" l="1"/>
  <c r="BI354" i="16"/>
  <c r="BJ354" i="16"/>
  <c r="BK354" i="16"/>
  <c r="BL354" i="16"/>
  <c r="J209" i="16" l="1"/>
  <c r="I209" i="16" s="1"/>
  <c r="EG47" i="54" l="1"/>
  <c r="EG46" i="54"/>
  <c r="EG45" i="54"/>
  <c r="EG44" i="54"/>
  <c r="EG43" i="54"/>
  <c r="EG42" i="54"/>
  <c r="EG8" i="54"/>
  <c r="EG9" i="54"/>
  <c r="EG10" i="54"/>
  <c r="EG11" i="54"/>
  <c r="EG12" i="54"/>
  <c r="EG13" i="54"/>
  <c r="EG14" i="54"/>
  <c r="EG15" i="54"/>
  <c r="EG16" i="54"/>
  <c r="EG17" i="54"/>
  <c r="EG18" i="54"/>
  <c r="EG19" i="54"/>
  <c r="EG20" i="54"/>
  <c r="EG21" i="54"/>
  <c r="EG22" i="54"/>
  <c r="EG23" i="54"/>
  <c r="EG24" i="54"/>
  <c r="EG25" i="54"/>
  <c r="EG26" i="54"/>
  <c r="EG27" i="54"/>
  <c r="EG28" i="54"/>
  <c r="EG29" i="54"/>
  <c r="EG30" i="54"/>
  <c r="EG31" i="54"/>
  <c r="EG32" i="54"/>
  <c r="EG33" i="54"/>
  <c r="EG34" i="54"/>
  <c r="EG35" i="54"/>
  <c r="EG36" i="54"/>
  <c r="EG37" i="54"/>
  <c r="EG38" i="54"/>
  <c r="EG39" i="54"/>
  <c r="EG40" i="54"/>
  <c r="BL344" i="16" l="1"/>
  <c r="BK344" i="16"/>
  <c r="BJ344" i="16"/>
  <c r="BI344" i="16"/>
  <c r="L344" i="16"/>
  <c r="J344" i="16"/>
  <c r="I344" i="16" l="1"/>
  <c r="K344" i="16" s="1"/>
  <c r="I508" i="16" l="1"/>
  <c r="BK160" i="16"/>
  <c r="BL160" i="16"/>
  <c r="N161" i="16"/>
  <c r="AA161" i="16"/>
  <c r="BJ161" i="16"/>
  <c r="BK161" i="16"/>
  <c r="BL161" i="16"/>
  <c r="N162" i="16"/>
  <c r="AA162" i="16"/>
  <c r="BJ162" i="16"/>
  <c r="BK162" i="16"/>
  <c r="BL162" i="16"/>
  <c r="N163" i="16"/>
  <c r="AA163" i="16"/>
  <c r="BJ163" i="16"/>
  <c r="BK163" i="16"/>
  <c r="BL163" i="16"/>
  <c r="BJ164" i="16"/>
  <c r="BK164" i="16"/>
  <c r="BL164" i="16"/>
  <c r="BJ167" i="16"/>
  <c r="BK167" i="16"/>
  <c r="BL167" i="16"/>
  <c r="BK87" i="16"/>
  <c r="BL87" i="16"/>
  <c r="J161" i="16" l="1"/>
  <c r="K161" i="16" s="1"/>
  <c r="BI164" i="16"/>
  <c r="BI162" i="16"/>
  <c r="J162" i="16"/>
  <c r="L164" i="16"/>
  <c r="J163" i="16"/>
  <c r="K163" i="16" s="1"/>
  <c r="L162" i="16"/>
  <c r="J164" i="16"/>
  <c r="L163" i="16"/>
  <c r="L161" i="16"/>
  <c r="BI163" i="16"/>
  <c r="BI161" i="16"/>
  <c r="J167" i="16"/>
  <c r="L167" i="16"/>
  <c r="BI167" i="16"/>
  <c r="L87" i="16"/>
  <c r="J87" i="16" l="1"/>
  <c r="K87" i="16" s="1"/>
  <c r="K162" i="16"/>
  <c r="K167" i="16"/>
  <c r="K164" i="16"/>
  <c r="BJ87" i="16"/>
  <c r="BI87" i="16"/>
  <c r="BL188" i="16" l="1"/>
  <c r="BI188" i="16"/>
  <c r="BK188" i="16" l="1"/>
  <c r="BJ188" i="16"/>
  <c r="L188" i="16"/>
  <c r="J188" i="16"/>
  <c r="K188" i="16" l="1"/>
  <c r="BL343" i="16" l="1"/>
  <c r="BK343" i="16"/>
  <c r="BJ343" i="16"/>
  <c r="BL345" i="16"/>
  <c r="BK345" i="16"/>
  <c r="BJ345" i="16"/>
  <c r="L345" i="16"/>
  <c r="I488" i="16"/>
  <c r="N488" i="16" s="1"/>
  <c r="AB488" i="16" l="1"/>
  <c r="X488" i="16"/>
  <c r="T488" i="16"/>
  <c r="P488" i="16"/>
  <c r="Q488" i="16"/>
  <c r="AA488" i="16"/>
  <c r="W488" i="16"/>
  <c r="S488" i="16"/>
  <c r="O488" i="16"/>
  <c r="U488" i="16"/>
  <c r="Z488" i="16"/>
  <c r="V488" i="16"/>
  <c r="R488" i="16"/>
  <c r="Y488" i="16"/>
  <c r="BG488" i="16"/>
  <c r="J343" i="16"/>
  <c r="I343" i="16" s="1"/>
  <c r="BI343" i="16"/>
  <c r="J345" i="16"/>
  <c r="I345" i="16" s="1"/>
  <c r="BI345" i="16"/>
  <c r="K343" i="16" l="1"/>
  <c r="K345" i="16"/>
  <c r="J201" i="16" l="1"/>
  <c r="I201" i="16" s="1"/>
  <c r="L343" i="16" l="1"/>
  <c r="J203" i="16" l="1"/>
  <c r="I203" i="16" s="1"/>
  <c r="U8" i="53" l="1"/>
  <c r="U9" i="53"/>
  <c r="U10" i="53"/>
  <c r="U11" i="53"/>
  <c r="U12" i="53"/>
  <c r="U13" i="53"/>
  <c r="U14" i="53"/>
  <c r="U15" i="53"/>
  <c r="U16" i="53"/>
  <c r="U17" i="53"/>
  <c r="U18" i="53"/>
  <c r="U19" i="53"/>
  <c r="U20" i="53"/>
  <c r="U21" i="53"/>
  <c r="U22" i="53"/>
  <c r="U23" i="53"/>
  <c r="U24" i="53"/>
  <c r="U25" i="53"/>
  <c r="U26" i="53"/>
  <c r="U27" i="53"/>
  <c r="U28" i="53"/>
  <c r="U29" i="53"/>
  <c r="U30" i="53"/>
  <c r="U31" i="53"/>
  <c r="U32" i="53"/>
  <c r="U33" i="53"/>
  <c r="U34" i="53"/>
  <c r="U35" i="53"/>
  <c r="U36" i="53"/>
  <c r="U37" i="53"/>
  <c r="U38" i="53"/>
  <c r="U39" i="53"/>
  <c r="U40" i="53"/>
  <c r="U41" i="53"/>
  <c r="U42" i="53"/>
  <c r="U43" i="53"/>
  <c r="U44" i="53"/>
  <c r="U45" i="53"/>
  <c r="U46" i="53"/>
  <c r="U47" i="53"/>
  <c r="U48" i="53"/>
  <c r="U49" i="53"/>
  <c r="U50" i="53"/>
  <c r="U51" i="53"/>
  <c r="U52" i="53"/>
  <c r="U53" i="53"/>
  <c r="U54" i="53"/>
  <c r="U55" i="53"/>
  <c r="U56" i="53"/>
  <c r="U57" i="53"/>
  <c r="U58" i="53"/>
  <c r="U59" i="53"/>
  <c r="U60" i="53"/>
  <c r="U61" i="53"/>
  <c r="U62" i="53"/>
  <c r="U63" i="53"/>
  <c r="U64" i="53"/>
  <c r="U65" i="53"/>
  <c r="U66" i="53"/>
  <c r="U67" i="53"/>
  <c r="U68" i="53"/>
  <c r="U69" i="53"/>
  <c r="U70" i="53"/>
  <c r="U71" i="53"/>
  <c r="U72" i="53"/>
  <c r="U73" i="53"/>
  <c r="U74" i="53"/>
  <c r="U75" i="53"/>
  <c r="U76" i="53"/>
  <c r="U77" i="53"/>
  <c r="U78" i="53"/>
  <c r="U79" i="53"/>
  <c r="U80" i="53"/>
  <c r="U81" i="53"/>
  <c r="U82" i="53"/>
  <c r="U83" i="53"/>
  <c r="U84" i="53"/>
  <c r="U85" i="53"/>
  <c r="U86" i="53"/>
  <c r="U87" i="53"/>
  <c r="U88" i="53"/>
  <c r="U89" i="53"/>
  <c r="U90" i="53"/>
  <c r="U91" i="53"/>
  <c r="U92" i="53"/>
  <c r="U93" i="53"/>
  <c r="U94" i="53"/>
  <c r="U95" i="53"/>
  <c r="U96" i="53"/>
  <c r="U97" i="53"/>
  <c r="U98" i="53"/>
  <c r="U99" i="53"/>
  <c r="U100" i="53"/>
  <c r="U101" i="53"/>
  <c r="U102" i="53"/>
  <c r="U103" i="53"/>
  <c r="U104" i="53"/>
  <c r="U105" i="53"/>
  <c r="U106" i="53"/>
  <c r="U107" i="53"/>
  <c r="U108" i="53"/>
  <c r="U109" i="53"/>
  <c r="U110" i="53"/>
  <c r="U111" i="53"/>
  <c r="U112" i="53"/>
  <c r="U113" i="53"/>
  <c r="U114" i="53"/>
  <c r="U115" i="53"/>
  <c r="U116" i="53"/>
  <c r="U117" i="53"/>
  <c r="U118" i="53"/>
  <c r="U119" i="53"/>
  <c r="U120" i="53"/>
  <c r="U121" i="53"/>
  <c r="U122" i="53"/>
  <c r="U123" i="53"/>
  <c r="U124" i="53"/>
  <c r="U125" i="53"/>
  <c r="U126" i="53"/>
  <c r="U127" i="53"/>
  <c r="U128" i="53"/>
  <c r="U129" i="53"/>
  <c r="U130" i="53"/>
  <c r="U131" i="53"/>
  <c r="U132" i="53"/>
  <c r="U133" i="53"/>
  <c r="U134" i="53"/>
  <c r="U135" i="53"/>
  <c r="U136" i="53"/>
  <c r="U137" i="53"/>
  <c r="U138" i="53"/>
  <c r="U139" i="53"/>
  <c r="U140" i="53"/>
  <c r="U141" i="53"/>
  <c r="U142" i="53"/>
  <c r="U143" i="53"/>
  <c r="U144" i="53"/>
  <c r="U145" i="53"/>
  <c r="U146" i="53"/>
  <c r="U147" i="53"/>
  <c r="U148" i="53"/>
  <c r="U149" i="53"/>
  <c r="U150" i="53"/>
  <c r="U151" i="53"/>
  <c r="U152" i="53"/>
  <c r="U153" i="53"/>
  <c r="U154" i="53"/>
  <c r="U155" i="53"/>
  <c r="U156" i="53"/>
  <c r="U157" i="53"/>
  <c r="U158" i="53"/>
  <c r="U159" i="53"/>
  <c r="U160" i="53"/>
  <c r="U161" i="53"/>
  <c r="U162" i="53"/>
  <c r="U163" i="53"/>
  <c r="U164" i="53"/>
  <c r="U165" i="53"/>
  <c r="U166" i="53"/>
  <c r="U167" i="53"/>
  <c r="U168" i="53"/>
  <c r="U169" i="53"/>
  <c r="U170" i="53"/>
  <c r="U171" i="53"/>
  <c r="U172" i="53"/>
  <c r="U173" i="53"/>
  <c r="U174" i="53"/>
  <c r="U175" i="53"/>
  <c r="U176" i="53"/>
  <c r="U177" i="53"/>
  <c r="U178" i="53"/>
  <c r="U179" i="53"/>
  <c r="U180" i="53"/>
  <c r="U181" i="53"/>
  <c r="U182" i="53"/>
  <c r="U183" i="53"/>
  <c r="U184" i="53"/>
  <c r="U185" i="53"/>
  <c r="U186" i="53"/>
  <c r="U187" i="53"/>
  <c r="U188" i="53"/>
  <c r="U189" i="53"/>
  <c r="U190" i="53"/>
  <c r="U191" i="53"/>
  <c r="U192" i="53"/>
  <c r="U193" i="53"/>
  <c r="U194" i="53"/>
  <c r="U195" i="53"/>
  <c r="U196" i="53"/>
  <c r="U197" i="53"/>
  <c r="U198" i="53"/>
  <c r="U199" i="53"/>
  <c r="U200" i="53"/>
  <c r="U201" i="53"/>
  <c r="U202" i="53"/>
  <c r="U203" i="53"/>
  <c r="U204" i="53"/>
  <c r="U205" i="53"/>
  <c r="U206" i="53"/>
  <c r="U207" i="53"/>
  <c r="U208" i="53"/>
  <c r="U209" i="53"/>
  <c r="U210" i="53"/>
  <c r="U211" i="53"/>
  <c r="U212" i="53"/>
  <c r="U213" i="53"/>
  <c r="U214" i="53"/>
  <c r="U215" i="53"/>
  <c r="U216" i="53"/>
  <c r="U217" i="53"/>
  <c r="U218" i="53"/>
  <c r="U219" i="53"/>
  <c r="U220" i="53"/>
  <c r="U221" i="53"/>
  <c r="U222" i="53"/>
  <c r="U223" i="53"/>
  <c r="U224" i="53"/>
  <c r="U225" i="53"/>
  <c r="U226" i="53"/>
  <c r="U227" i="53"/>
  <c r="U228" i="53"/>
  <c r="U229" i="53"/>
  <c r="U7" i="53"/>
  <c r="AM60" i="16" l="1"/>
  <c r="AH18" i="16" l="1"/>
  <c r="AH90" i="16" s="1"/>
  <c r="AI18" i="16"/>
  <c r="AI90" i="16" s="1"/>
  <c r="AJ18" i="16"/>
  <c r="AJ90" i="16" s="1"/>
  <c r="AK18" i="16"/>
  <c r="AK90" i="16" s="1"/>
  <c r="AL18" i="16"/>
  <c r="AL90" i="16" s="1"/>
  <c r="AM18" i="16"/>
  <c r="AM90" i="16" s="1"/>
  <c r="AV495" i="16" l="1"/>
  <c r="AW495" i="16"/>
  <c r="AX495" i="16"/>
  <c r="AZ495" i="16"/>
  <c r="BC495" i="16"/>
  <c r="BH495" i="16"/>
  <c r="AV496" i="16"/>
  <c r="AW496" i="16"/>
  <c r="AX496" i="16"/>
  <c r="AY496" i="16"/>
  <c r="BA496" i="16"/>
  <c r="BB496" i="16"/>
  <c r="BD496" i="16"/>
  <c r="BF496" i="16"/>
  <c r="BH496" i="16"/>
  <c r="BK488" i="16"/>
  <c r="BK489" i="16"/>
  <c r="BK487" i="16"/>
  <c r="AM259" i="16" l="1"/>
  <c r="AM257" i="16" l="1"/>
  <c r="BH494" i="16" l="1"/>
  <c r="AZ497" i="16"/>
  <c r="BA497" i="16"/>
  <c r="BB497" i="16"/>
  <c r="BC497" i="16"/>
  <c r="BD497" i="16"/>
  <c r="BF497" i="16"/>
  <c r="BG497" i="16"/>
  <c r="BH497" i="16"/>
  <c r="AZ499" i="16"/>
  <c r="BA499" i="16"/>
  <c r="BB499" i="16"/>
  <c r="BC499" i="16"/>
  <c r="BD499" i="16"/>
  <c r="BF499" i="16"/>
  <c r="BG499" i="16"/>
  <c r="BH499" i="16"/>
  <c r="AZ500" i="16"/>
  <c r="BA500" i="16"/>
  <c r="BB500" i="16"/>
  <c r="BC500" i="16"/>
  <c r="BD500" i="16"/>
  <c r="BF500" i="16"/>
  <c r="BG500" i="16"/>
  <c r="BH500" i="16"/>
  <c r="AZ501" i="16"/>
  <c r="BA501" i="16"/>
  <c r="BB501" i="16"/>
  <c r="BC501" i="16"/>
  <c r="BD501" i="16"/>
  <c r="BF501" i="16"/>
  <c r="BG501" i="16"/>
  <c r="BH501" i="16"/>
  <c r="BD485" i="16" l="1"/>
  <c r="AZ485" i="16"/>
  <c r="BC485" i="16"/>
  <c r="BH485" i="16"/>
  <c r="BG485" i="16"/>
  <c r="BB485" i="16"/>
  <c r="BF485" i="16"/>
  <c r="BA485" i="16"/>
  <c r="BH498" i="16"/>
  <c r="BH502" i="16"/>
  <c r="BC504" i="16"/>
  <c r="BA502" i="16"/>
  <c r="BF502" i="16"/>
  <c r="BB493" i="16"/>
  <c r="BH493" i="16"/>
  <c r="BH503" i="16"/>
  <c r="AZ502" i="16"/>
  <c r="AZ504" i="16"/>
  <c r="BD502" i="16"/>
  <c r="BB504" i="16"/>
  <c r="BG502" i="16"/>
  <c r="BB502" i="16"/>
  <c r="BC502" i="16"/>
  <c r="BH504" i="16"/>
  <c r="BA504" i="16"/>
  <c r="BG504" i="16"/>
  <c r="BF504" i="16"/>
  <c r="BD504" i="16"/>
  <c r="BH505" i="16" l="1"/>
  <c r="BH526" i="16" s="1"/>
  <c r="BK100" i="16"/>
  <c r="BG126" i="16"/>
  <c r="BG143" i="16" s="1"/>
  <c r="BG181" i="16" s="1"/>
  <c r="BG486" i="16" s="1"/>
  <c r="N470" i="16"/>
  <c r="AM407" i="16"/>
  <c r="AL407" i="16"/>
  <c r="AK407" i="16"/>
  <c r="AJ407" i="16"/>
  <c r="AI407" i="16"/>
  <c r="AH407" i="16"/>
  <c r="AB407" i="16"/>
  <c r="AA407" i="16"/>
  <c r="N407" i="16"/>
  <c r="AM406" i="16"/>
  <c r="AL406" i="16"/>
  <c r="AK406" i="16"/>
  <c r="AJ406" i="16"/>
  <c r="AI406" i="16"/>
  <c r="AH406" i="16"/>
  <c r="AB406" i="16"/>
  <c r="AA406" i="16"/>
  <c r="N406" i="16"/>
  <c r="AL274" i="16"/>
  <c r="AK274" i="16"/>
  <c r="AJ274" i="16"/>
  <c r="AI274" i="16"/>
  <c r="AH274" i="16"/>
  <c r="AL249" i="16"/>
  <c r="AK249" i="16"/>
  <c r="AJ249" i="16"/>
  <c r="AH249" i="16"/>
  <c r="AB249" i="16"/>
  <c r="N249" i="16"/>
  <c r="AA403" i="16" l="1"/>
  <c r="AI403" i="16"/>
  <c r="AM403" i="16"/>
  <c r="AB403" i="16"/>
  <c r="AJ403" i="16"/>
  <c r="AK403" i="16"/>
  <c r="N403" i="16"/>
  <c r="AH403" i="16"/>
  <c r="AL403" i="16"/>
  <c r="AA249" i="16"/>
  <c r="AI249" i="16"/>
  <c r="AM249" i="16"/>
  <c r="AA274" i="16"/>
  <c r="AM274" i="16"/>
  <c r="AK348" i="16"/>
  <c r="AM348" i="16"/>
  <c r="AJ348" i="16"/>
  <c r="AH348" i="16"/>
  <c r="AB348" i="16"/>
  <c r="AI348" i="16"/>
  <c r="AL348" i="16"/>
  <c r="I180" i="16"/>
  <c r="I179" i="16"/>
  <c r="I177" i="16"/>
  <c r="I176" i="16"/>
  <c r="AF176" i="16" s="1"/>
  <c r="I174" i="16"/>
  <c r="I173" i="16"/>
  <c r="I171" i="16"/>
  <c r="AO170" i="16"/>
  <c r="AF177" i="16" l="1"/>
  <c r="BG495" i="16"/>
  <c r="BL488" i="16"/>
  <c r="I489" i="16"/>
  <c r="Z489" i="16" s="1"/>
  <c r="Z487" i="16" s="1"/>
  <c r="O489" i="16" l="1"/>
  <c r="O487" i="16" s="1"/>
  <c r="X489" i="16"/>
  <c r="X487" i="16" s="1"/>
  <c r="T489" i="16"/>
  <c r="T487" i="16" s="1"/>
  <c r="P489" i="16"/>
  <c r="P487" i="16" s="1"/>
  <c r="U489" i="16"/>
  <c r="U487" i="16" s="1"/>
  <c r="Y489" i="16"/>
  <c r="Y487" i="16" s="1"/>
  <c r="S489" i="16"/>
  <c r="S487" i="16" s="1"/>
  <c r="R489" i="16"/>
  <c r="R487" i="16" s="1"/>
  <c r="Q489" i="16"/>
  <c r="Q487" i="16" s="1"/>
  <c r="W489" i="16"/>
  <c r="W487" i="16" s="1"/>
  <c r="V489" i="16"/>
  <c r="V487" i="16" s="1"/>
  <c r="N489" i="16"/>
  <c r="AA489" i="16"/>
  <c r="AB489" i="16"/>
  <c r="AB487" i="16" s="1"/>
  <c r="BJ488" i="16"/>
  <c r="BG489" i="16"/>
  <c r="BG496" i="16" l="1"/>
  <c r="BL489" i="16"/>
  <c r="BJ489" i="16"/>
  <c r="BG487" i="16"/>
  <c r="BG494" i="16"/>
  <c r="BL487" i="16" l="1"/>
  <c r="BJ487" i="16"/>
  <c r="BG493" i="16"/>
  <c r="BG490" i="16"/>
  <c r="BG503" i="16"/>
  <c r="BG498" i="16"/>
  <c r="BG505" i="16" s="1"/>
  <c r="BG526" i="16" s="1"/>
  <c r="AB165" i="16" l="1"/>
  <c r="AB159" i="16"/>
  <c r="AB160" i="16" s="1"/>
  <c r="Z160" i="16" s="1"/>
  <c r="AB77" i="16"/>
  <c r="AB75" i="16"/>
  <c r="V160" i="16" l="1"/>
  <c r="R160" i="16"/>
  <c r="Y160" i="16"/>
  <c r="U160" i="16"/>
  <c r="Q160" i="16"/>
  <c r="O160" i="16"/>
  <c r="X160" i="16"/>
  <c r="T160" i="16"/>
  <c r="P160" i="16"/>
  <c r="W160" i="16"/>
  <c r="S160" i="16"/>
  <c r="N160" i="16"/>
  <c r="BJ160" i="16"/>
  <c r="AA160" i="16"/>
  <c r="AB166" i="16"/>
  <c r="X166" i="16" l="1"/>
  <c r="X156" i="16" s="1"/>
  <c r="T166" i="16"/>
  <c r="T156" i="16" s="1"/>
  <c r="P166" i="16"/>
  <c r="P156" i="16" s="1"/>
  <c r="W166" i="16"/>
  <c r="W156" i="16" s="1"/>
  <c r="S166" i="16"/>
  <c r="S156" i="16" s="1"/>
  <c r="O166" i="16"/>
  <c r="O156" i="16" s="1"/>
  <c r="Y166" i="16"/>
  <c r="Y156" i="16" s="1"/>
  <c r="U166" i="16"/>
  <c r="U156" i="16" s="1"/>
  <c r="Q166" i="16"/>
  <c r="Q156" i="16" s="1"/>
  <c r="Z166" i="16"/>
  <c r="Z156" i="16" s="1"/>
  <c r="V166" i="16"/>
  <c r="V156" i="16" s="1"/>
  <c r="R166" i="16"/>
  <c r="R156" i="16" s="1"/>
  <c r="J160" i="16"/>
  <c r="L160" i="16"/>
  <c r="BI160" i="16"/>
  <c r="K160" i="16" l="1"/>
  <c r="I100" i="16" l="1"/>
  <c r="Z100" i="16" l="1"/>
  <c r="V100" i="16"/>
  <c r="R100" i="16"/>
  <c r="N100" i="16"/>
  <c r="Y100" i="16"/>
  <c r="U100" i="16"/>
  <c r="Q100" i="16"/>
  <c r="AB100" i="16"/>
  <c r="BJ100" i="16" s="1"/>
  <c r="X100" i="16"/>
  <c r="T100" i="16"/>
  <c r="P100" i="16"/>
  <c r="AA100" i="16"/>
  <c r="W100" i="16"/>
  <c r="S100" i="16"/>
  <c r="O100" i="16"/>
  <c r="BF100" i="16"/>
  <c r="BF495" i="16" s="1"/>
  <c r="BF493" i="16" l="1"/>
  <c r="BF494" i="16"/>
  <c r="BL100" i="16"/>
  <c r="BF126" i="16"/>
  <c r="BF143" i="16" s="1"/>
  <c r="BF181" i="16" s="1"/>
  <c r="BF486" i="16" s="1"/>
  <c r="I478" i="16"/>
  <c r="I355" i="16"/>
  <c r="I347" i="16"/>
  <c r="I262" i="16"/>
  <c r="I257" i="16"/>
  <c r="I178" i="16"/>
  <c r="I175" i="16"/>
  <c r="I172" i="16"/>
  <c r="I169" i="16"/>
  <c r="I168" i="16"/>
  <c r="I156" i="16"/>
  <c r="I144" i="16"/>
  <c r="I142" i="16"/>
  <c r="AB142" i="16" s="1"/>
  <c r="I141" i="16"/>
  <c r="AB141" i="16" s="1"/>
  <c r="I140" i="16"/>
  <c r="I133" i="16"/>
  <c r="I132" i="16"/>
  <c r="I131" i="16"/>
  <c r="I130" i="16"/>
  <c r="I129" i="16"/>
  <c r="I356" i="16" s="1"/>
  <c r="I127" i="16"/>
  <c r="I112" i="16"/>
  <c r="I101" i="16"/>
  <c r="I99" i="16"/>
  <c r="I98" i="16"/>
  <c r="M13" i="44" s="1"/>
  <c r="I95" i="16"/>
  <c r="M12" i="44" s="1"/>
  <c r="I92" i="16"/>
  <c r="AR92" i="16" s="1"/>
  <c r="AR126" i="16" s="1"/>
  <c r="I89" i="16"/>
  <c r="I81" i="16"/>
  <c r="I79" i="16"/>
  <c r="I72" i="16"/>
  <c r="I18" i="16"/>
  <c r="I11" i="16"/>
  <c r="AF413" i="16" l="1"/>
  <c r="Z168" i="16"/>
  <c r="AB168" i="16"/>
  <c r="AE101" i="16"/>
  <c r="AD101" i="16"/>
  <c r="AC101" i="16"/>
  <c r="N101" i="16"/>
  <c r="O101" i="16"/>
  <c r="S101" i="16"/>
  <c r="W101" i="16"/>
  <c r="T101" i="16"/>
  <c r="X101" i="16"/>
  <c r="Q101" i="16"/>
  <c r="U101" i="16"/>
  <c r="Y101" i="16"/>
  <c r="R101" i="16"/>
  <c r="Z101" i="16"/>
  <c r="P101" i="16"/>
  <c r="V101" i="16"/>
  <c r="AC79" i="16"/>
  <c r="AF79" i="16"/>
  <c r="AD79" i="16"/>
  <c r="AE79" i="16"/>
  <c r="N79" i="16"/>
  <c r="Q79" i="16"/>
  <c r="U79" i="16"/>
  <c r="Y79" i="16"/>
  <c r="R79" i="16"/>
  <c r="V79" i="16"/>
  <c r="Z79" i="16"/>
  <c r="O79" i="16"/>
  <c r="S79" i="16"/>
  <c r="W79" i="16"/>
  <c r="P79" i="16"/>
  <c r="T79" i="16"/>
  <c r="X79" i="16"/>
  <c r="Z133" i="16"/>
  <c r="V133" i="16"/>
  <c r="R133" i="16"/>
  <c r="N133" i="16"/>
  <c r="Y133" i="16"/>
  <c r="U133" i="16"/>
  <c r="Q133" i="16"/>
  <c r="AB133" i="16"/>
  <c r="X133" i="16"/>
  <c r="T133" i="16"/>
  <c r="P133" i="16"/>
  <c r="AA133" i="16"/>
  <c r="W133" i="16"/>
  <c r="S133" i="16"/>
  <c r="O133" i="16"/>
  <c r="AB132" i="16"/>
  <c r="X132" i="16"/>
  <c r="T132" i="16"/>
  <c r="P132" i="16"/>
  <c r="Q132" i="16"/>
  <c r="AA132" i="16"/>
  <c r="W132" i="16"/>
  <c r="S132" i="16"/>
  <c r="O132" i="16"/>
  <c r="U132" i="16"/>
  <c r="Z132" i="16"/>
  <c r="V132" i="16"/>
  <c r="R132" i="16"/>
  <c r="N132" i="16"/>
  <c r="Y132" i="16"/>
  <c r="AB131" i="16"/>
  <c r="X131" i="16"/>
  <c r="T131" i="16"/>
  <c r="P131" i="16"/>
  <c r="U131" i="16"/>
  <c r="AA131" i="16"/>
  <c r="W131" i="16"/>
  <c r="S131" i="16"/>
  <c r="O131" i="16"/>
  <c r="Q131" i="16"/>
  <c r="Z131" i="16"/>
  <c r="V131" i="16"/>
  <c r="R131" i="16"/>
  <c r="N131" i="16"/>
  <c r="Y131" i="16"/>
  <c r="AB130" i="16"/>
  <c r="X130" i="16"/>
  <c r="T130" i="16"/>
  <c r="P130" i="16"/>
  <c r="V130" i="16"/>
  <c r="N130" i="16"/>
  <c r="U130" i="16"/>
  <c r="AA130" i="16"/>
  <c r="W130" i="16"/>
  <c r="S130" i="16"/>
  <c r="O130" i="16"/>
  <c r="Z130" i="16"/>
  <c r="R130" i="16"/>
  <c r="Y130" i="16"/>
  <c r="Q130" i="16"/>
  <c r="AB79" i="16"/>
  <c r="AA79" i="16"/>
  <c r="AB99" i="16"/>
  <c r="X99" i="16"/>
  <c r="T99" i="16"/>
  <c r="P99" i="16"/>
  <c r="Q99" i="16"/>
  <c r="AA99" i="16"/>
  <c r="W99" i="16"/>
  <c r="S99" i="16"/>
  <c r="O99" i="16"/>
  <c r="U99" i="16"/>
  <c r="Z99" i="16"/>
  <c r="V99" i="16"/>
  <c r="R99" i="16"/>
  <c r="N99" i="16"/>
  <c r="Y99" i="16"/>
  <c r="AB101" i="16"/>
  <c r="AA101" i="16"/>
  <c r="AF129" i="16"/>
  <c r="AG79" i="16"/>
  <c r="O168" i="16"/>
  <c r="W168" i="16"/>
  <c r="S168" i="16"/>
  <c r="U168" i="16"/>
  <c r="P168" i="16"/>
  <c r="Y168" i="16"/>
  <c r="T168" i="16"/>
  <c r="X168" i="16"/>
  <c r="R168" i="16"/>
  <c r="V168" i="16"/>
  <c r="Q168" i="16"/>
  <c r="I90" i="16"/>
  <c r="I94" i="16"/>
  <c r="I97" i="16" s="1"/>
  <c r="AF97" i="16" s="1"/>
  <c r="I91" i="16"/>
  <c r="AO91" i="16" s="1"/>
  <c r="I88" i="16"/>
  <c r="N168" i="16"/>
  <c r="AA168" i="16"/>
  <c r="BF490" i="16"/>
  <c r="AB269" i="16" a="1"/>
  <c r="AB269" i="16" s="1"/>
  <c r="AA269" i="16" a="1"/>
  <c r="AA269" i="16" s="1"/>
  <c r="N269" i="16" a="1"/>
  <c r="N269" i="16" s="1"/>
  <c r="BF503" i="16"/>
  <c r="BF498" i="16"/>
  <c r="BF505" i="16" s="1"/>
  <c r="BF526" i="16" s="1"/>
  <c r="AH79" i="16"/>
  <c r="AY99" i="16"/>
  <c r="AY495" i="16" s="1"/>
  <c r="AF470" i="16" l="1"/>
  <c r="AF359" i="16" s="1"/>
  <c r="I358" i="16"/>
  <c r="Z497" i="16"/>
  <c r="Z504" i="16" s="1"/>
  <c r="AB114" i="16"/>
  <c r="X114" i="16"/>
  <c r="T114" i="16"/>
  <c r="P114" i="16"/>
  <c r="Q114" i="16"/>
  <c r="AA114" i="16"/>
  <c r="W114" i="16"/>
  <c r="S114" i="16"/>
  <c r="O114" i="16"/>
  <c r="U114" i="16"/>
  <c r="Z114" i="16"/>
  <c r="V114" i="16"/>
  <c r="R114" i="16"/>
  <c r="N114" i="16"/>
  <c r="Y114" i="16"/>
  <c r="AB113" i="16"/>
  <c r="X113" i="16"/>
  <c r="T113" i="16"/>
  <c r="P113" i="16"/>
  <c r="V113" i="16"/>
  <c r="N113" i="16"/>
  <c r="U113" i="16"/>
  <c r="AA113" i="16"/>
  <c r="W113" i="16"/>
  <c r="S113" i="16"/>
  <c r="O113" i="16"/>
  <c r="Z113" i="16"/>
  <c r="R113" i="16"/>
  <c r="Y113" i="16"/>
  <c r="Q113" i="16"/>
  <c r="AF91" i="16"/>
  <c r="AF89" i="16" s="1"/>
  <c r="AF94" i="16"/>
  <c r="AF92" i="16" s="1"/>
  <c r="AF88" i="16"/>
  <c r="AC97" i="16"/>
  <c r="AC95" i="16" s="1"/>
  <c r="AC94" i="16"/>
  <c r="AC92" i="16" s="1"/>
  <c r="AC91" i="16"/>
  <c r="AC88" i="16"/>
  <c r="AD94" i="16"/>
  <c r="AD92" i="16" s="1"/>
  <c r="AD91" i="16"/>
  <c r="AD88" i="16"/>
  <c r="AD97" i="16"/>
  <c r="AD95" i="16" s="1"/>
  <c r="AE91" i="16"/>
  <c r="AE97" i="16"/>
  <c r="AE95" i="16" s="1"/>
  <c r="AE94" i="16"/>
  <c r="AE92" i="16" s="1"/>
  <c r="AE88" i="16"/>
  <c r="AG91" i="16"/>
  <c r="AG94" i="16"/>
  <c r="AG92" i="16" s="1"/>
  <c r="AG97" i="16"/>
  <c r="AG95" i="16" s="1"/>
  <c r="AG88" i="16"/>
  <c r="O497" i="16"/>
  <c r="O504" i="16" s="1"/>
  <c r="Q497" i="16"/>
  <c r="Q504" i="16" s="1"/>
  <c r="V497" i="16"/>
  <c r="V504" i="16" s="1"/>
  <c r="Y497" i="16"/>
  <c r="Y504" i="16" s="1"/>
  <c r="Y522" i="16" s="1"/>
  <c r="P497" i="16"/>
  <c r="P504" i="16" s="1"/>
  <c r="S497" i="16"/>
  <c r="S504" i="16" s="1"/>
  <c r="T497" i="16"/>
  <c r="T504" i="16" s="1"/>
  <c r="X497" i="16"/>
  <c r="X504" i="16" s="1"/>
  <c r="W497" i="16"/>
  <c r="W504" i="16" s="1"/>
  <c r="U497" i="16"/>
  <c r="U504" i="16" s="1"/>
  <c r="R497" i="16"/>
  <c r="R504" i="16" s="1"/>
  <c r="AO90" i="16"/>
  <c r="AO89" i="16" s="1"/>
  <c r="L269" i="16"/>
  <c r="BI522" i="16" l="1"/>
  <c r="Y520" i="16"/>
  <c r="AC522" i="16"/>
  <c r="L522" i="16" s="1"/>
  <c r="AF355" i="16"/>
  <c r="AF500" i="16"/>
  <c r="N112" i="16"/>
  <c r="P112" i="16"/>
  <c r="Z112" i="16"/>
  <c r="AE89" i="16"/>
  <c r="AE493" i="16" s="1"/>
  <c r="AD89" i="16"/>
  <c r="AD493" i="16" s="1"/>
  <c r="AC89" i="16"/>
  <c r="AC493" i="16" s="1"/>
  <c r="O112" i="16"/>
  <c r="X112" i="16"/>
  <c r="AG89" i="16"/>
  <c r="AG493" i="16" s="1"/>
  <c r="AG495" i="16"/>
  <c r="AG494" i="16"/>
  <c r="R112" i="16"/>
  <c r="V112" i="16"/>
  <c r="Q112" i="16"/>
  <c r="U112" i="16"/>
  <c r="S112" i="16"/>
  <c r="T112" i="16"/>
  <c r="Y112" i="16"/>
  <c r="W112" i="16"/>
  <c r="BL121" i="16"/>
  <c r="BL120" i="16"/>
  <c r="BL119" i="16"/>
  <c r="BL117" i="16"/>
  <c r="BL116" i="16"/>
  <c r="BL115" i="16"/>
  <c r="J522" i="16" l="1"/>
  <c r="K522" i="16" s="1"/>
  <c r="BK522" i="16"/>
  <c r="AC520" i="16"/>
  <c r="J520" i="16" s="1"/>
  <c r="K520" i="16" s="1"/>
  <c r="AF499" i="16"/>
  <c r="J355" i="16"/>
  <c r="AF485" i="16"/>
  <c r="AF502" i="16"/>
  <c r="AC126" i="16"/>
  <c r="AC143" i="16" s="1"/>
  <c r="AC181" i="16" s="1"/>
  <c r="AD126" i="16"/>
  <c r="AD143" i="16" s="1"/>
  <c r="AD181" i="16" s="1"/>
  <c r="AE126" i="16"/>
  <c r="AE143" i="16" s="1"/>
  <c r="AE181" i="16" s="1"/>
  <c r="AG503" i="16"/>
  <c r="AG498" i="16"/>
  <c r="AG505" i="16" s="1"/>
  <c r="AG526" i="16" s="1"/>
  <c r="AG126" i="16"/>
  <c r="AG143" i="16" s="1"/>
  <c r="AG181" i="16" s="1"/>
  <c r="AG486" i="16" s="1"/>
  <c r="AG490" i="16" s="1"/>
  <c r="I122" i="16"/>
  <c r="K122" i="16" s="1"/>
  <c r="BL5" i="16"/>
  <c r="BL7" i="16"/>
  <c r="BL8" i="16"/>
  <c r="BL10" i="16"/>
  <c r="BL12" i="16"/>
  <c r="BL14" i="16"/>
  <c r="BL15" i="16"/>
  <c r="BL17" i="16"/>
  <c r="BL18" i="16"/>
  <c r="BL19" i="16"/>
  <c r="BL20" i="16"/>
  <c r="BL21" i="16"/>
  <c r="BL22" i="16"/>
  <c r="BL23" i="16"/>
  <c r="BL24" i="16"/>
  <c r="BL25" i="16"/>
  <c r="BL26" i="16"/>
  <c r="BL27" i="16"/>
  <c r="BL28" i="16"/>
  <c r="BL29" i="16"/>
  <c r="BL30" i="16"/>
  <c r="BL31" i="16"/>
  <c r="BL32" i="16"/>
  <c r="BL33" i="16"/>
  <c r="BL34" i="16"/>
  <c r="BL35" i="16"/>
  <c r="BL36" i="16"/>
  <c r="BL37" i="16"/>
  <c r="BL38" i="16"/>
  <c r="BL39" i="16"/>
  <c r="BL40" i="16"/>
  <c r="BL41" i="16"/>
  <c r="BL42" i="16"/>
  <c r="BL43" i="16"/>
  <c r="BL44" i="16"/>
  <c r="BL45" i="16"/>
  <c r="BL46" i="16"/>
  <c r="BL47" i="16"/>
  <c r="BL48" i="16"/>
  <c r="BL49" i="16"/>
  <c r="BL50" i="16"/>
  <c r="BL51" i="16"/>
  <c r="BL52" i="16"/>
  <c r="BL53" i="16"/>
  <c r="BL54" i="16"/>
  <c r="BL55" i="16"/>
  <c r="BL56" i="16"/>
  <c r="BL57" i="16"/>
  <c r="BL58" i="16"/>
  <c r="BL59" i="16"/>
  <c r="BL60" i="16"/>
  <c r="BL61" i="16"/>
  <c r="BL62" i="16"/>
  <c r="BL63" i="16"/>
  <c r="BL64" i="16"/>
  <c r="BL65" i="16"/>
  <c r="BL66" i="16"/>
  <c r="BL67" i="16"/>
  <c r="BL68" i="16"/>
  <c r="BL69" i="16"/>
  <c r="BL70" i="16"/>
  <c r="BL71" i="16"/>
  <c r="BL73" i="16"/>
  <c r="BL75" i="16"/>
  <c r="BL76" i="16"/>
  <c r="BL78" i="16"/>
  <c r="BL79" i="16"/>
  <c r="BL81" i="16"/>
  <c r="BL95" i="16"/>
  <c r="BL96" i="16"/>
  <c r="BL97" i="16"/>
  <c r="BL98" i="16"/>
  <c r="BL127" i="16"/>
  <c r="BL128" i="16"/>
  <c r="BL129" i="16"/>
  <c r="BL130" i="16"/>
  <c r="BL131" i="16"/>
  <c r="BL132" i="16"/>
  <c r="BL133" i="16"/>
  <c r="BL140" i="16"/>
  <c r="BL141" i="16"/>
  <c r="BL142" i="16"/>
  <c r="BL144" i="16"/>
  <c r="BL159" i="16"/>
  <c r="BL166" i="16"/>
  <c r="BL176" i="16"/>
  <c r="BL177" i="16"/>
  <c r="BL179" i="16"/>
  <c r="BL180" i="16"/>
  <c r="BL183" i="16"/>
  <c r="BL184" i="16"/>
  <c r="BL185" i="16"/>
  <c r="BL186" i="16"/>
  <c r="BL187" i="16"/>
  <c r="BL189" i="16"/>
  <c r="BL190" i="16"/>
  <c r="BL191" i="16"/>
  <c r="BL198" i="16"/>
  <c r="BL199" i="16"/>
  <c r="BL201" i="16"/>
  <c r="BL202" i="16"/>
  <c r="BL203" i="16"/>
  <c r="BL204" i="16"/>
  <c r="BL205" i="16"/>
  <c r="BL206" i="16"/>
  <c r="BL207" i="16"/>
  <c r="BL208" i="16"/>
  <c r="BL209" i="16"/>
  <c r="BL210" i="16"/>
  <c r="BL211" i="16"/>
  <c r="BL212" i="16"/>
  <c r="BL213" i="16"/>
  <c r="BL214" i="16"/>
  <c r="BL215" i="16"/>
  <c r="BL216" i="16"/>
  <c r="BL217" i="16"/>
  <c r="BL218" i="16"/>
  <c r="BL219" i="16"/>
  <c r="BL220" i="16"/>
  <c r="BL221" i="16"/>
  <c r="BL222" i="16"/>
  <c r="BL223" i="16"/>
  <c r="BL224" i="16"/>
  <c r="BL225" i="16"/>
  <c r="BL226" i="16"/>
  <c r="BL227" i="16"/>
  <c r="BL228" i="16"/>
  <c r="BL229" i="16"/>
  <c r="BL230" i="16"/>
  <c r="BL231" i="16"/>
  <c r="BL232" i="16"/>
  <c r="BL233" i="16"/>
  <c r="BL234" i="16"/>
  <c r="BL235" i="16"/>
  <c r="BL236" i="16"/>
  <c r="BL237" i="16"/>
  <c r="BL238" i="16"/>
  <c r="BL239" i="16"/>
  <c r="BL240" i="16"/>
  <c r="BL241" i="16"/>
  <c r="BL242" i="16"/>
  <c r="BL243" i="16"/>
  <c r="BL244" i="16"/>
  <c r="BL245" i="16"/>
  <c r="BL246" i="16"/>
  <c r="BL247" i="16"/>
  <c r="BL248" i="16"/>
  <c r="BL249" i="16"/>
  <c r="BL250" i="16"/>
  <c r="BL251" i="16"/>
  <c r="BL252" i="16"/>
  <c r="BL253" i="16"/>
  <c r="BL254" i="16"/>
  <c r="BL255" i="16"/>
  <c r="BL257" i="16"/>
  <c r="BL258" i="16"/>
  <c r="BL259" i="16"/>
  <c r="BL260" i="16"/>
  <c r="BL261" i="16"/>
  <c r="BL262" i="16"/>
  <c r="BL263" i="16"/>
  <c r="BL264" i="16"/>
  <c r="BL265" i="16"/>
  <c r="BL266" i="16"/>
  <c r="BL267" i="16"/>
  <c r="BL268" i="16"/>
  <c r="BL269" i="16"/>
  <c r="BL270" i="16"/>
  <c r="BL271" i="16"/>
  <c r="BL272" i="16"/>
  <c r="BL273" i="16"/>
  <c r="BL274" i="16"/>
  <c r="BL275" i="16"/>
  <c r="BL276" i="16"/>
  <c r="BL277" i="16"/>
  <c r="BL278" i="16"/>
  <c r="BL279" i="16"/>
  <c r="BL280" i="16"/>
  <c r="BL281" i="16"/>
  <c r="BL282" i="16"/>
  <c r="BL283" i="16"/>
  <c r="BL284" i="16"/>
  <c r="BL285" i="16"/>
  <c r="BL286" i="16"/>
  <c r="BL287" i="16"/>
  <c r="BL288" i="16"/>
  <c r="BL289" i="16"/>
  <c r="BL290" i="16"/>
  <c r="BL291" i="16"/>
  <c r="BL292" i="16"/>
  <c r="BL293" i="16"/>
  <c r="BL294" i="16"/>
  <c r="BL295" i="16"/>
  <c r="BL296" i="16"/>
  <c r="BL297" i="16"/>
  <c r="BL298" i="16"/>
  <c r="BL299" i="16"/>
  <c r="BL300" i="16"/>
  <c r="BL301" i="16"/>
  <c r="BL302" i="16"/>
  <c r="BL303" i="16"/>
  <c r="BL304" i="16"/>
  <c r="BL305" i="16"/>
  <c r="BL306" i="16"/>
  <c r="BL307" i="16"/>
  <c r="BL308" i="16"/>
  <c r="BL309" i="16"/>
  <c r="BL310" i="16"/>
  <c r="BL311" i="16"/>
  <c r="BL312" i="16"/>
  <c r="BL313" i="16"/>
  <c r="BL314" i="16"/>
  <c r="BL315" i="16"/>
  <c r="BL316" i="16"/>
  <c r="BL317" i="16"/>
  <c r="BL318" i="16"/>
  <c r="BL319" i="16"/>
  <c r="BL320" i="16"/>
  <c r="BL321" i="16"/>
  <c r="BL322" i="16"/>
  <c r="BL323" i="16"/>
  <c r="BL324" i="16"/>
  <c r="BL325" i="16"/>
  <c r="BL326" i="16"/>
  <c r="BL327" i="16"/>
  <c r="BL328" i="16"/>
  <c r="BL329" i="16"/>
  <c r="BL330" i="16"/>
  <c r="BL331" i="16"/>
  <c r="BL332" i="16"/>
  <c r="BL333" i="16"/>
  <c r="BL334" i="16"/>
  <c r="BL335" i="16"/>
  <c r="BL336" i="16"/>
  <c r="BL337" i="16"/>
  <c r="BL338" i="16"/>
  <c r="BL339" i="16"/>
  <c r="BL340" i="16"/>
  <c r="BL341" i="16"/>
  <c r="BL342" i="16"/>
  <c r="BL346" i="16"/>
  <c r="BL347" i="16"/>
  <c r="BL348" i="16"/>
  <c r="BL349" i="16"/>
  <c r="BL350" i="16"/>
  <c r="BL351" i="16"/>
  <c r="BL352" i="16"/>
  <c r="BL353" i="16"/>
  <c r="BL355" i="16"/>
  <c r="BL356" i="16"/>
  <c r="BL357" i="16"/>
  <c r="BL358" i="16"/>
  <c r="BL359" i="16"/>
  <c r="BL360" i="16"/>
  <c r="BL361" i="16"/>
  <c r="BL362" i="16"/>
  <c r="BL363" i="16"/>
  <c r="BL364" i="16"/>
  <c r="BL365" i="16"/>
  <c r="BL366" i="16"/>
  <c r="BL367" i="16"/>
  <c r="BL368" i="16"/>
  <c r="BL369" i="16"/>
  <c r="BL370" i="16"/>
  <c r="BL371" i="16"/>
  <c r="BL372" i="16"/>
  <c r="BL373" i="16"/>
  <c r="BL374" i="16"/>
  <c r="BL375" i="16"/>
  <c r="BL376" i="16"/>
  <c r="BL377" i="16"/>
  <c r="BL378" i="16"/>
  <c r="BL379" i="16"/>
  <c r="BL380" i="16"/>
  <c r="BL381" i="16"/>
  <c r="BL382" i="16"/>
  <c r="BL383" i="16"/>
  <c r="BL384" i="16"/>
  <c r="BL385" i="16"/>
  <c r="BL386" i="16"/>
  <c r="BL387" i="16"/>
  <c r="BL388" i="16"/>
  <c r="BL389" i="16"/>
  <c r="BL390" i="16"/>
  <c r="BL391" i="16"/>
  <c r="BL392" i="16"/>
  <c r="BL393" i="16"/>
  <c r="BL394" i="16"/>
  <c r="BL395" i="16"/>
  <c r="BL396" i="16"/>
  <c r="BL397" i="16"/>
  <c r="BL398" i="16"/>
  <c r="BL399" i="16"/>
  <c r="BL400" i="16"/>
  <c r="BL401" i="16"/>
  <c r="BL402" i="16"/>
  <c r="BL403" i="16"/>
  <c r="BL404" i="16"/>
  <c r="BL405" i="16"/>
  <c r="BL406" i="16"/>
  <c r="BL407" i="16"/>
  <c r="BL408" i="16"/>
  <c r="BL409" i="16"/>
  <c r="BL410" i="16"/>
  <c r="BL411" i="16"/>
  <c r="BL412" i="16"/>
  <c r="BL413" i="16"/>
  <c r="BL414" i="16"/>
  <c r="BL415" i="16"/>
  <c r="BL416" i="16"/>
  <c r="BL417" i="16"/>
  <c r="BL418" i="16"/>
  <c r="BL419" i="16"/>
  <c r="BL420" i="16"/>
  <c r="BL421" i="16"/>
  <c r="BL422" i="16"/>
  <c r="BL423" i="16"/>
  <c r="BL424" i="16"/>
  <c r="BL425" i="16"/>
  <c r="BL426" i="16"/>
  <c r="BL427" i="16"/>
  <c r="BL428" i="16"/>
  <c r="BL429" i="16"/>
  <c r="BL430" i="16"/>
  <c r="BL431" i="16"/>
  <c r="BL432" i="16"/>
  <c r="BL433" i="16"/>
  <c r="BL434" i="16"/>
  <c r="BL435" i="16"/>
  <c r="BL436" i="16"/>
  <c r="BL437" i="16"/>
  <c r="BL438" i="16"/>
  <c r="BL439" i="16"/>
  <c r="BL440" i="16"/>
  <c r="BL441" i="16"/>
  <c r="BL442" i="16"/>
  <c r="BL443" i="16"/>
  <c r="BL444" i="16"/>
  <c r="BL445" i="16"/>
  <c r="BL446" i="16"/>
  <c r="BL447" i="16"/>
  <c r="BL448" i="16"/>
  <c r="BL449" i="16"/>
  <c r="BL450" i="16"/>
  <c r="BL451" i="16"/>
  <c r="BL452" i="16"/>
  <c r="BL453" i="16"/>
  <c r="BL454" i="16"/>
  <c r="BL455" i="16"/>
  <c r="BL456" i="16"/>
  <c r="BL457" i="16"/>
  <c r="BL458" i="16"/>
  <c r="BL459" i="16"/>
  <c r="BL460" i="16"/>
  <c r="BL461" i="16"/>
  <c r="BL462" i="16"/>
  <c r="BL463" i="16"/>
  <c r="BL464" i="16"/>
  <c r="BL465" i="16"/>
  <c r="BL466" i="16"/>
  <c r="BL467" i="16"/>
  <c r="BL468" i="16"/>
  <c r="BL469" i="16"/>
  <c r="BL470" i="16"/>
  <c r="BL471" i="16"/>
  <c r="BL472" i="16"/>
  <c r="BL473" i="16"/>
  <c r="BL474" i="16"/>
  <c r="BL475" i="16"/>
  <c r="BL476" i="16"/>
  <c r="BL477" i="16"/>
  <c r="BL478" i="16"/>
  <c r="BL479" i="16"/>
  <c r="BL480" i="16"/>
  <c r="BL481" i="16"/>
  <c r="BL482" i="16"/>
  <c r="BL483" i="16"/>
  <c r="BL484" i="16"/>
  <c r="BK8" i="16"/>
  <c r="BK9" i="16"/>
  <c r="BK10" i="16"/>
  <c r="BK15" i="16"/>
  <c r="BK16" i="16"/>
  <c r="BK17" i="16"/>
  <c r="BK18" i="16"/>
  <c r="BK19" i="16"/>
  <c r="BK20" i="16"/>
  <c r="BK21" i="16"/>
  <c r="BK22" i="16"/>
  <c r="BK23" i="16"/>
  <c r="BK24" i="16"/>
  <c r="BK25" i="16"/>
  <c r="BK26" i="16"/>
  <c r="BK27" i="16"/>
  <c r="BK28" i="16"/>
  <c r="BK29" i="16"/>
  <c r="BK30" i="16"/>
  <c r="BK31" i="16"/>
  <c r="BK32" i="16"/>
  <c r="BK33" i="16"/>
  <c r="BK34" i="16"/>
  <c r="BK35" i="16"/>
  <c r="BK36" i="16"/>
  <c r="BK37" i="16"/>
  <c r="BK38" i="16"/>
  <c r="BK39" i="16"/>
  <c r="BK40" i="16"/>
  <c r="BK41" i="16"/>
  <c r="BK42" i="16"/>
  <c r="BK43" i="16"/>
  <c r="BK44" i="16"/>
  <c r="BK45" i="16"/>
  <c r="BK46" i="16"/>
  <c r="BK47" i="16"/>
  <c r="BK48" i="16"/>
  <c r="BK49" i="16"/>
  <c r="BK50" i="16"/>
  <c r="BK51" i="16"/>
  <c r="BK52" i="16"/>
  <c r="BK53" i="16"/>
  <c r="BK54" i="16"/>
  <c r="BK55" i="16"/>
  <c r="BK56" i="16"/>
  <c r="BK57" i="16"/>
  <c r="BK58" i="16"/>
  <c r="BK59" i="16"/>
  <c r="BK60" i="16"/>
  <c r="BK61" i="16"/>
  <c r="BK62" i="16"/>
  <c r="BK63" i="16"/>
  <c r="BK64" i="16"/>
  <c r="BK65" i="16"/>
  <c r="BK66" i="16"/>
  <c r="BK67" i="16"/>
  <c r="BK68" i="16"/>
  <c r="BK69" i="16"/>
  <c r="BK70" i="16"/>
  <c r="BK71" i="16"/>
  <c r="BK76" i="16"/>
  <c r="BK77" i="16"/>
  <c r="BK78" i="16"/>
  <c r="BK98" i="16"/>
  <c r="BK99" i="16"/>
  <c r="BK101" i="16"/>
  <c r="BK102" i="16"/>
  <c r="BK103" i="16"/>
  <c r="BK104" i="16"/>
  <c r="BK105" i="16"/>
  <c r="BK106" i="16"/>
  <c r="BK107" i="16"/>
  <c r="BK108" i="16"/>
  <c r="BK109" i="16"/>
  <c r="BK110" i="16"/>
  <c r="BK111" i="16"/>
  <c r="BK112" i="16"/>
  <c r="BK113" i="16"/>
  <c r="BK114" i="16"/>
  <c r="BK123" i="16"/>
  <c r="BK127" i="16"/>
  <c r="BK128" i="16"/>
  <c r="BK131" i="16"/>
  <c r="BK132" i="16"/>
  <c r="BK140" i="16"/>
  <c r="BK141" i="16"/>
  <c r="BK142" i="16"/>
  <c r="BK144" i="16"/>
  <c r="BK165" i="16"/>
  <c r="BK166" i="16"/>
  <c r="BK168" i="16"/>
  <c r="BK171" i="16"/>
  <c r="BK174" i="16"/>
  <c r="BK179" i="16"/>
  <c r="BK180" i="16"/>
  <c r="BK184" i="16"/>
  <c r="BK185" i="16"/>
  <c r="BK186" i="16"/>
  <c r="BK187" i="16"/>
  <c r="BK198" i="16"/>
  <c r="BK201" i="16"/>
  <c r="BK202" i="16"/>
  <c r="BK203" i="16"/>
  <c r="BK204" i="16"/>
  <c r="BK205" i="16"/>
  <c r="BK206" i="16"/>
  <c r="BK207" i="16"/>
  <c r="BK208" i="16"/>
  <c r="BK209" i="16"/>
  <c r="BK210" i="16"/>
  <c r="BK211" i="16"/>
  <c r="BK212" i="16"/>
  <c r="BK213" i="16"/>
  <c r="BK214" i="16"/>
  <c r="BK215" i="16"/>
  <c r="BK216" i="16"/>
  <c r="BK217" i="16"/>
  <c r="BK218" i="16"/>
  <c r="BK219" i="16"/>
  <c r="BK220" i="16"/>
  <c r="BK221" i="16"/>
  <c r="BK222" i="16"/>
  <c r="BK223" i="16"/>
  <c r="BK224" i="16"/>
  <c r="BK225" i="16"/>
  <c r="BK226" i="16"/>
  <c r="BK227" i="16"/>
  <c r="BK228" i="16"/>
  <c r="BK229" i="16"/>
  <c r="BK230" i="16"/>
  <c r="BK231" i="16"/>
  <c r="BK232" i="16"/>
  <c r="BK233" i="16"/>
  <c r="BK234" i="16"/>
  <c r="BK235" i="16"/>
  <c r="BK236" i="16"/>
  <c r="BK237" i="16"/>
  <c r="BK238" i="16"/>
  <c r="BK239" i="16"/>
  <c r="BK240" i="16"/>
  <c r="BK241" i="16"/>
  <c r="BK242" i="16"/>
  <c r="BK243" i="16"/>
  <c r="BK244" i="16"/>
  <c r="BK245" i="16"/>
  <c r="BK246" i="16"/>
  <c r="BK247" i="16"/>
  <c r="BK248" i="16"/>
  <c r="BK249" i="16"/>
  <c r="BK250" i="16"/>
  <c r="BK251" i="16"/>
  <c r="BK252" i="16"/>
  <c r="BK253" i="16"/>
  <c r="BK254" i="16"/>
  <c r="BK255" i="16"/>
  <c r="BK269" i="16"/>
  <c r="BK270" i="16"/>
  <c r="BK271" i="16"/>
  <c r="BK272" i="16"/>
  <c r="BK273" i="16"/>
  <c r="BK275" i="16"/>
  <c r="BK276" i="16"/>
  <c r="BK277" i="16"/>
  <c r="BK278" i="16"/>
  <c r="BK279" i="16"/>
  <c r="BK280" i="16"/>
  <c r="BK281" i="16"/>
  <c r="BK282" i="16"/>
  <c r="BK283" i="16"/>
  <c r="BK284" i="16"/>
  <c r="BK285" i="16"/>
  <c r="BK286" i="16"/>
  <c r="BK287" i="16"/>
  <c r="BK288" i="16"/>
  <c r="BK289" i="16"/>
  <c r="BK290" i="16"/>
  <c r="BK291" i="16"/>
  <c r="BK292" i="16"/>
  <c r="BK293" i="16"/>
  <c r="BK294" i="16"/>
  <c r="BK295" i="16"/>
  <c r="BK296" i="16"/>
  <c r="BK297" i="16"/>
  <c r="BK298" i="16"/>
  <c r="BK299" i="16"/>
  <c r="BK300" i="16"/>
  <c r="BK301" i="16"/>
  <c r="BK302" i="16"/>
  <c r="BK303" i="16"/>
  <c r="BK304" i="16"/>
  <c r="BK305" i="16"/>
  <c r="BK306" i="16"/>
  <c r="BK307" i="16"/>
  <c r="BK308" i="16"/>
  <c r="BK309" i="16"/>
  <c r="BK310" i="16"/>
  <c r="BK311" i="16"/>
  <c r="BK312" i="16"/>
  <c r="BK313" i="16"/>
  <c r="BK314" i="16"/>
  <c r="BK315" i="16"/>
  <c r="BK316" i="16"/>
  <c r="BK317" i="16"/>
  <c r="BK318" i="16"/>
  <c r="BK319" i="16"/>
  <c r="BK320" i="16"/>
  <c r="BK321" i="16"/>
  <c r="BK322" i="16"/>
  <c r="BK323" i="16"/>
  <c r="BK324" i="16"/>
  <c r="BK325" i="16"/>
  <c r="BK326" i="16"/>
  <c r="BK327" i="16"/>
  <c r="BK328" i="16"/>
  <c r="BK329" i="16"/>
  <c r="BK330" i="16"/>
  <c r="BK331" i="16"/>
  <c r="BK332" i="16"/>
  <c r="BK333" i="16"/>
  <c r="BK334" i="16"/>
  <c r="BK335" i="16"/>
  <c r="BK336" i="16"/>
  <c r="BK337" i="16"/>
  <c r="BK338" i="16"/>
  <c r="BK339" i="16"/>
  <c r="BK340" i="16"/>
  <c r="BK341" i="16"/>
  <c r="BK342" i="16"/>
  <c r="BK346" i="16"/>
  <c r="BK349" i="16"/>
  <c r="BJ6" i="16"/>
  <c r="BJ12" i="16"/>
  <c r="BJ13" i="16"/>
  <c r="BJ20" i="16"/>
  <c r="BJ21" i="16"/>
  <c r="BJ22" i="16"/>
  <c r="BJ23" i="16"/>
  <c r="BJ24" i="16"/>
  <c r="BJ25" i="16"/>
  <c r="BJ26" i="16"/>
  <c r="BJ27" i="16"/>
  <c r="BJ28" i="16"/>
  <c r="BJ29" i="16"/>
  <c r="BJ30" i="16"/>
  <c r="BJ31" i="16"/>
  <c r="BJ32" i="16"/>
  <c r="BJ33" i="16"/>
  <c r="BJ34" i="16"/>
  <c r="BJ35" i="16"/>
  <c r="BJ36" i="16"/>
  <c r="BJ37" i="16"/>
  <c r="BJ38" i="16"/>
  <c r="BJ39" i="16"/>
  <c r="BJ40" i="16"/>
  <c r="BJ41" i="16"/>
  <c r="BJ42" i="16"/>
  <c r="BJ43" i="16"/>
  <c r="BJ44" i="16"/>
  <c r="BJ45" i="16"/>
  <c r="BJ46" i="16"/>
  <c r="BJ47" i="16"/>
  <c r="BJ48" i="16"/>
  <c r="BJ49" i="16"/>
  <c r="BJ50" i="16"/>
  <c r="BJ51" i="16"/>
  <c r="BJ52" i="16"/>
  <c r="BJ53" i="16"/>
  <c r="BJ54" i="16"/>
  <c r="BJ55" i="16"/>
  <c r="BJ56" i="16"/>
  <c r="BJ57" i="16"/>
  <c r="BJ58" i="16"/>
  <c r="BJ59" i="16"/>
  <c r="BJ60" i="16"/>
  <c r="BJ61" i="16"/>
  <c r="BJ62" i="16"/>
  <c r="BJ63" i="16"/>
  <c r="BJ64" i="16"/>
  <c r="BJ65" i="16"/>
  <c r="BJ66" i="16"/>
  <c r="BJ67" i="16"/>
  <c r="BJ68" i="16"/>
  <c r="BJ69" i="16"/>
  <c r="BJ70" i="16"/>
  <c r="BJ71" i="16"/>
  <c r="BJ73" i="16"/>
  <c r="BJ74" i="16"/>
  <c r="BJ98" i="16"/>
  <c r="BJ99" i="16"/>
  <c r="BJ127" i="16"/>
  <c r="BJ128" i="16"/>
  <c r="BJ129" i="16"/>
  <c r="BJ131" i="16"/>
  <c r="BJ132" i="16"/>
  <c r="BJ140" i="16"/>
  <c r="BJ142" i="16"/>
  <c r="BJ144" i="16"/>
  <c r="BJ158" i="16"/>
  <c r="BJ179" i="16"/>
  <c r="BJ180" i="16"/>
  <c r="BJ185" i="16"/>
  <c r="BJ186" i="16"/>
  <c r="BJ187" i="16"/>
  <c r="BJ201" i="16"/>
  <c r="BJ202" i="16"/>
  <c r="BJ203" i="16"/>
  <c r="BJ204" i="16"/>
  <c r="BJ205" i="16"/>
  <c r="BJ206" i="16"/>
  <c r="BJ207" i="16"/>
  <c r="BJ208" i="16"/>
  <c r="BJ209" i="16"/>
  <c r="BJ210" i="16"/>
  <c r="BJ211" i="16"/>
  <c r="BJ212" i="16"/>
  <c r="BJ213" i="16"/>
  <c r="BJ214" i="16"/>
  <c r="BJ215" i="16"/>
  <c r="BJ216" i="16"/>
  <c r="BJ217" i="16"/>
  <c r="BJ218" i="16"/>
  <c r="BJ219" i="16"/>
  <c r="BJ220" i="16"/>
  <c r="BJ221" i="16"/>
  <c r="BJ222" i="16"/>
  <c r="BJ223" i="16"/>
  <c r="BJ224" i="16"/>
  <c r="BJ225" i="16"/>
  <c r="BJ226" i="16"/>
  <c r="BJ227" i="16"/>
  <c r="BJ228" i="16"/>
  <c r="BJ229" i="16"/>
  <c r="BJ230" i="16"/>
  <c r="BJ231" i="16"/>
  <c r="BJ232" i="16"/>
  <c r="BJ233" i="16"/>
  <c r="BJ234" i="16"/>
  <c r="BJ235" i="16"/>
  <c r="BJ236" i="16"/>
  <c r="BJ237" i="16"/>
  <c r="BJ238" i="16"/>
  <c r="BJ239" i="16"/>
  <c r="BJ240" i="16"/>
  <c r="BJ241" i="16"/>
  <c r="BJ242" i="16"/>
  <c r="BJ243" i="16"/>
  <c r="BJ244" i="16"/>
  <c r="BJ245" i="16"/>
  <c r="BJ246" i="16"/>
  <c r="BJ247" i="16"/>
  <c r="BJ248" i="16"/>
  <c r="BJ249" i="16"/>
  <c r="BJ250" i="16"/>
  <c r="BJ251" i="16"/>
  <c r="BJ252" i="16"/>
  <c r="BJ253" i="16"/>
  <c r="BJ254" i="16"/>
  <c r="BJ255" i="16"/>
  <c r="BJ257" i="16"/>
  <c r="BJ258" i="16"/>
  <c r="BJ259" i="16"/>
  <c r="BJ260" i="16"/>
  <c r="BJ261" i="16"/>
  <c r="BJ262" i="16"/>
  <c r="BJ263" i="16"/>
  <c r="BJ264" i="16"/>
  <c r="BJ265" i="16"/>
  <c r="BJ266" i="16"/>
  <c r="BJ270" i="16"/>
  <c r="BJ271" i="16"/>
  <c r="BJ272" i="16"/>
  <c r="BJ273" i="16"/>
  <c r="BJ275" i="16"/>
  <c r="BJ276" i="16"/>
  <c r="BJ277" i="16"/>
  <c r="BJ278" i="16"/>
  <c r="BJ279" i="16"/>
  <c r="BJ280" i="16"/>
  <c r="BJ281" i="16"/>
  <c r="BJ282" i="16"/>
  <c r="BJ283" i="16"/>
  <c r="BJ284" i="16"/>
  <c r="BJ285" i="16"/>
  <c r="BJ286" i="16"/>
  <c r="BJ287" i="16"/>
  <c r="BJ288" i="16"/>
  <c r="BJ289" i="16"/>
  <c r="BJ290" i="16"/>
  <c r="BJ291" i="16"/>
  <c r="BJ292" i="16"/>
  <c r="BJ293" i="16"/>
  <c r="BJ294" i="16"/>
  <c r="BJ295" i="16"/>
  <c r="BJ296" i="16"/>
  <c r="BJ297" i="16"/>
  <c r="BJ298" i="16"/>
  <c r="BJ299" i="16"/>
  <c r="BJ300" i="16"/>
  <c r="BJ301" i="16"/>
  <c r="BJ302" i="16"/>
  <c r="BJ303" i="16"/>
  <c r="BJ304" i="16"/>
  <c r="BJ305" i="16"/>
  <c r="BJ306" i="16"/>
  <c r="BJ307" i="16"/>
  <c r="BJ308" i="16"/>
  <c r="BJ309" i="16"/>
  <c r="BJ310" i="16"/>
  <c r="BJ311" i="16"/>
  <c r="BJ312" i="16"/>
  <c r="BJ313" i="16"/>
  <c r="BJ314" i="16"/>
  <c r="BJ315" i="16"/>
  <c r="BJ316" i="16"/>
  <c r="BJ317" i="16"/>
  <c r="BJ318" i="16"/>
  <c r="BJ319" i="16"/>
  <c r="BJ320" i="16"/>
  <c r="BJ321" i="16"/>
  <c r="BJ322" i="16"/>
  <c r="BJ323" i="16"/>
  <c r="BJ324" i="16"/>
  <c r="BJ325" i="16"/>
  <c r="BJ326" i="16"/>
  <c r="BJ327" i="16"/>
  <c r="BJ328" i="16"/>
  <c r="BJ329" i="16"/>
  <c r="BJ330" i="16"/>
  <c r="BJ331" i="16"/>
  <c r="BJ332" i="16"/>
  <c r="BJ333" i="16"/>
  <c r="BJ334" i="16"/>
  <c r="BJ335" i="16"/>
  <c r="BJ336" i="16"/>
  <c r="BJ337" i="16"/>
  <c r="BJ338" i="16"/>
  <c r="BJ339" i="16"/>
  <c r="BJ340" i="16"/>
  <c r="BJ341" i="16"/>
  <c r="BJ342" i="16"/>
  <c r="BJ346" i="16"/>
  <c r="BJ355" i="16"/>
  <c r="BJ356" i="16"/>
  <c r="BJ357" i="16"/>
  <c r="BJ358" i="16"/>
  <c r="BJ359" i="16"/>
  <c r="BJ360" i="16"/>
  <c r="BJ361" i="16"/>
  <c r="BJ362" i="16"/>
  <c r="BJ363" i="16"/>
  <c r="BJ364" i="16"/>
  <c r="BJ365" i="16"/>
  <c r="BJ366" i="16"/>
  <c r="BJ367" i="16"/>
  <c r="BJ368" i="16"/>
  <c r="BJ369" i="16"/>
  <c r="BJ370" i="16"/>
  <c r="BJ371" i="16"/>
  <c r="BJ372" i="16"/>
  <c r="BJ373" i="16"/>
  <c r="BJ374" i="16"/>
  <c r="BJ375" i="16"/>
  <c r="BJ376" i="16"/>
  <c r="BJ377" i="16"/>
  <c r="BJ378" i="16"/>
  <c r="BJ379" i="16"/>
  <c r="BJ380" i="16"/>
  <c r="BJ381" i="16"/>
  <c r="BJ382" i="16"/>
  <c r="BJ383" i="16"/>
  <c r="BJ384" i="16"/>
  <c r="BJ385" i="16"/>
  <c r="BJ386" i="16"/>
  <c r="BJ387" i="16"/>
  <c r="BJ388" i="16"/>
  <c r="BJ389" i="16"/>
  <c r="BJ390" i="16"/>
  <c r="BJ391" i="16"/>
  <c r="BJ392" i="16"/>
  <c r="BJ393" i="16"/>
  <c r="BJ394" i="16"/>
  <c r="BJ395" i="16"/>
  <c r="BJ396" i="16"/>
  <c r="BJ397" i="16"/>
  <c r="BJ398" i="16"/>
  <c r="BJ399" i="16"/>
  <c r="BJ400" i="16"/>
  <c r="BJ401" i="16"/>
  <c r="BJ402" i="16"/>
  <c r="BJ403" i="16"/>
  <c r="BJ404" i="16"/>
  <c r="BJ405" i="16"/>
  <c r="BJ406" i="16"/>
  <c r="BJ407" i="16"/>
  <c r="BJ408" i="16"/>
  <c r="BJ409" i="16"/>
  <c r="BJ410" i="16"/>
  <c r="BJ411" i="16"/>
  <c r="BJ412" i="16"/>
  <c r="BJ413" i="16"/>
  <c r="BJ414" i="16"/>
  <c r="BJ415" i="16"/>
  <c r="BJ416" i="16"/>
  <c r="BJ417" i="16"/>
  <c r="BJ418" i="16"/>
  <c r="BJ419" i="16"/>
  <c r="BJ420" i="16"/>
  <c r="BJ421" i="16"/>
  <c r="BJ422" i="16"/>
  <c r="BJ423" i="16"/>
  <c r="BJ424" i="16"/>
  <c r="BJ425" i="16"/>
  <c r="BJ426" i="16"/>
  <c r="BJ427" i="16"/>
  <c r="BJ428" i="16"/>
  <c r="BJ429" i="16"/>
  <c r="BJ430" i="16"/>
  <c r="BJ431" i="16"/>
  <c r="BJ432" i="16"/>
  <c r="BJ433" i="16"/>
  <c r="BJ434" i="16"/>
  <c r="BJ435" i="16"/>
  <c r="BJ436" i="16"/>
  <c r="BJ437" i="16"/>
  <c r="BJ438" i="16"/>
  <c r="BJ439" i="16"/>
  <c r="BJ440" i="16"/>
  <c r="BJ441" i="16"/>
  <c r="BJ442" i="16"/>
  <c r="BJ443" i="16"/>
  <c r="BJ444" i="16"/>
  <c r="BJ445" i="16"/>
  <c r="BJ446" i="16"/>
  <c r="BJ447" i="16"/>
  <c r="BJ448" i="16"/>
  <c r="BJ449" i="16"/>
  <c r="BJ450" i="16"/>
  <c r="BJ451" i="16"/>
  <c r="BJ452" i="16"/>
  <c r="BJ453" i="16"/>
  <c r="BJ454" i="16"/>
  <c r="BJ455" i="16"/>
  <c r="BJ456" i="16"/>
  <c r="BJ457" i="16"/>
  <c r="BJ458" i="16"/>
  <c r="BJ459" i="16"/>
  <c r="BJ460" i="16"/>
  <c r="BJ461" i="16"/>
  <c r="BJ462" i="16"/>
  <c r="BJ463" i="16"/>
  <c r="BJ464" i="16"/>
  <c r="BJ465" i="16"/>
  <c r="BJ466" i="16"/>
  <c r="BJ467" i="16"/>
  <c r="BJ468" i="16"/>
  <c r="BJ469" i="16"/>
  <c r="BJ470" i="16"/>
  <c r="BJ471" i="16"/>
  <c r="BJ472" i="16"/>
  <c r="BJ473" i="16"/>
  <c r="BJ474" i="16"/>
  <c r="BJ475" i="16"/>
  <c r="BJ476" i="16"/>
  <c r="BJ477" i="16"/>
  <c r="BJ478" i="16"/>
  <c r="BJ479" i="16"/>
  <c r="BJ480" i="16"/>
  <c r="BJ481" i="16"/>
  <c r="BJ482" i="16"/>
  <c r="BJ483" i="16"/>
  <c r="BJ484" i="16"/>
  <c r="BI5" i="16"/>
  <c r="BI6" i="16"/>
  <c r="BI12" i="16"/>
  <c r="BI13" i="16"/>
  <c r="BI20" i="16"/>
  <c r="BI21" i="16"/>
  <c r="BI22" i="16"/>
  <c r="BI23" i="16"/>
  <c r="BI24" i="16"/>
  <c r="BI25" i="16"/>
  <c r="BI26" i="16"/>
  <c r="BI27" i="16"/>
  <c r="BI28" i="16"/>
  <c r="BI29" i="16"/>
  <c r="BI30" i="16"/>
  <c r="BI31" i="16"/>
  <c r="BI32" i="16"/>
  <c r="BI33" i="16"/>
  <c r="BI34" i="16"/>
  <c r="BI35" i="16"/>
  <c r="BI36" i="16"/>
  <c r="BI37" i="16"/>
  <c r="BI38" i="16"/>
  <c r="BI39" i="16"/>
  <c r="BI40" i="16"/>
  <c r="BI41" i="16"/>
  <c r="BI42" i="16"/>
  <c r="BI43" i="16"/>
  <c r="BI44" i="16"/>
  <c r="BI45" i="16"/>
  <c r="BI46" i="16"/>
  <c r="BI47" i="16"/>
  <c r="BI48" i="16"/>
  <c r="BI49" i="16"/>
  <c r="BI50" i="16"/>
  <c r="BI51" i="16"/>
  <c r="BI52" i="16"/>
  <c r="BI53" i="16"/>
  <c r="BI54" i="16"/>
  <c r="BI55" i="16"/>
  <c r="BI56" i="16"/>
  <c r="BI57" i="16"/>
  <c r="BI58" i="16"/>
  <c r="BI59" i="16"/>
  <c r="BI60" i="16"/>
  <c r="BI61" i="16"/>
  <c r="BI62" i="16"/>
  <c r="BI63" i="16"/>
  <c r="BI64" i="16"/>
  <c r="BI65" i="16"/>
  <c r="BI66" i="16"/>
  <c r="BI67" i="16"/>
  <c r="BI68" i="16"/>
  <c r="BI69" i="16"/>
  <c r="BI70" i="16"/>
  <c r="BI71" i="16"/>
  <c r="BI73" i="16"/>
  <c r="BI74" i="16"/>
  <c r="BI98" i="16"/>
  <c r="BI127" i="16"/>
  <c r="BI128" i="16"/>
  <c r="BI129" i="16"/>
  <c r="BI131" i="16"/>
  <c r="BI132" i="16"/>
  <c r="BI140" i="16"/>
  <c r="BI142" i="16"/>
  <c r="BI158" i="16"/>
  <c r="BI179" i="16"/>
  <c r="BI180" i="16"/>
  <c r="BI201" i="16"/>
  <c r="BI202" i="16"/>
  <c r="BI203" i="16"/>
  <c r="BI204" i="16"/>
  <c r="BI205" i="16"/>
  <c r="BI206" i="16"/>
  <c r="BI207" i="16"/>
  <c r="BI208" i="16"/>
  <c r="BI209" i="16"/>
  <c r="BI210" i="16"/>
  <c r="BI211" i="16"/>
  <c r="BI212" i="16"/>
  <c r="BI213" i="16"/>
  <c r="BI214" i="16"/>
  <c r="BI215" i="16"/>
  <c r="BI216" i="16"/>
  <c r="BI217" i="16"/>
  <c r="BI218" i="16"/>
  <c r="BI219" i="16"/>
  <c r="BI220" i="16"/>
  <c r="BI221" i="16"/>
  <c r="BI222" i="16"/>
  <c r="BI223" i="16"/>
  <c r="BI224" i="16"/>
  <c r="BI225" i="16"/>
  <c r="BI226" i="16"/>
  <c r="BI227" i="16"/>
  <c r="BI228" i="16"/>
  <c r="BI229" i="16"/>
  <c r="BI230" i="16"/>
  <c r="BI231" i="16"/>
  <c r="BI232" i="16"/>
  <c r="BI233" i="16"/>
  <c r="BI234" i="16"/>
  <c r="BI235" i="16"/>
  <c r="BI236" i="16"/>
  <c r="BI237" i="16"/>
  <c r="BI238" i="16"/>
  <c r="BI239" i="16"/>
  <c r="BI240" i="16"/>
  <c r="BI241" i="16"/>
  <c r="BI242" i="16"/>
  <c r="BI243" i="16"/>
  <c r="BI244" i="16"/>
  <c r="BI245" i="16"/>
  <c r="BI246" i="16"/>
  <c r="BI247" i="16"/>
  <c r="BI248" i="16"/>
  <c r="BI249" i="16"/>
  <c r="BI250" i="16"/>
  <c r="BI251" i="16"/>
  <c r="BI252" i="16"/>
  <c r="BI253" i="16"/>
  <c r="BI254" i="16"/>
  <c r="BI255" i="16"/>
  <c r="BI257" i="16"/>
  <c r="BI258" i="16"/>
  <c r="BI259" i="16"/>
  <c r="BI260" i="16"/>
  <c r="BI261" i="16"/>
  <c r="BI262" i="16"/>
  <c r="BI263" i="16"/>
  <c r="BI264" i="16"/>
  <c r="BI265" i="16"/>
  <c r="BI266" i="16"/>
  <c r="BI270" i="16"/>
  <c r="BI271" i="16"/>
  <c r="BI272" i="16"/>
  <c r="BI273" i="16"/>
  <c r="BI275" i="16"/>
  <c r="BI276" i="16"/>
  <c r="BI277" i="16"/>
  <c r="BI278" i="16"/>
  <c r="BI279" i="16"/>
  <c r="BI280" i="16"/>
  <c r="BI281" i="16"/>
  <c r="BI282" i="16"/>
  <c r="BI283" i="16"/>
  <c r="BI284" i="16"/>
  <c r="BI285" i="16"/>
  <c r="BI286" i="16"/>
  <c r="BI287" i="16"/>
  <c r="BI288" i="16"/>
  <c r="BI289" i="16"/>
  <c r="BI290" i="16"/>
  <c r="BI291" i="16"/>
  <c r="BI292" i="16"/>
  <c r="BI293" i="16"/>
  <c r="BI294" i="16"/>
  <c r="BI295" i="16"/>
  <c r="BI296" i="16"/>
  <c r="BI297" i="16"/>
  <c r="BI298" i="16"/>
  <c r="BI299" i="16"/>
  <c r="BI300" i="16"/>
  <c r="BI301" i="16"/>
  <c r="BI302" i="16"/>
  <c r="BI303" i="16"/>
  <c r="BI304" i="16"/>
  <c r="BI305" i="16"/>
  <c r="BI306" i="16"/>
  <c r="BI307" i="16"/>
  <c r="BI308" i="16"/>
  <c r="BI309" i="16"/>
  <c r="BI310" i="16"/>
  <c r="BI311" i="16"/>
  <c r="BI312" i="16"/>
  <c r="BI313" i="16"/>
  <c r="BI314" i="16"/>
  <c r="BI315" i="16"/>
  <c r="BI316" i="16"/>
  <c r="BI317" i="16"/>
  <c r="BI318" i="16"/>
  <c r="BI319" i="16"/>
  <c r="BI320" i="16"/>
  <c r="BI321" i="16"/>
  <c r="BI322" i="16"/>
  <c r="BI323" i="16"/>
  <c r="BI324" i="16"/>
  <c r="BI325" i="16"/>
  <c r="BI326" i="16"/>
  <c r="BI327" i="16"/>
  <c r="BI328" i="16"/>
  <c r="BI329" i="16"/>
  <c r="BI330" i="16"/>
  <c r="BI331" i="16"/>
  <c r="BI332" i="16"/>
  <c r="BI333" i="16"/>
  <c r="BI334" i="16"/>
  <c r="BI335" i="16"/>
  <c r="BI336" i="16"/>
  <c r="BI337" i="16"/>
  <c r="BI338" i="16"/>
  <c r="BI339" i="16"/>
  <c r="BI340" i="16"/>
  <c r="BI341" i="16"/>
  <c r="BI342" i="16"/>
  <c r="BI346" i="16"/>
  <c r="BI355" i="16"/>
  <c r="BI356" i="16"/>
  <c r="BI357" i="16"/>
  <c r="BI358" i="16"/>
  <c r="BI359" i="16"/>
  <c r="BI360" i="16"/>
  <c r="BI361" i="16"/>
  <c r="BI362" i="16"/>
  <c r="BI363" i="16"/>
  <c r="BI364" i="16"/>
  <c r="BI365" i="16"/>
  <c r="BI366" i="16"/>
  <c r="BI367" i="16"/>
  <c r="BI368" i="16"/>
  <c r="BI369" i="16"/>
  <c r="BI370" i="16"/>
  <c r="BI371" i="16"/>
  <c r="BI372" i="16"/>
  <c r="BI373" i="16"/>
  <c r="BI374" i="16"/>
  <c r="BI375" i="16"/>
  <c r="BI376" i="16"/>
  <c r="BI377" i="16"/>
  <c r="BI378" i="16"/>
  <c r="BI379" i="16"/>
  <c r="BI380" i="16"/>
  <c r="BI381" i="16"/>
  <c r="BI382" i="16"/>
  <c r="BI383" i="16"/>
  <c r="BI384" i="16"/>
  <c r="BI385" i="16"/>
  <c r="BI386" i="16"/>
  <c r="BI387" i="16"/>
  <c r="BI388" i="16"/>
  <c r="BI389" i="16"/>
  <c r="BI390" i="16"/>
  <c r="BI391" i="16"/>
  <c r="BI392" i="16"/>
  <c r="BI393" i="16"/>
  <c r="BI394" i="16"/>
  <c r="BI395" i="16"/>
  <c r="BI396" i="16"/>
  <c r="BI397" i="16"/>
  <c r="BI398" i="16"/>
  <c r="BI399" i="16"/>
  <c r="BI400" i="16"/>
  <c r="BI401" i="16"/>
  <c r="BI402" i="16"/>
  <c r="BI403" i="16"/>
  <c r="BI404" i="16"/>
  <c r="BI405" i="16"/>
  <c r="BI406" i="16"/>
  <c r="BI407" i="16"/>
  <c r="BI408" i="16"/>
  <c r="BI409" i="16"/>
  <c r="BI410" i="16"/>
  <c r="BI411" i="16"/>
  <c r="BI412" i="16"/>
  <c r="BI413" i="16"/>
  <c r="BI414" i="16"/>
  <c r="BI415" i="16"/>
  <c r="BI416" i="16"/>
  <c r="BI417" i="16"/>
  <c r="BI418" i="16"/>
  <c r="BI419" i="16"/>
  <c r="BI420" i="16"/>
  <c r="BI421" i="16"/>
  <c r="BI422" i="16"/>
  <c r="BI423" i="16"/>
  <c r="BI424" i="16"/>
  <c r="BI425" i="16"/>
  <c r="BI426" i="16"/>
  <c r="BI427" i="16"/>
  <c r="BI428" i="16"/>
  <c r="BI429" i="16"/>
  <c r="BI430" i="16"/>
  <c r="BI431" i="16"/>
  <c r="BI432" i="16"/>
  <c r="BI433" i="16"/>
  <c r="BI434" i="16"/>
  <c r="BI435" i="16"/>
  <c r="BI436" i="16"/>
  <c r="BI437" i="16"/>
  <c r="BI438" i="16"/>
  <c r="BI439" i="16"/>
  <c r="BI440" i="16"/>
  <c r="BI441" i="16"/>
  <c r="BI442" i="16"/>
  <c r="BI443" i="16"/>
  <c r="BI444" i="16"/>
  <c r="BI445" i="16"/>
  <c r="BI446" i="16"/>
  <c r="BI447" i="16"/>
  <c r="BI448" i="16"/>
  <c r="BI449" i="16"/>
  <c r="BI450" i="16"/>
  <c r="BI451" i="16"/>
  <c r="BI452" i="16"/>
  <c r="BI453" i="16"/>
  <c r="BI454" i="16"/>
  <c r="BI455" i="16"/>
  <c r="BI456" i="16"/>
  <c r="BI457" i="16"/>
  <c r="BI458" i="16"/>
  <c r="BI459" i="16"/>
  <c r="BI460" i="16"/>
  <c r="BI461" i="16"/>
  <c r="BI462" i="16"/>
  <c r="BI463" i="16"/>
  <c r="BI464" i="16"/>
  <c r="BI465" i="16"/>
  <c r="BI466" i="16"/>
  <c r="BI467" i="16"/>
  <c r="BI468" i="16"/>
  <c r="BI469" i="16"/>
  <c r="BI470" i="16"/>
  <c r="BI471" i="16"/>
  <c r="BI472" i="16"/>
  <c r="BI473" i="16"/>
  <c r="BI474" i="16"/>
  <c r="BI475" i="16"/>
  <c r="BI476" i="16"/>
  <c r="BI477" i="16"/>
  <c r="BI478" i="16"/>
  <c r="BI479" i="16"/>
  <c r="BI480" i="16"/>
  <c r="BI481" i="16"/>
  <c r="BI482" i="16"/>
  <c r="BI483" i="16"/>
  <c r="BI484" i="16"/>
  <c r="E486" i="16"/>
  <c r="E485" i="16"/>
  <c r="E181" i="16"/>
  <c r="E143" i="16"/>
  <c r="E126" i="16"/>
  <c r="AO126" i="16"/>
  <c r="AV126" i="16"/>
  <c r="AW126" i="16"/>
  <c r="AX126" i="16"/>
  <c r="AY126" i="16"/>
  <c r="BB126" i="16"/>
  <c r="BD126" i="16"/>
  <c r="BH126" i="16"/>
  <c r="BH143" i="16" s="1"/>
  <c r="L520" i="16" l="1"/>
  <c r="S509" i="16"/>
  <c r="S508" i="16" s="1"/>
  <c r="AA509" i="16"/>
  <c r="AA508" i="16" s="1"/>
  <c r="T509" i="16"/>
  <c r="T508" i="16" s="1"/>
  <c r="AB509" i="16"/>
  <c r="AB508" i="16" s="1"/>
  <c r="AC509" i="16"/>
  <c r="AC508" i="16" s="1"/>
  <c r="AE509" i="16"/>
  <c r="AE508" i="16" s="1"/>
  <c r="X509" i="16"/>
  <c r="X508" i="16" s="1"/>
  <c r="Y509" i="16"/>
  <c r="Y508" i="16" s="1"/>
  <c r="R509" i="16"/>
  <c r="R508" i="16" s="1"/>
  <c r="U509" i="16"/>
  <c r="U508" i="16" s="1"/>
  <c r="V509" i="16"/>
  <c r="V508" i="16" s="1"/>
  <c r="AD509" i="16"/>
  <c r="AD508" i="16" s="1"/>
  <c r="W509" i="16"/>
  <c r="W508" i="16" s="1"/>
  <c r="P509" i="16"/>
  <c r="P508" i="16" s="1"/>
  <c r="O509" i="16"/>
  <c r="O508" i="16" s="1"/>
  <c r="Q509" i="16"/>
  <c r="Q508" i="16" s="1"/>
  <c r="N509" i="16"/>
  <c r="N508" i="16" s="1"/>
  <c r="Z509" i="16"/>
  <c r="Z508" i="16" s="1"/>
  <c r="AO143" i="16"/>
  <c r="BD143" i="16"/>
  <c r="BB143" i="16"/>
  <c r="AR143" i="16"/>
  <c r="AY143" i="16"/>
  <c r="AM120" i="16"/>
  <c r="L509" i="16" l="1"/>
  <c r="J509" i="16"/>
  <c r="K509" i="16" s="1"/>
  <c r="AM121" i="16"/>
  <c r="BK120" i="16"/>
  <c r="AB119" i="16" l="1"/>
  <c r="BK121" i="16"/>
  <c r="AM119" i="16"/>
  <c r="BJ165" i="16"/>
  <c r="BJ159" i="16"/>
  <c r="AH93" i="16"/>
  <c r="AI93" i="16"/>
  <c r="AJ93" i="16"/>
  <c r="AK93" i="16"/>
  <c r="AM93" i="16"/>
  <c r="AN93" i="16"/>
  <c r="AO93" i="16"/>
  <c r="AO496" i="16" s="1"/>
  <c r="AP93" i="16"/>
  <c r="AP496" i="16" s="1"/>
  <c r="AQ93" i="16"/>
  <c r="AN94" i="16"/>
  <c r="AO94" i="16"/>
  <c r="AO495" i="16" s="1"/>
  <c r="AP94" i="16"/>
  <c r="AQ94" i="16"/>
  <c r="AQ495" i="16" s="1"/>
  <c r="BJ16" i="16"/>
  <c r="BJ14" i="16"/>
  <c r="BJ9" i="16"/>
  <c r="BJ7" i="16"/>
  <c r="BK119" i="16" l="1"/>
  <c r="AB76" i="16"/>
  <c r="BJ75" i="16"/>
  <c r="BK170" i="16"/>
  <c r="Y76" i="16" l="1"/>
  <c r="U76" i="16"/>
  <c r="Q76" i="16"/>
  <c r="X76" i="16"/>
  <c r="P76" i="16"/>
  <c r="AA76" i="16"/>
  <c r="O76" i="16"/>
  <c r="Z76" i="16"/>
  <c r="R76" i="16"/>
  <c r="N76" i="16"/>
  <c r="T76" i="16"/>
  <c r="W76" i="16"/>
  <c r="S76" i="16"/>
  <c r="V76" i="16"/>
  <c r="BJ76" i="16"/>
  <c r="AO494" i="16" l="1"/>
  <c r="AY494" i="16"/>
  <c r="BJ352" i="16" l="1"/>
  <c r="BJ350" i="16"/>
  <c r="BJ269" i="16"/>
  <c r="BJ349" i="16"/>
  <c r="BJ121" i="16"/>
  <c r="AH96" i="16"/>
  <c r="AI96" i="16"/>
  <c r="AJ96" i="16"/>
  <c r="AK96" i="16"/>
  <c r="AM96" i="16"/>
  <c r="AH81" i="16"/>
  <c r="AJ81" i="16"/>
  <c r="AK81" i="16"/>
  <c r="AL81" i="16"/>
  <c r="AM81" i="16"/>
  <c r="AJ88" i="16" l="1"/>
  <c r="AJ94" i="16"/>
  <c r="AJ92" i="16" s="1"/>
  <c r="AJ97" i="16"/>
  <c r="AJ95" i="16" s="1"/>
  <c r="AJ91" i="16"/>
  <c r="AJ89" i="16" s="1"/>
  <c r="AH88" i="16"/>
  <c r="AH97" i="16"/>
  <c r="AH91" i="16"/>
  <c r="AH94" i="16"/>
  <c r="AM88" i="16"/>
  <c r="AM97" i="16"/>
  <c r="AM91" i="16"/>
  <c r="AM89" i="16" s="1"/>
  <c r="AM94" i="16"/>
  <c r="AL88" i="16"/>
  <c r="AL97" i="16"/>
  <c r="AL91" i="16"/>
  <c r="AL94" i="16"/>
  <c r="AK88" i="16"/>
  <c r="AK97" i="16"/>
  <c r="AK95" i="16" s="1"/>
  <c r="AK91" i="16"/>
  <c r="AK89" i="16" s="1"/>
  <c r="AK94" i="16"/>
  <c r="AK92" i="16" s="1"/>
  <c r="AK496" i="16"/>
  <c r="AH496" i="16"/>
  <c r="AJ496" i="16"/>
  <c r="BJ120" i="16"/>
  <c r="BJ119" i="16"/>
  <c r="AM495" i="16" l="1"/>
  <c r="AJ495" i="16"/>
  <c r="AK495" i="16"/>
  <c r="AM92" i="16"/>
  <c r="AM95" i="16"/>
  <c r="AK126" i="16"/>
  <c r="AJ126" i="16"/>
  <c r="AM183" i="16" l="1"/>
  <c r="AM126" i="16"/>
  <c r="AM496" i="16" l="1"/>
  <c r="AN497" i="16" l="1"/>
  <c r="AO497" i="16"/>
  <c r="AP497" i="16"/>
  <c r="AQ497" i="16"/>
  <c r="AR497" i="16"/>
  <c r="AS497" i="16"/>
  <c r="AT497" i="16"/>
  <c r="AU497" i="16"/>
  <c r="AV497" i="16"/>
  <c r="AW497" i="16"/>
  <c r="AX497" i="16"/>
  <c r="AY497" i="16"/>
  <c r="AN499" i="16"/>
  <c r="AO499" i="16"/>
  <c r="AP499" i="16"/>
  <c r="AQ499" i="16"/>
  <c r="AR499" i="16"/>
  <c r="AS499" i="16"/>
  <c r="AT499" i="16"/>
  <c r="AU499" i="16"/>
  <c r="AV499" i="16"/>
  <c r="AW499" i="16"/>
  <c r="AX499" i="16"/>
  <c r="AY499" i="16"/>
  <c r="AN500" i="16"/>
  <c r="AO500" i="16"/>
  <c r="AP500" i="16"/>
  <c r="AQ500" i="16"/>
  <c r="AR500" i="16"/>
  <c r="AS500" i="16"/>
  <c r="AT500" i="16"/>
  <c r="AU500" i="16"/>
  <c r="AV500" i="16"/>
  <c r="AW500" i="16"/>
  <c r="AX500" i="16"/>
  <c r="AY500" i="16"/>
  <c r="AN501" i="16"/>
  <c r="AO501" i="16"/>
  <c r="AP501" i="16"/>
  <c r="AQ501" i="16"/>
  <c r="AR501" i="16"/>
  <c r="AS501" i="16"/>
  <c r="AT501" i="16"/>
  <c r="AU501" i="16"/>
  <c r="AV501" i="16"/>
  <c r="AW501" i="16"/>
  <c r="AX501" i="16"/>
  <c r="AY501" i="16"/>
  <c r="AW485" i="16" l="1"/>
  <c r="AS485" i="16"/>
  <c r="AP485" i="16"/>
  <c r="AV485" i="16"/>
  <c r="AR485" i="16"/>
  <c r="AO485" i="16"/>
  <c r="AY485" i="16"/>
  <c r="AU485" i="16"/>
  <c r="AN485" i="16"/>
  <c r="AX485" i="16"/>
  <c r="AT485" i="16"/>
  <c r="AQ485" i="16"/>
  <c r="BL500" i="16"/>
  <c r="BL499" i="16"/>
  <c r="BL501" i="16"/>
  <c r="AV504" i="16"/>
  <c r="AQ504" i="16"/>
  <c r="AO503" i="16"/>
  <c r="AY504" i="16"/>
  <c r="AX504" i="16"/>
  <c r="AP504" i="16"/>
  <c r="AU504" i="16"/>
  <c r="AO504" i="16"/>
  <c r="AT502" i="16"/>
  <c r="AS504" i="16"/>
  <c r="AR504" i="16"/>
  <c r="AN504" i="16"/>
  <c r="AW502" i="16"/>
  <c r="AO498" i="16"/>
  <c r="AS502" i="16"/>
  <c r="AQ502" i="16"/>
  <c r="AT504" i="16"/>
  <c r="AN502" i="16"/>
  <c r="AW504" i="16"/>
  <c r="AY502" i="16"/>
  <c r="AR502" i="16"/>
  <c r="AX502" i="16"/>
  <c r="AV502" i="16"/>
  <c r="AP502" i="16"/>
  <c r="AU502" i="16"/>
  <c r="AO502" i="16"/>
  <c r="AH483" i="16"/>
  <c r="AH481" i="16"/>
  <c r="AH480" i="16"/>
  <c r="L480" i="16" s="1"/>
  <c r="BL485" i="16" l="1"/>
  <c r="BL502" i="16"/>
  <c r="BK480" i="16"/>
  <c r="AO505" i="16"/>
  <c r="AO526" i="16" s="1"/>
  <c r="AH479" i="16"/>
  <c r="AI483" i="16"/>
  <c r="BK483" i="16" s="1"/>
  <c r="AI481" i="16"/>
  <c r="AI479" i="16" s="1"/>
  <c r="I479" i="16"/>
  <c r="I348" i="16"/>
  <c r="I353" i="16" s="1"/>
  <c r="BJ348" i="16"/>
  <c r="BK352" i="16"/>
  <c r="AB353" i="16" l="1"/>
  <c r="X353" i="16"/>
  <c r="T353" i="16"/>
  <c r="V353" i="16"/>
  <c r="R353" i="16"/>
  <c r="U353" i="16"/>
  <c r="AA353" i="16"/>
  <c r="W353" i="16"/>
  <c r="S353" i="16"/>
  <c r="Z353" i="16"/>
  <c r="Z351" i="16" s="1"/>
  <c r="Z347" i="16" s="1"/>
  <c r="Z499" i="16" s="1"/>
  <c r="Y353" i="16"/>
  <c r="Q353" i="16"/>
  <c r="N353" i="16"/>
  <c r="P353" i="16"/>
  <c r="O353" i="16"/>
  <c r="O351" i="16" s="1"/>
  <c r="O347" i="16" s="1"/>
  <c r="O499" i="16" s="1"/>
  <c r="Z500" i="16"/>
  <c r="BK479" i="16"/>
  <c r="BK481" i="16"/>
  <c r="J483" i="16"/>
  <c r="L481" i="16"/>
  <c r="L483" i="16"/>
  <c r="J481" i="16"/>
  <c r="J480" i="16"/>
  <c r="AH169" i="16"/>
  <c r="J127" i="16"/>
  <c r="M25" i="44" s="1"/>
  <c r="L127" i="16"/>
  <c r="J128" i="16"/>
  <c r="L128" i="16"/>
  <c r="J131" i="16"/>
  <c r="M29" i="44" s="1"/>
  <c r="L131" i="16"/>
  <c r="J132" i="16"/>
  <c r="M30" i="44" s="1"/>
  <c r="L132" i="16"/>
  <c r="J140" i="16"/>
  <c r="M38" i="44" s="1"/>
  <c r="L140" i="16"/>
  <c r="J142" i="16"/>
  <c r="M40" i="44" s="1"/>
  <c r="L142" i="16"/>
  <c r="BH178" i="16"/>
  <c r="BD178" i="16"/>
  <c r="BC178" i="16"/>
  <c r="BB178" i="16"/>
  <c r="BA178" i="16"/>
  <c r="AZ178" i="16"/>
  <c r="AY178" i="16"/>
  <c r="AX178" i="16"/>
  <c r="AW178" i="16"/>
  <c r="AV178" i="16"/>
  <c r="AU178" i="16"/>
  <c r="AT178" i="16"/>
  <c r="AS178" i="16"/>
  <c r="AR178" i="16"/>
  <c r="AQ178" i="16"/>
  <c r="AP178" i="16"/>
  <c r="AO178" i="16"/>
  <c r="AN178" i="16"/>
  <c r="AM178" i="16"/>
  <c r="AL178" i="16"/>
  <c r="AK178" i="16"/>
  <c r="AJ178" i="16"/>
  <c r="AI178" i="16"/>
  <c r="AH178" i="16"/>
  <c r="AB178" i="16"/>
  <c r="BH175" i="16"/>
  <c r="BD175" i="16"/>
  <c r="BC175" i="16"/>
  <c r="BB175" i="16"/>
  <c r="BA175" i="16"/>
  <c r="AZ175" i="16"/>
  <c r="AY175" i="16"/>
  <c r="AX175" i="16"/>
  <c r="AW175" i="16"/>
  <c r="AV175" i="16"/>
  <c r="AU175" i="16"/>
  <c r="AT175" i="16"/>
  <c r="AS175" i="16"/>
  <c r="AR175" i="16"/>
  <c r="AQ175" i="16"/>
  <c r="AP175" i="16"/>
  <c r="AO175" i="16"/>
  <c r="AN175" i="16"/>
  <c r="AM175" i="16"/>
  <c r="AL175" i="16"/>
  <c r="AK175" i="16"/>
  <c r="AJ175" i="16"/>
  <c r="AI175" i="16"/>
  <c r="AH175" i="16"/>
  <c r="BH172" i="16"/>
  <c r="BD172" i="16"/>
  <c r="BC172" i="16"/>
  <c r="BB172" i="16"/>
  <c r="BA172" i="16"/>
  <c r="AZ172" i="16"/>
  <c r="AY172" i="16"/>
  <c r="AX172" i="16"/>
  <c r="AW172" i="16"/>
  <c r="AV172" i="16"/>
  <c r="AU172" i="16"/>
  <c r="AT172" i="16"/>
  <c r="AS172" i="16"/>
  <c r="AQ172" i="16"/>
  <c r="AP172" i="16"/>
  <c r="AO172" i="16"/>
  <c r="AN172" i="16"/>
  <c r="AM172" i="16"/>
  <c r="AK172" i="16"/>
  <c r="AJ172" i="16"/>
  <c r="AI172" i="16"/>
  <c r="AH172" i="16"/>
  <c r="BH169" i="16"/>
  <c r="BD169" i="16"/>
  <c r="BC169" i="16"/>
  <c r="BB169" i="16"/>
  <c r="BA169" i="16"/>
  <c r="AZ169" i="16"/>
  <c r="AY169" i="16"/>
  <c r="AX169" i="16"/>
  <c r="AW169" i="16"/>
  <c r="AV169" i="16"/>
  <c r="AU169" i="16"/>
  <c r="AT169" i="16"/>
  <c r="AS169" i="16"/>
  <c r="AR169" i="16"/>
  <c r="AQ169" i="16"/>
  <c r="AP169" i="16"/>
  <c r="AO169" i="16"/>
  <c r="AN169" i="16"/>
  <c r="AM169" i="16"/>
  <c r="AL169" i="16"/>
  <c r="AK169" i="16"/>
  <c r="AJ169" i="16"/>
  <c r="AI169" i="16"/>
  <c r="J180" i="16"/>
  <c r="M62" i="44" s="1"/>
  <c r="M26" i="44" l="1"/>
  <c r="I128" i="16"/>
  <c r="O500" i="16"/>
  <c r="O485" i="16" s="1"/>
  <c r="Z485" i="16"/>
  <c r="Z502" i="16"/>
  <c r="P351" i="16"/>
  <c r="P347" i="16" s="1"/>
  <c r="P499" i="16" s="1"/>
  <c r="P500" i="16"/>
  <c r="X351" i="16"/>
  <c r="X347" i="16" s="1"/>
  <c r="X499" i="16" s="1"/>
  <c r="X500" i="16"/>
  <c r="T351" i="16"/>
  <c r="T347" i="16" s="1"/>
  <c r="T499" i="16" s="1"/>
  <c r="T500" i="16"/>
  <c r="Q351" i="16"/>
  <c r="Q347" i="16" s="1"/>
  <c r="Q499" i="16" s="1"/>
  <c r="Q500" i="16"/>
  <c r="R351" i="16"/>
  <c r="R347" i="16" s="1"/>
  <c r="R499" i="16" s="1"/>
  <c r="R500" i="16"/>
  <c r="U351" i="16"/>
  <c r="U347" i="16" s="1"/>
  <c r="U499" i="16" s="1"/>
  <c r="U500" i="16"/>
  <c r="W351" i="16"/>
  <c r="W347" i="16" s="1"/>
  <c r="W499" i="16" s="1"/>
  <c r="W500" i="16"/>
  <c r="V351" i="16"/>
  <c r="V347" i="16" s="1"/>
  <c r="V499" i="16" s="1"/>
  <c r="V500" i="16"/>
  <c r="Y351" i="16"/>
  <c r="Y347" i="16" s="1"/>
  <c r="Y499" i="16" s="1"/>
  <c r="Y500" i="16"/>
  <c r="S351" i="16"/>
  <c r="S347" i="16" s="1"/>
  <c r="S499" i="16" s="1"/>
  <c r="S500" i="16"/>
  <c r="AO181" i="16"/>
  <c r="AO486" i="16" s="1"/>
  <c r="BH181" i="16"/>
  <c r="BH486" i="16" s="1"/>
  <c r="AY181" i="16"/>
  <c r="AY486" i="16" s="1"/>
  <c r="BB181" i="16"/>
  <c r="BB486" i="16" s="1"/>
  <c r="K481" i="16"/>
  <c r="BJ178" i="16"/>
  <c r="K480" i="16"/>
  <c r="K483" i="16"/>
  <c r="BK178" i="16"/>
  <c r="BL175" i="16"/>
  <c r="BK169" i="16"/>
  <c r="BK348" i="16"/>
  <c r="BK350" i="16"/>
  <c r="BL174" i="16"/>
  <c r="BL178" i="16"/>
  <c r="AM493" i="16"/>
  <c r="L180" i="16"/>
  <c r="AO493" i="16"/>
  <c r="J479" i="16"/>
  <c r="L479" i="16"/>
  <c r="K180" i="16"/>
  <c r="AR173" i="16"/>
  <c r="O502" i="16" l="1"/>
  <c r="U502" i="16"/>
  <c r="U485" i="16"/>
  <c r="Q502" i="16"/>
  <c r="Q485" i="16"/>
  <c r="Y502" i="16"/>
  <c r="Y485" i="16"/>
  <c r="W502" i="16"/>
  <c r="W485" i="16"/>
  <c r="R502" i="16"/>
  <c r="R485" i="16"/>
  <c r="T485" i="16"/>
  <c r="T502" i="16"/>
  <c r="P485" i="16"/>
  <c r="P502" i="16"/>
  <c r="S502" i="16"/>
  <c r="S485" i="16"/>
  <c r="V502" i="16"/>
  <c r="V485" i="16"/>
  <c r="X485" i="16"/>
  <c r="X502" i="16"/>
  <c r="BL173" i="16"/>
  <c r="AR172" i="16"/>
  <c r="AR181" i="16" s="1"/>
  <c r="AR486" i="16" s="1"/>
  <c r="AR490" i="16" s="1"/>
  <c r="AR493" i="16"/>
  <c r="BH490" i="16"/>
  <c r="BB490" i="16"/>
  <c r="BL497" i="16"/>
  <c r="AO490" i="16"/>
  <c r="AY490" i="16"/>
  <c r="K479" i="16"/>
  <c r="BL171" i="16"/>
  <c r="BL170" i="16"/>
  <c r="BL172" i="16" l="1"/>
  <c r="BL504" i="16"/>
  <c r="BL169" i="16"/>
  <c r="J358" i="16" l="1"/>
  <c r="BK358" i="16"/>
  <c r="L358" i="16"/>
  <c r="BK361" i="16"/>
  <c r="BK362" i="16"/>
  <c r="BK363" i="16"/>
  <c r="BK364" i="16"/>
  <c r="BK365" i="16"/>
  <c r="BK366" i="16"/>
  <c r="BK367" i="16"/>
  <c r="BK368" i="16"/>
  <c r="BK369" i="16"/>
  <c r="BK370" i="16"/>
  <c r="BK371" i="16"/>
  <c r="BK372" i="16"/>
  <c r="BK373" i="16"/>
  <c r="BK374" i="16"/>
  <c r="BK375" i="16"/>
  <c r="BK376" i="16"/>
  <c r="BK377" i="16"/>
  <c r="BK378" i="16"/>
  <c r="BK379" i="16"/>
  <c r="BK380" i="16"/>
  <c r="BK381" i="16"/>
  <c r="BK382" i="16"/>
  <c r="BK383" i="16"/>
  <c r="BK384" i="16"/>
  <c r="BK385" i="16"/>
  <c r="BK386" i="16"/>
  <c r="BK387" i="16"/>
  <c r="BK388" i="16"/>
  <c r="BK389" i="16"/>
  <c r="BK390" i="16"/>
  <c r="BK391" i="16"/>
  <c r="BK392" i="16"/>
  <c r="BK393" i="16"/>
  <c r="BK394" i="16"/>
  <c r="BK395" i="16"/>
  <c r="BK396" i="16"/>
  <c r="BK397" i="16"/>
  <c r="BK398" i="16"/>
  <c r="BK399" i="16"/>
  <c r="BK400" i="16"/>
  <c r="BK401" i="16"/>
  <c r="BK402" i="16"/>
  <c r="BK404" i="16"/>
  <c r="BK405" i="16"/>
  <c r="BK406" i="16"/>
  <c r="BK407" i="16"/>
  <c r="BK408" i="16"/>
  <c r="BK409" i="16"/>
  <c r="E101" i="16"/>
  <c r="BK261" i="16"/>
  <c r="BK265" i="16"/>
  <c r="K358" i="16" l="1"/>
  <c r="L474" i="16"/>
  <c r="BK474" i="16"/>
  <c r="L466" i="16"/>
  <c r="BK466" i="16"/>
  <c r="L457" i="16"/>
  <c r="BK457" i="16"/>
  <c r="J456" i="16"/>
  <c r="I456" i="16" s="1"/>
  <c r="BK456" i="16"/>
  <c r="J470" i="16"/>
  <c r="I470" i="16" s="1"/>
  <c r="BK470" i="16"/>
  <c r="L462" i="16"/>
  <c r="BK462" i="16"/>
  <c r="L454" i="16"/>
  <c r="BK454" i="16"/>
  <c r="J446" i="16"/>
  <c r="I446" i="16" s="1"/>
  <c r="BK446" i="16"/>
  <c r="J438" i="16"/>
  <c r="I438" i="16" s="1"/>
  <c r="BK438" i="16"/>
  <c r="L430" i="16"/>
  <c r="BK430" i="16"/>
  <c r="L422" i="16"/>
  <c r="BK422" i="16"/>
  <c r="L414" i="16"/>
  <c r="BK414" i="16"/>
  <c r="L472" i="16"/>
  <c r="BK472" i="16"/>
  <c r="J448" i="16"/>
  <c r="I448" i="16" s="1"/>
  <c r="BK448" i="16"/>
  <c r="J424" i="16"/>
  <c r="I424" i="16" s="1"/>
  <c r="BK424" i="16"/>
  <c r="L471" i="16"/>
  <c r="BK471" i="16"/>
  <c r="L463" i="16"/>
  <c r="BK463" i="16"/>
  <c r="L455" i="16"/>
  <c r="BK455" i="16"/>
  <c r="L447" i="16"/>
  <c r="BK447" i="16"/>
  <c r="J439" i="16"/>
  <c r="I439" i="16" s="1"/>
  <c r="BK439" i="16"/>
  <c r="L431" i="16"/>
  <c r="BK431" i="16"/>
  <c r="L423" i="16"/>
  <c r="BK423" i="16"/>
  <c r="J415" i="16"/>
  <c r="I415" i="16" s="1"/>
  <c r="BK415" i="16"/>
  <c r="L477" i="16"/>
  <c r="BK477" i="16"/>
  <c r="J469" i="16"/>
  <c r="I469" i="16" s="1"/>
  <c r="BK469" i="16"/>
  <c r="J461" i="16"/>
  <c r="I461" i="16" s="1"/>
  <c r="BK461" i="16"/>
  <c r="L453" i="16"/>
  <c r="BK453" i="16"/>
  <c r="L445" i="16"/>
  <c r="BK445" i="16"/>
  <c r="L437" i="16"/>
  <c r="BK437" i="16"/>
  <c r="L429" i="16"/>
  <c r="BK429" i="16"/>
  <c r="L421" i="16"/>
  <c r="BK421" i="16"/>
  <c r="J413" i="16"/>
  <c r="BK413" i="16"/>
  <c r="L441" i="16"/>
  <c r="BK441" i="16"/>
  <c r="L425" i="16"/>
  <c r="BK425" i="16"/>
  <c r="L440" i="16"/>
  <c r="BK440" i="16"/>
  <c r="L476" i="16"/>
  <c r="BK476" i="16"/>
  <c r="L468" i="16"/>
  <c r="BK468" i="16"/>
  <c r="J460" i="16"/>
  <c r="I460" i="16" s="1"/>
  <c r="BK460" i="16"/>
  <c r="L452" i="16"/>
  <c r="BK452" i="16"/>
  <c r="L444" i="16"/>
  <c r="BK444" i="16"/>
  <c r="J436" i="16"/>
  <c r="I436" i="16" s="1"/>
  <c r="BK436" i="16"/>
  <c r="L428" i="16"/>
  <c r="BK428" i="16"/>
  <c r="J420" i="16"/>
  <c r="I420" i="16" s="1"/>
  <c r="BK420" i="16"/>
  <c r="L412" i="16"/>
  <c r="BK412" i="16"/>
  <c r="J473" i="16"/>
  <c r="I473" i="16" s="1"/>
  <c r="BK473" i="16"/>
  <c r="L449" i="16"/>
  <c r="BK449" i="16"/>
  <c r="J464" i="16"/>
  <c r="I464" i="16" s="1"/>
  <c r="BK464" i="16"/>
  <c r="BK260" i="16"/>
  <c r="L475" i="16"/>
  <c r="BK475" i="16"/>
  <c r="L467" i="16"/>
  <c r="BK467" i="16"/>
  <c r="L459" i="16"/>
  <c r="BK459" i="16"/>
  <c r="J451" i="16"/>
  <c r="I451" i="16" s="1"/>
  <c r="BK451" i="16"/>
  <c r="L443" i="16"/>
  <c r="BK443" i="16"/>
  <c r="L435" i="16"/>
  <c r="BK435" i="16"/>
  <c r="J427" i="16"/>
  <c r="I427" i="16" s="1"/>
  <c r="BK427" i="16"/>
  <c r="L419" i="16"/>
  <c r="BK419" i="16"/>
  <c r="L411" i="16"/>
  <c r="BK411" i="16"/>
  <c r="J458" i="16"/>
  <c r="I458" i="16" s="1"/>
  <c r="BK458" i="16"/>
  <c r="J450" i="16"/>
  <c r="I450" i="16" s="1"/>
  <c r="BK450" i="16"/>
  <c r="L442" i="16"/>
  <c r="BK442" i="16"/>
  <c r="L434" i="16"/>
  <c r="BK434" i="16"/>
  <c r="L426" i="16"/>
  <c r="BK426" i="16"/>
  <c r="L418" i="16"/>
  <c r="BK418" i="16"/>
  <c r="L417" i="16"/>
  <c r="BK417" i="16"/>
  <c r="J465" i="16"/>
  <c r="I465" i="16" s="1"/>
  <c r="BK465" i="16"/>
  <c r="L433" i="16"/>
  <c r="BK433" i="16"/>
  <c r="J432" i="16"/>
  <c r="I432" i="16" s="1"/>
  <c r="BK432" i="16"/>
  <c r="J416" i="16"/>
  <c r="I416" i="16" s="1"/>
  <c r="BK416" i="16"/>
  <c r="J426" i="16"/>
  <c r="I426" i="16" s="1"/>
  <c r="J429" i="16"/>
  <c r="I429" i="16" s="1"/>
  <c r="L413" i="16"/>
  <c r="J421" i="16"/>
  <c r="I421" i="16" s="1"/>
  <c r="L460" i="16"/>
  <c r="L420" i="16"/>
  <c r="J477" i="16"/>
  <c r="I477" i="16" s="1"/>
  <c r="J265" i="16"/>
  <c r="L438" i="16"/>
  <c r="J419" i="16"/>
  <c r="I419" i="16" s="1"/>
  <c r="L461" i="16"/>
  <c r="L470" i="16"/>
  <c r="J453" i="16"/>
  <c r="I453" i="16" s="1"/>
  <c r="J422" i="16"/>
  <c r="I422" i="16" s="1"/>
  <c r="J462" i="16"/>
  <c r="I462" i="16" s="1"/>
  <c r="L436" i="16"/>
  <c r="J452" i="16"/>
  <c r="I452" i="16" s="1"/>
  <c r="J412" i="16"/>
  <c r="I412" i="16" s="1"/>
  <c r="J428" i="16"/>
  <c r="I428" i="16" s="1"/>
  <c r="J459" i="16"/>
  <c r="I459" i="16" s="1"/>
  <c r="J433" i="16"/>
  <c r="I433" i="16" s="1"/>
  <c r="J445" i="16"/>
  <c r="I445" i="16" s="1"/>
  <c r="J468" i="16"/>
  <c r="I468" i="16" s="1"/>
  <c r="L469" i="16"/>
  <c r="J414" i="16"/>
  <c r="I414" i="16" s="1"/>
  <c r="L446" i="16"/>
  <c r="J430" i="16"/>
  <c r="I430" i="16" s="1"/>
  <c r="L439" i="16"/>
  <c r="L451" i="16"/>
  <c r="L432" i="16"/>
  <c r="J444" i="16"/>
  <c r="I444" i="16" s="1"/>
  <c r="J463" i="16"/>
  <c r="I463" i="16" s="1"/>
  <c r="J476" i="16"/>
  <c r="I476" i="16" s="1"/>
  <c r="J447" i="16"/>
  <c r="I447" i="16" s="1"/>
  <c r="L415" i="16"/>
  <c r="J423" i="16"/>
  <c r="I423" i="16" s="1"/>
  <c r="J440" i="16"/>
  <c r="I440" i="16" s="1"/>
  <c r="J471" i="16"/>
  <c r="I471" i="16" s="1"/>
  <c r="L416" i="16"/>
  <c r="L424" i="16"/>
  <c r="L456" i="16"/>
  <c r="L464" i="16"/>
  <c r="L465" i="16"/>
  <c r="J418" i="16"/>
  <c r="I418" i="16" s="1"/>
  <c r="J466" i="16"/>
  <c r="I466" i="16" s="1"/>
  <c r="L458" i="16"/>
  <c r="J434" i="16"/>
  <c r="I434" i="16" s="1"/>
  <c r="J455" i="16"/>
  <c r="I455" i="16" s="1"/>
  <c r="L473" i="16"/>
  <c r="J417" i="16"/>
  <c r="I417" i="16" s="1"/>
  <c r="J425" i="16"/>
  <c r="I425" i="16" s="1"/>
  <c r="J431" i="16"/>
  <c r="I431" i="16" s="1"/>
  <c r="J437" i="16"/>
  <c r="I437" i="16" s="1"/>
  <c r="L448" i="16"/>
  <c r="J474" i="16"/>
  <c r="I474" i="16" s="1"/>
  <c r="J441" i="16"/>
  <c r="I441" i="16" s="1"/>
  <c r="J449" i="16"/>
  <c r="I449" i="16" s="1"/>
  <c r="J467" i="16"/>
  <c r="I467" i="16" s="1"/>
  <c r="J411" i="16"/>
  <c r="I411" i="16" s="1"/>
  <c r="J442" i="16"/>
  <c r="I442" i="16" s="1"/>
  <c r="J457" i="16"/>
  <c r="I457" i="16" s="1"/>
  <c r="J475" i="16"/>
  <c r="I475" i="16" s="1"/>
  <c r="J472" i="16"/>
  <c r="I472" i="16" s="1"/>
  <c r="L427" i="16"/>
  <c r="J443" i="16"/>
  <c r="I443" i="16" s="1"/>
  <c r="L450" i="16"/>
  <c r="J454" i="16"/>
  <c r="I454" i="16" s="1"/>
  <c r="J435" i="16"/>
  <c r="I435" i="16" s="1"/>
  <c r="L265" i="16"/>
  <c r="J261" i="16"/>
  <c r="L261" i="16"/>
  <c r="L260" i="16"/>
  <c r="BK259" i="16"/>
  <c r="J260" i="16"/>
  <c r="K261" i="16" l="1"/>
  <c r="K412" i="16"/>
  <c r="K419" i="16"/>
  <c r="K473" i="16"/>
  <c r="K424" i="16"/>
  <c r="K438" i="16"/>
  <c r="K443" i="16"/>
  <c r="K457" i="16"/>
  <c r="K449" i="16"/>
  <c r="K437" i="16"/>
  <c r="K466" i="16"/>
  <c r="K440" i="16"/>
  <c r="K476" i="16"/>
  <c r="K414" i="16"/>
  <c r="K433" i="16"/>
  <c r="K452" i="16"/>
  <c r="K453" i="16"/>
  <c r="K426" i="16"/>
  <c r="K432" i="16"/>
  <c r="K465" i="16"/>
  <c r="K450" i="16"/>
  <c r="K427" i="16"/>
  <c r="K260" i="16"/>
  <c r="K467" i="16"/>
  <c r="K447" i="16"/>
  <c r="K422" i="16"/>
  <c r="K429" i="16"/>
  <c r="K420" i="16"/>
  <c r="K415" i="16"/>
  <c r="K435" i="16"/>
  <c r="K442" i="16"/>
  <c r="K441" i="16"/>
  <c r="K431" i="16"/>
  <c r="K455" i="16"/>
  <c r="K418" i="16"/>
  <c r="K423" i="16"/>
  <c r="K463" i="16"/>
  <c r="K459" i="16"/>
  <c r="K265" i="16"/>
  <c r="K421" i="16"/>
  <c r="K460" i="16"/>
  <c r="K413" i="16"/>
  <c r="K461" i="16"/>
  <c r="K439" i="16"/>
  <c r="K448" i="16"/>
  <c r="K446" i="16"/>
  <c r="K456" i="16"/>
  <c r="K475" i="16"/>
  <c r="K417" i="16"/>
  <c r="K471" i="16"/>
  <c r="K445" i="16"/>
  <c r="K464" i="16"/>
  <c r="K436" i="16"/>
  <c r="K469" i="16"/>
  <c r="K470" i="16"/>
  <c r="K454" i="16"/>
  <c r="K472" i="16"/>
  <c r="K411" i="16"/>
  <c r="K474" i="16"/>
  <c r="K425" i="16"/>
  <c r="K434" i="16"/>
  <c r="K444" i="16"/>
  <c r="K430" i="16"/>
  <c r="K468" i="16"/>
  <c r="K428" i="16"/>
  <c r="K462" i="16"/>
  <c r="K477" i="16"/>
  <c r="K416" i="16"/>
  <c r="K458" i="16"/>
  <c r="K451" i="16"/>
  <c r="BK266" i="16" l="1"/>
  <c r="I115" i="16"/>
  <c r="I493" i="16" l="1"/>
  <c r="I117" i="16"/>
  <c r="Z117" i="16" s="1"/>
  <c r="I116" i="16"/>
  <c r="Z116" i="16" s="1"/>
  <c r="I118" i="16"/>
  <c r="K118" i="16" s="1"/>
  <c r="BK264" i="16"/>
  <c r="J266" i="16"/>
  <c r="L266" i="16"/>
  <c r="L201" i="16"/>
  <c r="J202" i="16"/>
  <c r="I202" i="16" s="1"/>
  <c r="L202" i="16"/>
  <c r="L203" i="16"/>
  <c r="J204" i="16"/>
  <c r="L204" i="16"/>
  <c r="J205" i="16"/>
  <c r="L205" i="16"/>
  <c r="J206" i="16"/>
  <c r="L206" i="16"/>
  <c r="J207" i="16"/>
  <c r="L207" i="16"/>
  <c r="J208" i="16"/>
  <c r="L208" i="16"/>
  <c r="L209" i="16"/>
  <c r="J210" i="16"/>
  <c r="L210" i="16"/>
  <c r="J211" i="16"/>
  <c r="L211" i="16"/>
  <c r="J212" i="16"/>
  <c r="L212" i="16"/>
  <c r="J213" i="16"/>
  <c r="L213" i="16"/>
  <c r="J214" i="16"/>
  <c r="L214" i="16"/>
  <c r="J215" i="16"/>
  <c r="L215" i="16"/>
  <c r="J216" i="16"/>
  <c r="L216" i="16"/>
  <c r="J217" i="16"/>
  <c r="L217" i="16"/>
  <c r="J218" i="16"/>
  <c r="L218" i="16"/>
  <c r="J219" i="16"/>
  <c r="L219" i="16"/>
  <c r="J220" i="16"/>
  <c r="L220" i="16"/>
  <c r="J221" i="16"/>
  <c r="L221" i="16"/>
  <c r="J222" i="16"/>
  <c r="L222" i="16"/>
  <c r="J223" i="16"/>
  <c r="L223" i="16"/>
  <c r="J224" i="16"/>
  <c r="L224" i="16"/>
  <c r="J225" i="16"/>
  <c r="L225" i="16"/>
  <c r="J226" i="16"/>
  <c r="L226" i="16"/>
  <c r="J227" i="16"/>
  <c r="L227" i="16"/>
  <c r="J228" i="16"/>
  <c r="L228" i="16"/>
  <c r="J229" i="16"/>
  <c r="L229" i="16"/>
  <c r="J230" i="16"/>
  <c r="L230" i="16"/>
  <c r="J231" i="16"/>
  <c r="L231" i="16"/>
  <c r="J232" i="16"/>
  <c r="L232" i="16"/>
  <c r="J233" i="16"/>
  <c r="L233" i="16"/>
  <c r="J234" i="16"/>
  <c r="L234" i="16"/>
  <c r="J235" i="16"/>
  <c r="L235" i="16"/>
  <c r="J236" i="16"/>
  <c r="L236" i="16"/>
  <c r="J237" i="16"/>
  <c r="L237" i="16"/>
  <c r="J238" i="16"/>
  <c r="L238" i="16"/>
  <c r="J239" i="16"/>
  <c r="L239" i="16"/>
  <c r="J240" i="16"/>
  <c r="L240" i="16"/>
  <c r="J241" i="16"/>
  <c r="L241" i="16"/>
  <c r="J242" i="16"/>
  <c r="L242" i="16"/>
  <c r="J243" i="16"/>
  <c r="L243" i="16"/>
  <c r="J244" i="16"/>
  <c r="L244" i="16"/>
  <c r="J245" i="16"/>
  <c r="L245" i="16"/>
  <c r="J246" i="16"/>
  <c r="L246" i="16"/>
  <c r="J247" i="16"/>
  <c r="L247" i="16"/>
  <c r="J248" i="16"/>
  <c r="L248" i="16"/>
  <c r="J249" i="16"/>
  <c r="L249" i="16"/>
  <c r="J250" i="16"/>
  <c r="L250" i="16"/>
  <c r="J251" i="16"/>
  <c r="L251" i="16"/>
  <c r="J252" i="16"/>
  <c r="L252" i="16"/>
  <c r="J253" i="16"/>
  <c r="L253" i="16"/>
  <c r="J254" i="16"/>
  <c r="I254" i="16" s="1"/>
  <c r="L254" i="16"/>
  <c r="J255" i="16"/>
  <c r="L255" i="16"/>
  <c r="K4" i="45"/>
  <c r="I484" i="16"/>
  <c r="AH484" i="16" s="1"/>
  <c r="BK484" i="16" s="1"/>
  <c r="N351" i="16"/>
  <c r="BD157" i="16"/>
  <c r="Z115" i="16" l="1"/>
  <c r="O117" i="16"/>
  <c r="Y117" i="16"/>
  <c r="U117" i="16"/>
  <c r="Q117" i="16"/>
  <c r="X117" i="16"/>
  <c r="T117" i="16"/>
  <c r="P117" i="16"/>
  <c r="V117" i="16"/>
  <c r="S117" i="16"/>
  <c r="R117" i="16"/>
  <c r="W117" i="16"/>
  <c r="O116" i="16"/>
  <c r="W116" i="16"/>
  <c r="S116" i="16"/>
  <c r="V116" i="16"/>
  <c r="R116" i="16"/>
  <c r="X116" i="16"/>
  <c r="P116" i="16"/>
  <c r="Y116" i="16"/>
  <c r="U116" i="16"/>
  <c r="T116" i="16"/>
  <c r="Q116" i="16"/>
  <c r="I126" i="16"/>
  <c r="I143" i="16" s="1"/>
  <c r="I181" i="16" s="1"/>
  <c r="I252" i="16"/>
  <c r="K252" i="16" s="1"/>
  <c r="I250" i="16"/>
  <c r="K250" i="16" s="1"/>
  <c r="I248" i="16"/>
  <c r="K248" i="16" s="1"/>
  <c r="I246" i="16"/>
  <c r="K246" i="16" s="1"/>
  <c r="I244" i="16"/>
  <c r="K244" i="16" s="1"/>
  <c r="I242" i="16"/>
  <c r="K242" i="16" s="1"/>
  <c r="I240" i="16"/>
  <c r="K240" i="16" s="1"/>
  <c r="I238" i="16"/>
  <c r="K238" i="16" s="1"/>
  <c r="I236" i="16"/>
  <c r="K236" i="16" s="1"/>
  <c r="I234" i="16"/>
  <c r="K234" i="16" s="1"/>
  <c r="I232" i="16"/>
  <c r="K232" i="16" s="1"/>
  <c r="I230" i="16"/>
  <c r="K230" i="16" s="1"/>
  <c r="I228" i="16"/>
  <c r="K228" i="16" s="1"/>
  <c r="I226" i="16"/>
  <c r="K226" i="16" s="1"/>
  <c r="I224" i="16"/>
  <c r="K224" i="16" s="1"/>
  <c r="I222" i="16"/>
  <c r="K222" i="16" s="1"/>
  <c r="I220" i="16"/>
  <c r="K220" i="16" s="1"/>
  <c r="I218" i="16"/>
  <c r="K218" i="16" s="1"/>
  <c r="I216" i="16"/>
  <c r="K216" i="16" s="1"/>
  <c r="I214" i="16"/>
  <c r="K214" i="16" s="1"/>
  <c r="I212" i="16"/>
  <c r="K212" i="16" s="1"/>
  <c r="I210" i="16"/>
  <c r="K210" i="16" s="1"/>
  <c r="I208" i="16"/>
  <c r="K208" i="16" s="1"/>
  <c r="I206" i="16"/>
  <c r="K206" i="16" s="1"/>
  <c r="I204" i="16"/>
  <c r="K204" i="16" s="1"/>
  <c r="I255" i="16"/>
  <c r="K255" i="16" s="1"/>
  <c r="I253" i="16"/>
  <c r="K253" i="16" s="1"/>
  <c r="I251" i="16"/>
  <c r="K251" i="16" s="1"/>
  <c r="I249" i="16"/>
  <c r="K249" i="16" s="1"/>
  <c r="I247" i="16"/>
  <c r="K247" i="16" s="1"/>
  <c r="I245" i="16"/>
  <c r="K245" i="16" s="1"/>
  <c r="I243" i="16"/>
  <c r="K243" i="16" s="1"/>
  <c r="I241" i="16"/>
  <c r="K241" i="16" s="1"/>
  <c r="I239" i="16"/>
  <c r="K239" i="16" s="1"/>
  <c r="I237" i="16"/>
  <c r="K237" i="16" s="1"/>
  <c r="I235" i="16"/>
  <c r="K235" i="16" s="1"/>
  <c r="I233" i="16"/>
  <c r="K233" i="16" s="1"/>
  <c r="I231" i="16"/>
  <c r="K231" i="16" s="1"/>
  <c r="I229" i="16"/>
  <c r="K229" i="16" s="1"/>
  <c r="I227" i="16"/>
  <c r="K227" i="16" s="1"/>
  <c r="I225" i="16"/>
  <c r="K225" i="16" s="1"/>
  <c r="I223" i="16"/>
  <c r="K223" i="16" s="1"/>
  <c r="I221" i="16"/>
  <c r="K221" i="16" s="1"/>
  <c r="I219" i="16"/>
  <c r="K219" i="16" s="1"/>
  <c r="I217" i="16"/>
  <c r="K217" i="16" s="1"/>
  <c r="I215" i="16"/>
  <c r="K215" i="16" s="1"/>
  <c r="I213" i="16"/>
  <c r="K213" i="16" s="1"/>
  <c r="I211" i="16"/>
  <c r="K211" i="16" s="1"/>
  <c r="I207" i="16"/>
  <c r="K207" i="16" s="1"/>
  <c r="I205" i="16"/>
  <c r="K205" i="16" s="1"/>
  <c r="AA267" i="16"/>
  <c r="N116" i="16"/>
  <c r="AB116" i="16"/>
  <c r="AA116" i="16"/>
  <c r="K266" i="16"/>
  <c r="AM267" i="16"/>
  <c r="AI351" i="16"/>
  <c r="AI347" i="16" s="1"/>
  <c r="AH351" i="16"/>
  <c r="AH347" i="16" s="1"/>
  <c r="AI116" i="16"/>
  <c r="AI496" i="16" s="1"/>
  <c r="AM494" i="16"/>
  <c r="AJ494" i="16"/>
  <c r="AK494" i="16"/>
  <c r="I351" i="16"/>
  <c r="AH482" i="16"/>
  <c r="AH500" i="16"/>
  <c r="K202" i="16"/>
  <c r="AI482" i="16"/>
  <c r="I482" i="16"/>
  <c r="I159" i="16"/>
  <c r="I7" i="16"/>
  <c r="I75" i="16"/>
  <c r="AL75" i="16" s="1"/>
  <c r="I14" i="16"/>
  <c r="AL14" i="16" s="1"/>
  <c r="K254" i="16"/>
  <c r="K209" i="16"/>
  <c r="K203" i="16"/>
  <c r="K142" i="16"/>
  <c r="K140" i="16"/>
  <c r="K132" i="16"/>
  <c r="K131" i="16"/>
  <c r="K128" i="16"/>
  <c r="K127" i="16"/>
  <c r="I110" i="16"/>
  <c r="Z110" i="16" s="1"/>
  <c r="X115" i="16" l="1"/>
  <c r="T115" i="16"/>
  <c r="U115" i="16"/>
  <c r="P115" i="16"/>
  <c r="W115" i="16"/>
  <c r="V115" i="16"/>
  <c r="Q115" i="16"/>
  <c r="R115" i="16"/>
  <c r="O115" i="16"/>
  <c r="Y115" i="16"/>
  <c r="S115" i="16"/>
  <c r="O110" i="16"/>
  <c r="W110" i="16"/>
  <c r="S110" i="16"/>
  <c r="V110" i="16"/>
  <c r="R110" i="16"/>
  <c r="T110" i="16"/>
  <c r="Y110" i="16"/>
  <c r="Q110" i="16"/>
  <c r="X110" i="16"/>
  <c r="P110" i="16"/>
  <c r="U110" i="16"/>
  <c r="J268" i="16"/>
  <c r="N267" i="16"/>
  <c r="AB107" i="16"/>
  <c r="AA107" i="16"/>
  <c r="N107" i="16"/>
  <c r="AB104" i="16"/>
  <c r="N104" i="16"/>
  <c r="AA104" i="16"/>
  <c r="AA117" i="16"/>
  <c r="AB117" i="16"/>
  <c r="N117" i="16"/>
  <c r="AA110" i="16"/>
  <c r="N110" i="16"/>
  <c r="AB110" i="16"/>
  <c r="AB351" i="16"/>
  <c r="AB267" i="16"/>
  <c r="BK75" i="16"/>
  <c r="BK14" i="16"/>
  <c r="AI500" i="16"/>
  <c r="AJ351" i="16"/>
  <c r="AJ347" i="16" s="1"/>
  <c r="AJ500" i="16"/>
  <c r="AJ267" i="16"/>
  <c r="AJ501" i="16"/>
  <c r="BJ268" i="16"/>
  <c r="AK351" i="16"/>
  <c r="AK347" i="16" s="1"/>
  <c r="AK500" i="16"/>
  <c r="AK267" i="16"/>
  <c r="AK501" i="16"/>
  <c r="AM351" i="16"/>
  <c r="AM500" i="16"/>
  <c r="AL351" i="16"/>
  <c r="AL347" i="16" s="1"/>
  <c r="AL500" i="16"/>
  <c r="AL267" i="16"/>
  <c r="AL501" i="16"/>
  <c r="BK353" i="16"/>
  <c r="BK268" i="16"/>
  <c r="AH267" i="16"/>
  <c r="AH501" i="16"/>
  <c r="AH502" i="16" s="1"/>
  <c r="AI117" i="16"/>
  <c r="BK117" i="16" s="1"/>
  <c r="BK116" i="16"/>
  <c r="BJ116" i="16"/>
  <c r="BK79" i="16"/>
  <c r="BJ353" i="16"/>
  <c r="AH478" i="16"/>
  <c r="BK482" i="16"/>
  <c r="BJ101" i="16"/>
  <c r="AH92" i="16"/>
  <c r="I96" i="16"/>
  <c r="AF96" i="16" s="1"/>
  <c r="I93" i="16"/>
  <c r="AH95" i="16"/>
  <c r="I111" i="16"/>
  <c r="Z111" i="16" s="1"/>
  <c r="BD168" i="16"/>
  <c r="H82" i="44"/>
  <c r="J484" i="16"/>
  <c r="L484" i="16"/>
  <c r="I501" i="16"/>
  <c r="AP101" i="16"/>
  <c r="K201" i="16"/>
  <c r="AR94" i="16"/>
  <c r="AR495" i="16" s="1"/>
  <c r="Z109" i="16" l="1"/>
  <c r="O111" i="16"/>
  <c r="O109" i="16" s="1"/>
  <c r="Y111" i="16"/>
  <c r="U111" i="16"/>
  <c r="Q111" i="16"/>
  <c r="Q109" i="16" s="1"/>
  <c r="X111" i="16"/>
  <c r="X109" i="16" s="1"/>
  <c r="T111" i="16"/>
  <c r="P111" i="16"/>
  <c r="R111" i="16"/>
  <c r="R109" i="16" s="1"/>
  <c r="S111" i="16"/>
  <c r="W111" i="16"/>
  <c r="V111" i="16"/>
  <c r="V109" i="16" s="1"/>
  <c r="BD495" i="16"/>
  <c r="BD181" i="16"/>
  <c r="BD486" i="16" s="1"/>
  <c r="AK485" i="16"/>
  <c r="AJ485" i="16"/>
  <c r="AL485" i="16"/>
  <c r="AH485" i="16"/>
  <c r="AR93" i="16"/>
  <c r="L267" i="16"/>
  <c r="BJ107" i="16"/>
  <c r="BJ113" i="16"/>
  <c r="BJ110" i="16"/>
  <c r="N105" i="16"/>
  <c r="AA105" i="16"/>
  <c r="AB105" i="16"/>
  <c r="AB108" i="16"/>
  <c r="AA108" i="16"/>
  <c r="N108" i="16"/>
  <c r="AB111" i="16"/>
  <c r="AB109" i="16" s="1"/>
  <c r="AA111" i="16"/>
  <c r="N111" i="16"/>
  <c r="AH495" i="16"/>
  <c r="AP126" i="16"/>
  <c r="AP143" i="16" s="1"/>
  <c r="AP495" i="16"/>
  <c r="BL94" i="16"/>
  <c r="K484" i="16"/>
  <c r="BJ168" i="16"/>
  <c r="BJ130" i="16"/>
  <c r="BJ117" i="16"/>
  <c r="AM503" i="16"/>
  <c r="AB347" i="16"/>
  <c r="BJ133" i="16"/>
  <c r="BJ123" i="16"/>
  <c r="AM347" i="16"/>
  <c r="BK11" i="16"/>
  <c r="AL93" i="16"/>
  <c r="BK93" i="16" s="1"/>
  <c r="AL96" i="16"/>
  <c r="BK72" i="16"/>
  <c r="BD493" i="16"/>
  <c r="BD494" i="16"/>
  <c r="AJ502" i="16"/>
  <c r="AJ503" i="16"/>
  <c r="AK502" i="16"/>
  <c r="AL502" i="16"/>
  <c r="BK267" i="16"/>
  <c r="BK351" i="16"/>
  <c r="AJ499" i="16"/>
  <c r="AK499" i="16"/>
  <c r="AK503" i="16"/>
  <c r="AI115" i="16"/>
  <c r="BK115" i="16" s="1"/>
  <c r="AB115" i="16"/>
  <c r="BJ104" i="16"/>
  <c r="BK478" i="16"/>
  <c r="AH499" i="16"/>
  <c r="BL101" i="16"/>
  <c r="BJ351" i="16"/>
  <c r="BK130" i="16"/>
  <c r="BK133" i="16"/>
  <c r="AJ143" i="16"/>
  <c r="AJ181" i="16" s="1"/>
  <c r="AK143" i="16"/>
  <c r="AK181" i="16" s="1"/>
  <c r="AM143" i="16"/>
  <c r="AM181" i="16" s="1"/>
  <c r="AP494" i="16"/>
  <c r="AK497" i="16"/>
  <c r="AK504" i="16" s="1"/>
  <c r="AH497" i="16"/>
  <c r="AH504" i="16" s="1"/>
  <c r="AI497" i="16"/>
  <c r="AL497" i="16"/>
  <c r="AL504" i="16" s="1"/>
  <c r="AJ497" i="16"/>
  <c r="AM497" i="16"/>
  <c r="AH89" i="16"/>
  <c r="AH126" i="16" s="1"/>
  <c r="AH494" i="16"/>
  <c r="AP493" i="16"/>
  <c r="L482" i="16"/>
  <c r="J482" i="16"/>
  <c r="BK357" i="16"/>
  <c r="AS111" i="16"/>
  <c r="AS110" i="16"/>
  <c r="AU108" i="16"/>
  <c r="AU107" i="16"/>
  <c r="AU496" i="16" s="1"/>
  <c r="W109" i="16" l="1"/>
  <c r="Y109" i="16"/>
  <c r="S109" i="16"/>
  <c r="P109" i="16"/>
  <c r="T109" i="16"/>
  <c r="U109" i="16"/>
  <c r="AR496" i="16"/>
  <c r="AR494" i="16"/>
  <c r="AJ486" i="16"/>
  <c r="AJ490" i="16" s="1"/>
  <c r="AK486" i="16"/>
  <c r="AK490" i="16" s="1"/>
  <c r="AP181" i="16"/>
  <c r="BJ141" i="16"/>
  <c r="AB103" i="16"/>
  <c r="BJ108" i="16"/>
  <c r="BJ114" i="16"/>
  <c r="BK347" i="16"/>
  <c r="BL108" i="16"/>
  <c r="AU495" i="16"/>
  <c r="BL110" i="16"/>
  <c r="AS496" i="16"/>
  <c r="BL111" i="16"/>
  <c r="AS495" i="16"/>
  <c r="BD490" i="16"/>
  <c r="AM498" i="16"/>
  <c r="BJ115" i="16"/>
  <c r="BJ171" i="16"/>
  <c r="BJ177" i="16"/>
  <c r="BJ174" i="16"/>
  <c r="K482" i="16"/>
  <c r="BK90" i="16"/>
  <c r="BD503" i="16"/>
  <c r="BD498" i="16"/>
  <c r="BD505" i="16" s="1"/>
  <c r="BD526" i="16" s="1"/>
  <c r="BJ105" i="16"/>
  <c r="BJ111" i="16"/>
  <c r="BJ347" i="16"/>
  <c r="AU494" i="16"/>
  <c r="AU503" i="16" s="1"/>
  <c r="BL107" i="16"/>
  <c r="AH493" i="16"/>
  <c r="AH143" i="16"/>
  <c r="AS494" i="16"/>
  <c r="AS503" i="16" s="1"/>
  <c r="AK498" i="16"/>
  <c r="AK505" i="16" s="1"/>
  <c r="AK526" i="16" s="1"/>
  <c r="AJ504" i="16"/>
  <c r="AJ498" i="16"/>
  <c r="AJ505" i="16" s="1"/>
  <c r="AJ526" i="16" s="1"/>
  <c r="AH498" i="16"/>
  <c r="AH505" i="16" s="1"/>
  <c r="AH526" i="16" s="1"/>
  <c r="AH503" i="16"/>
  <c r="AB497" i="16"/>
  <c r="AP503" i="16"/>
  <c r="AP498" i="16"/>
  <c r="AP505" i="16" s="1"/>
  <c r="AP526" i="16" s="1"/>
  <c r="L410" i="16"/>
  <c r="J410" i="16"/>
  <c r="L357" i="16"/>
  <c r="AS109" i="16"/>
  <c r="AS126" i="16" s="1"/>
  <c r="AB106" i="16"/>
  <c r="AU106" i="16"/>
  <c r="AR503" i="16" l="1"/>
  <c r="AR498" i="16"/>
  <c r="AR505" i="16" s="1"/>
  <c r="AR526" i="16" s="1"/>
  <c r="AP486" i="16"/>
  <c r="AP490" i="16" s="1"/>
  <c r="AH181" i="16"/>
  <c r="BK410" i="16"/>
  <c r="BJ497" i="16"/>
  <c r="K357" i="16"/>
  <c r="K410" i="16"/>
  <c r="BJ106" i="16"/>
  <c r="AB102" i="16"/>
  <c r="BL109" i="16"/>
  <c r="AS143" i="16"/>
  <c r="AU102" i="16"/>
  <c r="AU126" i="16" s="1"/>
  <c r="BL106" i="16"/>
  <c r="BK356" i="16"/>
  <c r="AS493" i="16"/>
  <c r="AS498" i="16"/>
  <c r="AS505" i="16" s="1"/>
  <c r="AS526" i="16" s="1"/>
  <c r="AU498" i="16"/>
  <c r="AU505" i="16" s="1"/>
  <c r="AU526" i="16" s="1"/>
  <c r="AT105" i="16"/>
  <c r="AT104" i="16"/>
  <c r="AH486" i="16" l="1"/>
  <c r="AH490" i="16" s="1"/>
  <c r="AS181" i="16"/>
  <c r="BL104" i="16"/>
  <c r="AT496" i="16"/>
  <c r="BL105" i="16"/>
  <c r="AT495" i="16"/>
  <c r="AU493" i="16"/>
  <c r="AU143" i="16"/>
  <c r="AU181" i="16" s="1"/>
  <c r="AU486" i="16" s="1"/>
  <c r="AK493" i="16"/>
  <c r="AJ493" i="16"/>
  <c r="AT494" i="16"/>
  <c r="AT503" i="16" s="1"/>
  <c r="K356" i="16"/>
  <c r="AT103" i="16"/>
  <c r="I189" i="16"/>
  <c r="AS486" i="16" l="1"/>
  <c r="AS490" i="16" s="1"/>
  <c r="I183" i="16"/>
  <c r="AU490" i="16"/>
  <c r="AT102" i="16"/>
  <c r="AT126" i="16" s="1"/>
  <c r="BL103" i="16"/>
  <c r="AT498" i="16"/>
  <c r="AT505" i="16" s="1"/>
  <c r="AT526" i="16" s="1"/>
  <c r="AN114" i="16"/>
  <c r="AN113" i="16"/>
  <c r="AN496" i="16" s="1"/>
  <c r="AB184" i="16"/>
  <c r="J275" i="16"/>
  <c r="L275" i="16"/>
  <c r="J276" i="16"/>
  <c r="L276" i="16"/>
  <c r="BJ274" i="16"/>
  <c r="J394" i="16"/>
  <c r="I394" i="16" s="1"/>
  <c r="L394" i="16"/>
  <c r="AB500" i="16"/>
  <c r="AB501" i="16"/>
  <c r="BJ501" i="16" s="1"/>
  <c r="AB485" i="16" l="1"/>
  <c r="BJ500" i="16"/>
  <c r="BJ502" i="16" s="1"/>
  <c r="BL114" i="16"/>
  <c r="AN495" i="16"/>
  <c r="K394" i="16"/>
  <c r="BJ199" i="16"/>
  <c r="AB504" i="16"/>
  <c r="K275" i="16"/>
  <c r="BJ184" i="16"/>
  <c r="BL102" i="16"/>
  <c r="AT143" i="16"/>
  <c r="AT181" i="16" s="1"/>
  <c r="AT486" i="16" s="1"/>
  <c r="AT493" i="16"/>
  <c r="AN494" i="16"/>
  <c r="BL113" i="16"/>
  <c r="BK274" i="16"/>
  <c r="BI274" i="16"/>
  <c r="BK199" i="16"/>
  <c r="BI199" i="16"/>
  <c r="AL499" i="16"/>
  <c r="AB502" i="16"/>
  <c r="AN112" i="16"/>
  <c r="AN126" i="16" s="1"/>
  <c r="BJ103" i="16"/>
  <c r="AN503" i="16" l="1"/>
  <c r="BJ504" i="16"/>
  <c r="AT490" i="16"/>
  <c r="BJ267" i="16"/>
  <c r="BL112" i="16"/>
  <c r="AN493" i="16"/>
  <c r="AN498" i="16"/>
  <c r="BJ102" i="16"/>
  <c r="AN505" i="16" l="1"/>
  <c r="AN526" i="16" s="1"/>
  <c r="BJ485" i="16"/>
  <c r="AN143" i="16"/>
  <c r="AN181" i="16" s="1"/>
  <c r="AN486" i="16" s="1"/>
  <c r="AM501" i="16"/>
  <c r="BK258" i="16"/>
  <c r="J258" i="16"/>
  <c r="L258" i="16"/>
  <c r="AM485" i="16" l="1"/>
  <c r="AM504" i="16"/>
  <c r="BK257" i="16"/>
  <c r="AM502" i="16"/>
  <c r="K258" i="16"/>
  <c r="AM486" i="16" l="1"/>
  <c r="AM490" i="16" s="1"/>
  <c r="AM505" i="16"/>
  <c r="AM526" i="16" s="1"/>
  <c r="AI501" i="16"/>
  <c r="BK263" i="16"/>
  <c r="AM499" i="16"/>
  <c r="AB499" i="16"/>
  <c r="J263" i="16"/>
  <c r="L263" i="16"/>
  <c r="AI485" i="16" l="1"/>
  <c r="AI504" i="16"/>
  <c r="BK501" i="16"/>
  <c r="BJ499" i="16"/>
  <c r="AN490" i="16"/>
  <c r="BK262" i="16"/>
  <c r="AI502" i="16"/>
  <c r="AI499" i="16"/>
  <c r="J262" i="16"/>
  <c r="K8" i="45" s="1"/>
  <c r="K263" i="16"/>
  <c r="J264" i="16"/>
  <c r="J270" i="16"/>
  <c r="J271" i="16"/>
  <c r="J272" i="16"/>
  <c r="J273" i="16"/>
  <c r="J361" i="16"/>
  <c r="I361" i="16" s="1"/>
  <c r="J362" i="16"/>
  <c r="I362" i="16" s="1"/>
  <c r="J363" i="16"/>
  <c r="I363" i="16" s="1"/>
  <c r="J364" i="16"/>
  <c r="I364" i="16" s="1"/>
  <c r="J365" i="16"/>
  <c r="I365" i="16" s="1"/>
  <c r="J366" i="16"/>
  <c r="I366" i="16" s="1"/>
  <c r="J367" i="16"/>
  <c r="I367" i="16" s="1"/>
  <c r="J368" i="16"/>
  <c r="I368" i="16" s="1"/>
  <c r="J369" i="16"/>
  <c r="I369" i="16" s="1"/>
  <c r="J370" i="16"/>
  <c r="I370" i="16" s="1"/>
  <c r="J371" i="16"/>
  <c r="I371" i="16" s="1"/>
  <c r="J372" i="16"/>
  <c r="I372" i="16" s="1"/>
  <c r="J373" i="16"/>
  <c r="I373" i="16" s="1"/>
  <c r="J374" i="16"/>
  <c r="I374" i="16" s="1"/>
  <c r="J375" i="16"/>
  <c r="I375" i="16" s="1"/>
  <c r="J376" i="16"/>
  <c r="I376" i="16" s="1"/>
  <c r="J377" i="16"/>
  <c r="I377" i="16" s="1"/>
  <c r="J378" i="16"/>
  <c r="I378" i="16" s="1"/>
  <c r="J379" i="16"/>
  <c r="I379" i="16" s="1"/>
  <c r="J380" i="16"/>
  <c r="I380" i="16" s="1"/>
  <c r="J381" i="16"/>
  <c r="I381" i="16" s="1"/>
  <c r="J382" i="16"/>
  <c r="I382" i="16" s="1"/>
  <c r="J383" i="16"/>
  <c r="I383" i="16" s="1"/>
  <c r="J384" i="16"/>
  <c r="I384" i="16" s="1"/>
  <c r="J385" i="16"/>
  <c r="I385" i="16" s="1"/>
  <c r="J386" i="16"/>
  <c r="I386" i="16" s="1"/>
  <c r="J387" i="16"/>
  <c r="I387" i="16" s="1"/>
  <c r="J388" i="16"/>
  <c r="I388" i="16" s="1"/>
  <c r="J389" i="16"/>
  <c r="I389" i="16" s="1"/>
  <c r="J390" i="16"/>
  <c r="I390" i="16" s="1"/>
  <c r="J391" i="16"/>
  <c r="I391" i="16" s="1"/>
  <c r="J392" i="16"/>
  <c r="I392" i="16" s="1"/>
  <c r="J393" i="16"/>
  <c r="I393" i="16" s="1"/>
  <c r="J395" i="16"/>
  <c r="I395" i="16" s="1"/>
  <c r="J396" i="16"/>
  <c r="I396" i="16" s="1"/>
  <c r="J397" i="16"/>
  <c r="I397" i="16" s="1"/>
  <c r="J398" i="16"/>
  <c r="I398" i="16" s="1"/>
  <c r="J399" i="16"/>
  <c r="I399" i="16" s="1"/>
  <c r="J400" i="16"/>
  <c r="I400" i="16" s="1"/>
  <c r="J401" i="16"/>
  <c r="I401" i="16" s="1"/>
  <c r="J402" i="16"/>
  <c r="I402" i="16" s="1"/>
  <c r="J404" i="16"/>
  <c r="I404" i="16" s="1"/>
  <c r="J405" i="16"/>
  <c r="I405" i="16" s="1"/>
  <c r="J406" i="16"/>
  <c r="I406" i="16" s="1"/>
  <c r="J407" i="16"/>
  <c r="I407" i="16" s="1"/>
  <c r="J408" i="16"/>
  <c r="I408" i="16" s="1"/>
  <c r="J409" i="16"/>
  <c r="I409" i="16" s="1"/>
  <c r="J478" i="16"/>
  <c r="K14" i="45" s="1"/>
  <c r="J199" i="16"/>
  <c r="K2" i="45" s="1"/>
  <c r="J274" i="16"/>
  <c r="J277" i="16"/>
  <c r="I277" i="16" s="1"/>
  <c r="J278" i="16"/>
  <c r="I278" i="16" s="1"/>
  <c r="J279" i="16"/>
  <c r="I279" i="16" s="1"/>
  <c r="J280" i="16"/>
  <c r="I280" i="16" s="1"/>
  <c r="J281" i="16"/>
  <c r="I281" i="16" s="1"/>
  <c r="J282" i="16"/>
  <c r="I282" i="16" s="1"/>
  <c r="J283" i="16"/>
  <c r="I283" i="16" s="1"/>
  <c r="J284" i="16"/>
  <c r="I284" i="16" s="1"/>
  <c r="J285" i="16"/>
  <c r="I285" i="16" s="1"/>
  <c r="J286" i="16"/>
  <c r="I286" i="16" s="1"/>
  <c r="J287" i="16"/>
  <c r="I287" i="16" s="1"/>
  <c r="J288" i="16"/>
  <c r="I288" i="16" s="1"/>
  <c r="J289" i="16"/>
  <c r="I289" i="16" s="1"/>
  <c r="J290" i="16"/>
  <c r="I290" i="16" s="1"/>
  <c r="J291" i="16"/>
  <c r="I291" i="16" s="1"/>
  <c r="J292" i="16"/>
  <c r="I292" i="16" s="1"/>
  <c r="J293" i="16"/>
  <c r="I293" i="16" s="1"/>
  <c r="J294" i="16"/>
  <c r="I294" i="16" s="1"/>
  <c r="J295" i="16"/>
  <c r="I295" i="16" s="1"/>
  <c r="J296" i="16"/>
  <c r="I296" i="16" s="1"/>
  <c r="J297" i="16"/>
  <c r="I297" i="16" s="1"/>
  <c r="J298" i="16"/>
  <c r="I298" i="16" s="1"/>
  <c r="J299" i="16"/>
  <c r="I299" i="16" s="1"/>
  <c r="J300" i="16"/>
  <c r="I300" i="16" s="1"/>
  <c r="J301" i="16"/>
  <c r="I301" i="16" s="1"/>
  <c r="J302" i="16"/>
  <c r="I302" i="16" s="1"/>
  <c r="J303" i="16"/>
  <c r="I303" i="16" s="1"/>
  <c r="J304" i="16"/>
  <c r="I304" i="16" s="1"/>
  <c r="J305" i="16"/>
  <c r="I305" i="16" s="1"/>
  <c r="J306" i="16"/>
  <c r="I306" i="16" s="1"/>
  <c r="J307" i="16"/>
  <c r="I307" i="16" s="1"/>
  <c r="J308" i="16"/>
  <c r="I308" i="16" s="1"/>
  <c r="J309" i="16"/>
  <c r="I309" i="16" s="1"/>
  <c r="J310" i="16"/>
  <c r="I310" i="16" s="1"/>
  <c r="J311" i="16"/>
  <c r="I311" i="16" s="1"/>
  <c r="J312" i="16"/>
  <c r="I312" i="16" s="1"/>
  <c r="J313" i="16"/>
  <c r="I313" i="16" s="1"/>
  <c r="J314" i="16"/>
  <c r="I314" i="16" s="1"/>
  <c r="J315" i="16"/>
  <c r="I315" i="16" s="1"/>
  <c r="J316" i="16"/>
  <c r="I316" i="16" s="1"/>
  <c r="J317" i="16"/>
  <c r="I317" i="16" s="1"/>
  <c r="J318" i="16"/>
  <c r="I318" i="16" s="1"/>
  <c r="J319" i="16"/>
  <c r="I319" i="16" s="1"/>
  <c r="J320" i="16"/>
  <c r="I320" i="16" s="1"/>
  <c r="J321" i="16"/>
  <c r="I321" i="16" s="1"/>
  <c r="J322" i="16"/>
  <c r="I322" i="16" s="1"/>
  <c r="J323" i="16"/>
  <c r="I323" i="16" s="1"/>
  <c r="J324" i="16"/>
  <c r="I324" i="16" s="1"/>
  <c r="J325" i="16"/>
  <c r="I325" i="16" s="1"/>
  <c r="J326" i="16"/>
  <c r="I326" i="16" s="1"/>
  <c r="J327" i="16"/>
  <c r="I327" i="16" s="1"/>
  <c r="J328" i="16"/>
  <c r="I328" i="16" s="1"/>
  <c r="J329" i="16"/>
  <c r="I329" i="16" s="1"/>
  <c r="J330" i="16"/>
  <c r="I330" i="16" s="1"/>
  <c r="J331" i="16"/>
  <c r="I331" i="16" s="1"/>
  <c r="J332" i="16"/>
  <c r="I332" i="16" s="1"/>
  <c r="J333" i="16"/>
  <c r="I333" i="16" s="1"/>
  <c r="J334" i="16"/>
  <c r="I334" i="16" s="1"/>
  <c r="J335" i="16"/>
  <c r="I335" i="16" s="1"/>
  <c r="J336" i="16"/>
  <c r="I336" i="16" s="1"/>
  <c r="J337" i="16"/>
  <c r="I337" i="16" s="1"/>
  <c r="J338" i="16"/>
  <c r="I338" i="16" s="1"/>
  <c r="J339" i="16"/>
  <c r="I339" i="16" s="1"/>
  <c r="J340" i="16"/>
  <c r="I340" i="16" s="1"/>
  <c r="J341" i="16"/>
  <c r="I341" i="16" s="1"/>
  <c r="J342" i="16"/>
  <c r="I342" i="16" s="1"/>
  <c r="J346" i="16"/>
  <c r="I346" i="16" s="1"/>
  <c r="L20" i="16"/>
  <c r="L21" i="16"/>
  <c r="L22" i="16"/>
  <c r="L23" i="16"/>
  <c r="L24" i="16"/>
  <c r="L25" i="16"/>
  <c r="L26" i="16"/>
  <c r="L27" i="16"/>
  <c r="L28" i="16"/>
  <c r="L29" i="16"/>
  <c r="L30" i="16"/>
  <c r="L31" i="16"/>
  <c r="L32" i="16"/>
  <c r="L33" i="16"/>
  <c r="L34" i="16"/>
  <c r="L35" i="16"/>
  <c r="L36" i="16"/>
  <c r="L37" i="16"/>
  <c r="L38" i="16"/>
  <c r="L39" i="16"/>
  <c r="L40" i="16"/>
  <c r="L41" i="16"/>
  <c r="L42" i="16"/>
  <c r="L43" i="16"/>
  <c r="L44" i="16"/>
  <c r="L45" i="16"/>
  <c r="L46" i="16"/>
  <c r="L47" i="16"/>
  <c r="L48" i="16"/>
  <c r="L49" i="16"/>
  <c r="L50" i="16"/>
  <c r="L51" i="16"/>
  <c r="L52" i="16"/>
  <c r="L53" i="16"/>
  <c r="L54" i="16"/>
  <c r="L55" i="16"/>
  <c r="L56" i="16"/>
  <c r="L57" i="16"/>
  <c r="L58" i="16"/>
  <c r="L59" i="16"/>
  <c r="L60" i="16"/>
  <c r="L61" i="16"/>
  <c r="L62" i="16"/>
  <c r="L63" i="16"/>
  <c r="L64" i="16"/>
  <c r="L65" i="16"/>
  <c r="L66" i="16"/>
  <c r="L67" i="16"/>
  <c r="L68" i="16"/>
  <c r="L69" i="16"/>
  <c r="L70" i="16"/>
  <c r="L71" i="16"/>
  <c r="L98" i="16"/>
  <c r="L262" i="16"/>
  <c r="L264" i="16"/>
  <c r="L270" i="16"/>
  <c r="L271" i="16"/>
  <c r="L272" i="16"/>
  <c r="L273" i="16"/>
  <c r="L356" i="16"/>
  <c r="L361" i="16"/>
  <c r="L362" i="16"/>
  <c r="L363" i="16"/>
  <c r="L364" i="16"/>
  <c r="L365" i="16"/>
  <c r="L366" i="16"/>
  <c r="L367" i="16"/>
  <c r="L368" i="16"/>
  <c r="L369" i="16"/>
  <c r="L370" i="16"/>
  <c r="L371" i="16"/>
  <c r="L372" i="16"/>
  <c r="L373" i="16"/>
  <c r="L374" i="16"/>
  <c r="L375" i="16"/>
  <c r="L376" i="16"/>
  <c r="L377" i="16"/>
  <c r="L378" i="16"/>
  <c r="L379" i="16"/>
  <c r="L380" i="16"/>
  <c r="L381" i="16"/>
  <c r="L382" i="16"/>
  <c r="L383" i="16"/>
  <c r="L384" i="16"/>
  <c r="L385" i="16"/>
  <c r="L386" i="16"/>
  <c r="L387" i="16"/>
  <c r="L388" i="16"/>
  <c r="L389" i="16"/>
  <c r="L390" i="16"/>
  <c r="L391" i="16"/>
  <c r="L392" i="16"/>
  <c r="L393" i="16"/>
  <c r="L395" i="16"/>
  <c r="L396" i="16"/>
  <c r="L397" i="16"/>
  <c r="L398" i="16"/>
  <c r="L399" i="16"/>
  <c r="L400" i="16"/>
  <c r="L401" i="16"/>
  <c r="L402" i="16"/>
  <c r="L404" i="16"/>
  <c r="L405" i="16"/>
  <c r="L406" i="16"/>
  <c r="L407" i="16"/>
  <c r="L408" i="16"/>
  <c r="L409" i="16"/>
  <c r="L478" i="16"/>
  <c r="L199" i="16"/>
  <c r="L274" i="16"/>
  <c r="L277" i="16"/>
  <c r="L278" i="16"/>
  <c r="L279" i="16"/>
  <c r="L280" i="16"/>
  <c r="L281" i="16"/>
  <c r="L282" i="16"/>
  <c r="L283" i="16"/>
  <c r="L284" i="16"/>
  <c r="L285" i="16"/>
  <c r="L286" i="16"/>
  <c r="L287" i="16"/>
  <c r="L288" i="16"/>
  <c r="L289" i="16"/>
  <c r="L290" i="16"/>
  <c r="L291" i="16"/>
  <c r="L292" i="16"/>
  <c r="L293" i="16"/>
  <c r="L294" i="16"/>
  <c r="L295" i="16"/>
  <c r="L296" i="16"/>
  <c r="L297" i="16"/>
  <c r="L298" i="16"/>
  <c r="L299" i="16"/>
  <c r="L300" i="16"/>
  <c r="L301" i="16"/>
  <c r="L302" i="16"/>
  <c r="L303" i="16"/>
  <c r="L304" i="16"/>
  <c r="L305" i="16"/>
  <c r="L306" i="16"/>
  <c r="L307" i="16"/>
  <c r="L308" i="16"/>
  <c r="L309" i="16"/>
  <c r="L310" i="16"/>
  <c r="L311" i="16"/>
  <c r="L312" i="16"/>
  <c r="L313" i="16"/>
  <c r="L314" i="16"/>
  <c r="L315" i="16"/>
  <c r="L316" i="16"/>
  <c r="L317" i="16"/>
  <c r="L318" i="16"/>
  <c r="L319" i="16"/>
  <c r="L320" i="16"/>
  <c r="L321" i="16"/>
  <c r="L322" i="16"/>
  <c r="L323" i="16"/>
  <c r="L324" i="16"/>
  <c r="L325" i="16"/>
  <c r="L326" i="16"/>
  <c r="L327" i="16"/>
  <c r="L328" i="16"/>
  <c r="L329" i="16"/>
  <c r="L330" i="16"/>
  <c r="L331" i="16"/>
  <c r="L332" i="16"/>
  <c r="L333" i="16"/>
  <c r="L334" i="16"/>
  <c r="L335" i="16"/>
  <c r="L336" i="16"/>
  <c r="L337" i="16"/>
  <c r="L338" i="16"/>
  <c r="L339" i="16"/>
  <c r="L340" i="16"/>
  <c r="L341" i="16"/>
  <c r="L342" i="16"/>
  <c r="L346" i="16"/>
  <c r="J20" i="16"/>
  <c r="I20" i="16" s="1"/>
  <c r="J21" i="16"/>
  <c r="I21" i="16" s="1"/>
  <c r="J22" i="16"/>
  <c r="I22" i="16" s="1"/>
  <c r="J23" i="16"/>
  <c r="I23" i="16" s="1"/>
  <c r="J24" i="16"/>
  <c r="I24" i="16" s="1"/>
  <c r="J25" i="16"/>
  <c r="I25" i="16" s="1"/>
  <c r="J26" i="16"/>
  <c r="J27" i="16"/>
  <c r="I27" i="16" s="1"/>
  <c r="J28" i="16"/>
  <c r="I28" i="16" s="1"/>
  <c r="J29" i="16"/>
  <c r="I29" i="16" s="1"/>
  <c r="J30" i="16"/>
  <c r="I30" i="16" s="1"/>
  <c r="J31" i="16"/>
  <c r="I31" i="16" s="1"/>
  <c r="J32" i="16"/>
  <c r="I32" i="16" s="1"/>
  <c r="J33" i="16"/>
  <c r="I33" i="16" s="1"/>
  <c r="J34" i="16"/>
  <c r="I34" i="16" s="1"/>
  <c r="J35" i="16"/>
  <c r="I35" i="16" s="1"/>
  <c r="J36" i="16"/>
  <c r="I36" i="16" s="1"/>
  <c r="J37" i="16"/>
  <c r="I37" i="16" s="1"/>
  <c r="J38" i="16"/>
  <c r="I38" i="16" s="1"/>
  <c r="J39" i="16"/>
  <c r="I39" i="16" s="1"/>
  <c r="J40" i="16"/>
  <c r="I40" i="16" s="1"/>
  <c r="J41" i="16"/>
  <c r="I41" i="16" s="1"/>
  <c r="J42" i="16"/>
  <c r="J43" i="16"/>
  <c r="I43" i="16" s="1"/>
  <c r="J44" i="16"/>
  <c r="J45" i="16"/>
  <c r="J46" i="16"/>
  <c r="I46" i="16" s="1"/>
  <c r="J47" i="16"/>
  <c r="I47" i="16" s="1"/>
  <c r="J48" i="16"/>
  <c r="I48" i="16" s="1"/>
  <c r="J49" i="16"/>
  <c r="I49" i="16" s="1"/>
  <c r="J50" i="16"/>
  <c r="I50" i="16" s="1"/>
  <c r="J51" i="16"/>
  <c r="I51" i="16" s="1"/>
  <c r="J52" i="16"/>
  <c r="I52" i="16" s="1"/>
  <c r="J53" i="16"/>
  <c r="I53" i="16" s="1"/>
  <c r="J54" i="16"/>
  <c r="J55" i="16"/>
  <c r="I55" i="16" s="1"/>
  <c r="J56" i="16"/>
  <c r="I56" i="16" s="1"/>
  <c r="J57" i="16"/>
  <c r="I57" i="16" s="1"/>
  <c r="J58" i="16"/>
  <c r="I58" i="16" s="1"/>
  <c r="J59" i="16"/>
  <c r="I59" i="16" s="1"/>
  <c r="J60" i="16"/>
  <c r="I60" i="16" s="1"/>
  <c r="J61" i="16"/>
  <c r="I61" i="16" s="1"/>
  <c r="J62" i="16"/>
  <c r="I62" i="16" s="1"/>
  <c r="J63" i="16"/>
  <c r="I63" i="16" s="1"/>
  <c r="J64" i="16"/>
  <c r="I64" i="16" s="1"/>
  <c r="J65" i="16"/>
  <c r="I65" i="16" s="1"/>
  <c r="J66" i="16"/>
  <c r="I66" i="16" s="1"/>
  <c r="J67" i="16"/>
  <c r="I67" i="16" s="1"/>
  <c r="J68" i="16"/>
  <c r="I68" i="16" s="1"/>
  <c r="J69" i="16"/>
  <c r="I69" i="16" s="1"/>
  <c r="J70" i="16"/>
  <c r="I70" i="16" s="1"/>
  <c r="J71" i="16"/>
  <c r="I71" i="16" s="1"/>
  <c r="J98" i="16"/>
  <c r="K10" i="45" l="1"/>
  <c r="I274" i="16"/>
  <c r="I494" i="16"/>
  <c r="K56" i="16"/>
  <c r="K44" i="16"/>
  <c r="K32" i="16"/>
  <c r="K20" i="16"/>
  <c r="K346" i="16"/>
  <c r="K339" i="16"/>
  <c r="K335" i="16"/>
  <c r="K331" i="16"/>
  <c r="K327" i="16"/>
  <c r="K323" i="16"/>
  <c r="K319" i="16"/>
  <c r="K315" i="16"/>
  <c r="K311" i="16"/>
  <c r="K307" i="16"/>
  <c r="K303" i="16"/>
  <c r="K299" i="16"/>
  <c r="K295" i="16"/>
  <c r="K291" i="16"/>
  <c r="K287" i="16"/>
  <c r="K283" i="16"/>
  <c r="K279" i="16"/>
  <c r="K407" i="16"/>
  <c r="K399" i="16"/>
  <c r="K395" i="16"/>
  <c r="K390" i="16"/>
  <c r="K386" i="16"/>
  <c r="K382" i="16"/>
  <c r="K378" i="16"/>
  <c r="K374" i="16"/>
  <c r="K370" i="16"/>
  <c r="K366" i="16"/>
  <c r="K362" i="16"/>
  <c r="K270" i="16"/>
  <c r="K64" i="16"/>
  <c r="K52" i="16"/>
  <c r="K40" i="16"/>
  <c r="K24" i="16"/>
  <c r="K67" i="16"/>
  <c r="K55" i="16"/>
  <c r="K43" i="16"/>
  <c r="K31" i="16"/>
  <c r="K23" i="16"/>
  <c r="K342" i="16"/>
  <c r="K338" i="16"/>
  <c r="K334" i="16"/>
  <c r="K330" i="16"/>
  <c r="K326" i="16"/>
  <c r="K322" i="16"/>
  <c r="K318" i="16"/>
  <c r="K314" i="16"/>
  <c r="K310" i="16"/>
  <c r="K306" i="16"/>
  <c r="K302" i="16"/>
  <c r="K298" i="16"/>
  <c r="K294" i="16"/>
  <c r="K290" i="16"/>
  <c r="K286" i="16"/>
  <c r="K282" i="16"/>
  <c r="K278" i="16"/>
  <c r="K406" i="16"/>
  <c r="K402" i="16"/>
  <c r="K398" i="16"/>
  <c r="K393" i="16"/>
  <c r="K389" i="16"/>
  <c r="K385" i="16"/>
  <c r="K381" i="16"/>
  <c r="K377" i="16"/>
  <c r="K373" i="16"/>
  <c r="K369" i="16"/>
  <c r="K365" i="16"/>
  <c r="K361" i="16"/>
  <c r="K273" i="16"/>
  <c r="K68" i="16"/>
  <c r="K60" i="16"/>
  <c r="K48" i="16"/>
  <c r="K36" i="16"/>
  <c r="K28" i="16"/>
  <c r="K63" i="16"/>
  <c r="K51" i="16"/>
  <c r="K39" i="16"/>
  <c r="K27" i="16"/>
  <c r="K70" i="16"/>
  <c r="K66" i="16"/>
  <c r="K62" i="16"/>
  <c r="K58" i="16"/>
  <c r="K54" i="16"/>
  <c r="K50" i="16"/>
  <c r="K46" i="16"/>
  <c r="K42" i="16"/>
  <c r="K38" i="16"/>
  <c r="K34" i="16"/>
  <c r="K30" i="16"/>
  <c r="K26" i="16"/>
  <c r="K22" i="16"/>
  <c r="K341" i="16"/>
  <c r="K337" i="16"/>
  <c r="K333" i="16"/>
  <c r="K329" i="16"/>
  <c r="K325" i="16"/>
  <c r="K321" i="16"/>
  <c r="K317" i="16"/>
  <c r="K313" i="16"/>
  <c r="K309" i="16"/>
  <c r="K305" i="16"/>
  <c r="K301" i="16"/>
  <c r="K297" i="16"/>
  <c r="K293" i="16"/>
  <c r="K289" i="16"/>
  <c r="K285" i="16"/>
  <c r="K281" i="16"/>
  <c r="K277" i="16"/>
  <c r="K409" i="16"/>
  <c r="K405" i="16"/>
  <c r="K401" i="16"/>
  <c r="K397" i="16"/>
  <c r="K392" i="16"/>
  <c r="K388" i="16"/>
  <c r="K384" i="16"/>
  <c r="K380" i="16"/>
  <c r="K376" i="16"/>
  <c r="K372" i="16"/>
  <c r="K368" i="16"/>
  <c r="K364" i="16"/>
  <c r="K272" i="16"/>
  <c r="K264" i="16"/>
  <c r="K71" i="16"/>
  <c r="K59" i="16"/>
  <c r="K47" i="16"/>
  <c r="K35" i="16"/>
  <c r="K69" i="16"/>
  <c r="K65" i="16"/>
  <c r="K61" i="16"/>
  <c r="K57" i="16"/>
  <c r="K53" i="16"/>
  <c r="K49" i="16"/>
  <c r="K45" i="16"/>
  <c r="K41" i="16"/>
  <c r="K37" i="16"/>
  <c r="K33" i="16"/>
  <c r="K29" i="16"/>
  <c r="K25" i="16"/>
  <c r="K21" i="16"/>
  <c r="K340" i="16"/>
  <c r="K336" i="16"/>
  <c r="K332" i="16"/>
  <c r="K328" i="16"/>
  <c r="K324" i="16"/>
  <c r="K320" i="16"/>
  <c r="K316" i="16"/>
  <c r="K312" i="16"/>
  <c r="K308" i="16"/>
  <c r="K304" i="16"/>
  <c r="K300" i="16"/>
  <c r="K296" i="16"/>
  <c r="K292" i="16"/>
  <c r="K288" i="16"/>
  <c r="K284" i="16"/>
  <c r="K280" i="16"/>
  <c r="K408" i="16"/>
  <c r="K404" i="16"/>
  <c r="K400" i="16"/>
  <c r="K396" i="16"/>
  <c r="K391" i="16"/>
  <c r="K387" i="16"/>
  <c r="K383" i="16"/>
  <c r="K379" i="16"/>
  <c r="K375" i="16"/>
  <c r="K371" i="16"/>
  <c r="K367" i="16"/>
  <c r="K363" i="16"/>
  <c r="K271" i="16"/>
  <c r="AB112" i="16"/>
  <c r="I276" i="16" l="1"/>
  <c r="K276" i="16" s="1"/>
  <c r="I499" i="16"/>
  <c r="H84" i="44" s="1"/>
  <c r="BJ112" i="16"/>
  <c r="J259" i="16" l="1"/>
  <c r="L259" i="16"/>
  <c r="K262" i="16"/>
  <c r="BJ166" i="16"/>
  <c r="BB165" i="16"/>
  <c r="BL165" i="16" l="1"/>
  <c r="AB156" i="16"/>
  <c r="AL158" i="16"/>
  <c r="BK158" i="16" s="1"/>
  <c r="BB158" i="16"/>
  <c r="BL158" i="16" s="1"/>
  <c r="K259" i="16"/>
  <c r="AL157" i="16"/>
  <c r="BK157" i="16" l="1"/>
  <c r="AL173" i="16"/>
  <c r="BJ156" i="16"/>
  <c r="BB494" i="16"/>
  <c r="BB498" i="16" s="1"/>
  <c r="BB505" i="16" s="1"/>
  <c r="BB526" i="16" s="1"/>
  <c r="BB495" i="16"/>
  <c r="L158" i="16"/>
  <c r="J158" i="16"/>
  <c r="AL159" i="16"/>
  <c r="J157" i="16"/>
  <c r="BK173" i="16" l="1"/>
  <c r="AL172" i="16"/>
  <c r="BK172" i="16" s="1"/>
  <c r="M49" i="44"/>
  <c r="BE157" i="16"/>
  <c r="BB503" i="16"/>
  <c r="K157" i="16"/>
  <c r="K158" i="16"/>
  <c r="BK159" i="16"/>
  <c r="BJ77" i="16"/>
  <c r="BC77" i="16"/>
  <c r="BC496" i="16" s="1"/>
  <c r="BC74" i="16"/>
  <c r="BL74" i="16" s="1"/>
  <c r="BA6" i="16"/>
  <c r="BL6" i="16" s="1"/>
  <c r="BL157" i="16" l="1"/>
  <c r="L157" i="16"/>
  <c r="BC493" i="16"/>
  <c r="BL72" i="16"/>
  <c r="BC126" i="16"/>
  <c r="BC143" i="16" s="1"/>
  <c r="BC181" i="16" s="1"/>
  <c r="BC486" i="16" s="1"/>
  <c r="BL77" i="16"/>
  <c r="BC494" i="16"/>
  <c r="AB78" i="16"/>
  <c r="AL13" i="16"/>
  <c r="BK13" i="16" s="1"/>
  <c r="AL74" i="16"/>
  <c r="BK74" i="16" s="1"/>
  <c r="AZ13" i="16"/>
  <c r="BL13" i="16" s="1"/>
  <c r="AL6" i="16"/>
  <c r="BK6" i="16" s="1"/>
  <c r="AL73" i="16"/>
  <c r="BK73" i="16" s="1"/>
  <c r="AA78" i="16" l="1"/>
  <c r="W78" i="16"/>
  <c r="W72" i="16" s="1"/>
  <c r="S78" i="16"/>
  <c r="S72" i="16" s="1"/>
  <c r="O78" i="16"/>
  <c r="O72" i="16" s="1"/>
  <c r="Z78" i="16"/>
  <c r="Z72" i="16" s="1"/>
  <c r="V78" i="16"/>
  <c r="V72" i="16" s="1"/>
  <c r="R78" i="16"/>
  <c r="R72" i="16" s="1"/>
  <c r="U78" i="16"/>
  <c r="U72" i="16" s="1"/>
  <c r="T78" i="16"/>
  <c r="T72" i="16" s="1"/>
  <c r="N78" i="16"/>
  <c r="Y78" i="16"/>
  <c r="Y72" i="16" s="1"/>
  <c r="Q78" i="16"/>
  <c r="Q72" i="16" s="1"/>
  <c r="X78" i="16"/>
  <c r="X72" i="16" s="1"/>
  <c r="P78" i="16"/>
  <c r="P72" i="16" s="1"/>
  <c r="BC490" i="16"/>
  <c r="BC498" i="16"/>
  <c r="BC505" i="16" s="1"/>
  <c r="BC526" i="16" s="1"/>
  <c r="BC503" i="16"/>
  <c r="BJ78" i="16"/>
  <c r="AB72" i="16"/>
  <c r="J6" i="16"/>
  <c r="L6" i="16"/>
  <c r="J13" i="16"/>
  <c r="L13" i="16"/>
  <c r="L73" i="16"/>
  <c r="J73" i="16"/>
  <c r="L74" i="16"/>
  <c r="J74" i="16"/>
  <c r="K13" i="16" l="1"/>
  <c r="K73" i="16"/>
  <c r="BJ72" i="16"/>
  <c r="K74" i="16"/>
  <c r="K6" i="16"/>
  <c r="AB17" i="16"/>
  <c r="AA17" i="16" l="1"/>
  <c r="W17" i="16"/>
  <c r="S17" i="16"/>
  <c r="O17" i="16"/>
  <c r="V17" i="16"/>
  <c r="R17" i="16"/>
  <c r="U17" i="16"/>
  <c r="T17" i="16"/>
  <c r="Z17" i="16"/>
  <c r="N17" i="16"/>
  <c r="Y17" i="16"/>
  <c r="Q17" i="16"/>
  <c r="X17" i="16"/>
  <c r="P17" i="16"/>
  <c r="BJ17" i="16"/>
  <c r="AB15" i="16"/>
  <c r="AB10" i="16"/>
  <c r="Y15" i="16" l="1"/>
  <c r="U15" i="16"/>
  <c r="Q15" i="16"/>
  <c r="X15" i="16"/>
  <c r="P15" i="16"/>
  <c r="AA15" i="16"/>
  <c r="S15" i="16"/>
  <c r="O15" i="16"/>
  <c r="Z15" i="16"/>
  <c r="R15" i="16"/>
  <c r="T15" i="16"/>
  <c r="W15" i="16"/>
  <c r="V15" i="16"/>
  <c r="N15" i="16"/>
  <c r="AA10" i="16"/>
  <c r="W10" i="16"/>
  <c r="S10" i="16"/>
  <c r="O10" i="16"/>
  <c r="Z10" i="16"/>
  <c r="R10" i="16"/>
  <c r="U10" i="16"/>
  <c r="X10" i="16"/>
  <c r="P10" i="16"/>
  <c r="V10" i="16"/>
  <c r="N10" i="16"/>
  <c r="Y10" i="16"/>
  <c r="Q10" i="16"/>
  <c r="T10" i="16"/>
  <c r="AA75" i="16"/>
  <c r="AA159" i="16"/>
  <c r="N159" i="16"/>
  <c r="N75" i="16"/>
  <c r="AA165" i="16"/>
  <c r="BJ10" i="16"/>
  <c r="BJ15" i="16"/>
  <c r="AB11" i="16"/>
  <c r="N77" i="16"/>
  <c r="AA77" i="16"/>
  <c r="AB8" i="16"/>
  <c r="N72" i="16" l="1"/>
  <c r="Z11" i="16"/>
  <c r="Z96" i="16" s="1"/>
  <c r="Q8" i="16"/>
  <c r="U8" i="16"/>
  <c r="Y8" i="16"/>
  <c r="R8" i="16"/>
  <c r="Z8" i="16"/>
  <c r="O8" i="16"/>
  <c r="W8" i="16"/>
  <c r="T8" i="16"/>
  <c r="V8" i="16"/>
  <c r="S8" i="16"/>
  <c r="AA8" i="16"/>
  <c r="P8" i="16"/>
  <c r="X8" i="16"/>
  <c r="N8" i="16"/>
  <c r="T11" i="16"/>
  <c r="U11" i="16"/>
  <c r="S11" i="16"/>
  <c r="X11" i="16"/>
  <c r="Y11" i="16"/>
  <c r="W11" i="16"/>
  <c r="O11" i="16"/>
  <c r="R11" i="16"/>
  <c r="P11" i="16"/>
  <c r="Q11" i="16"/>
  <c r="V11" i="16"/>
  <c r="AB4" i="16"/>
  <c r="Q26" i="17" s="1"/>
  <c r="BJ11" i="16"/>
  <c r="BI75" i="16"/>
  <c r="BI159" i="16"/>
  <c r="J159" i="16"/>
  <c r="L159" i="16"/>
  <c r="BI14" i="16"/>
  <c r="BI165" i="16"/>
  <c r="BI16" i="16"/>
  <c r="BI9" i="16"/>
  <c r="BI7" i="16"/>
  <c r="BI77" i="16"/>
  <c r="BJ8" i="16"/>
  <c r="L14" i="16"/>
  <c r="J9" i="16"/>
  <c r="J14" i="16"/>
  <c r="J16" i="16"/>
  <c r="J75" i="16"/>
  <c r="L75" i="16"/>
  <c r="J77" i="16"/>
  <c r="L77" i="16"/>
  <c r="L165" i="16"/>
  <c r="J165" i="16"/>
  <c r="Z93" i="16" l="1"/>
  <c r="Z90" i="16"/>
  <c r="Z4" i="16"/>
  <c r="Z94" i="16" s="1"/>
  <c r="V93" i="16"/>
  <c r="V90" i="16"/>
  <c r="V96" i="16"/>
  <c r="P96" i="16"/>
  <c r="P90" i="16"/>
  <c r="P93" i="16"/>
  <c r="O93" i="16"/>
  <c r="O90" i="16"/>
  <c r="O96" i="16"/>
  <c r="W4" i="16"/>
  <c r="O4" i="16"/>
  <c r="D26" i="17" s="1"/>
  <c r="R4" i="16"/>
  <c r="P4" i="16"/>
  <c r="Q4" i="16"/>
  <c r="V4" i="16"/>
  <c r="X96" i="16"/>
  <c r="X90" i="16"/>
  <c r="X93" i="16"/>
  <c r="U90" i="16"/>
  <c r="U93" i="16"/>
  <c r="U96" i="16"/>
  <c r="Q90" i="16"/>
  <c r="Q93" i="16"/>
  <c r="Q96" i="16"/>
  <c r="R93" i="16"/>
  <c r="R90" i="16"/>
  <c r="R96" i="16"/>
  <c r="W96" i="16"/>
  <c r="W93" i="16"/>
  <c r="W90" i="16"/>
  <c r="T4" i="16"/>
  <c r="U4" i="16"/>
  <c r="J26" i="17" s="1"/>
  <c r="S4" i="16"/>
  <c r="X4" i="16"/>
  <c r="M26" i="17" s="1"/>
  <c r="Y4" i="16"/>
  <c r="Y96" i="16"/>
  <c r="Y90" i="16"/>
  <c r="Y93" i="16"/>
  <c r="S96" i="16"/>
  <c r="S90" i="16"/>
  <c r="S93" i="16"/>
  <c r="T93" i="16"/>
  <c r="T96" i="16"/>
  <c r="T90" i="16"/>
  <c r="BJ4" i="16"/>
  <c r="N166" i="16"/>
  <c r="AA166" i="16"/>
  <c r="K77" i="16"/>
  <c r="K165" i="16"/>
  <c r="K159" i="16"/>
  <c r="K75" i="16"/>
  <c r="AI81" i="16"/>
  <c r="Z92" i="16" l="1"/>
  <c r="Z97" i="16"/>
  <c r="Z95" i="16" s="1"/>
  <c r="Q88" i="16"/>
  <c r="F26" i="17"/>
  <c r="R88" i="16"/>
  <c r="G26" i="17"/>
  <c r="W88" i="16"/>
  <c r="L26" i="17"/>
  <c r="S88" i="16"/>
  <c r="H26" i="17"/>
  <c r="T88" i="16"/>
  <c r="I26" i="17"/>
  <c r="V88" i="16"/>
  <c r="K26" i="17"/>
  <c r="Y88" i="16"/>
  <c r="N26" i="17"/>
  <c r="P88" i="16"/>
  <c r="E26" i="17"/>
  <c r="Z88" i="16"/>
  <c r="O26" i="17"/>
  <c r="Z91" i="16"/>
  <c r="Z89" i="16" s="1"/>
  <c r="O94" i="16"/>
  <c r="O92" i="16" s="1"/>
  <c r="O91" i="16"/>
  <c r="O89" i="16" s="1"/>
  <c r="O97" i="16"/>
  <c r="O95" i="16" s="1"/>
  <c r="O88" i="16"/>
  <c r="Y97" i="16"/>
  <c r="Y95" i="16" s="1"/>
  <c r="Y94" i="16"/>
  <c r="Y92" i="16" s="1"/>
  <c r="Y91" i="16"/>
  <c r="T94" i="16"/>
  <c r="T92" i="16" s="1"/>
  <c r="T97" i="16"/>
  <c r="T95" i="16" s="1"/>
  <c r="T91" i="16"/>
  <c r="T89" i="16" s="1"/>
  <c r="R94" i="16"/>
  <c r="R92" i="16" s="1"/>
  <c r="R97" i="16"/>
  <c r="R95" i="16" s="1"/>
  <c r="R91" i="16"/>
  <c r="X97" i="16"/>
  <c r="X95" i="16" s="1"/>
  <c r="X94" i="16"/>
  <c r="X92" i="16" s="1"/>
  <c r="X91" i="16"/>
  <c r="X89" i="16" s="1"/>
  <c r="V91" i="16"/>
  <c r="V89" i="16" s="1"/>
  <c r="V94" i="16"/>
  <c r="V92" i="16" s="1"/>
  <c r="V97" i="16"/>
  <c r="V95" i="16" s="1"/>
  <c r="U94" i="16"/>
  <c r="U92" i="16" s="1"/>
  <c r="U91" i="16"/>
  <c r="U89" i="16" s="1"/>
  <c r="U97" i="16"/>
  <c r="U95" i="16" s="1"/>
  <c r="U88" i="16"/>
  <c r="X88" i="16"/>
  <c r="P94" i="16"/>
  <c r="P92" i="16" s="1"/>
  <c r="P91" i="16"/>
  <c r="P89" i="16" s="1"/>
  <c r="P97" i="16"/>
  <c r="P95" i="16" s="1"/>
  <c r="S97" i="16"/>
  <c r="S95" i="16" s="1"/>
  <c r="S91" i="16"/>
  <c r="S94" i="16"/>
  <c r="S92" i="16" s="1"/>
  <c r="Q94" i="16"/>
  <c r="Q92" i="16" s="1"/>
  <c r="Q91" i="16"/>
  <c r="Q97" i="16"/>
  <c r="Q95" i="16" s="1"/>
  <c r="W94" i="16"/>
  <c r="W92" i="16" s="1"/>
  <c r="W91" i="16"/>
  <c r="W89" i="16" s="1"/>
  <c r="W97" i="16"/>
  <c r="W95" i="16" s="1"/>
  <c r="AI88" i="16"/>
  <c r="AI97" i="16"/>
  <c r="AI91" i="16"/>
  <c r="AI89" i="16" s="1"/>
  <c r="AI94" i="16"/>
  <c r="J8" i="16"/>
  <c r="BI8" i="16"/>
  <c r="L8" i="16"/>
  <c r="BI489" i="16"/>
  <c r="N81" i="16"/>
  <c r="N11" i="16"/>
  <c r="J353" i="16"/>
  <c r="L353" i="16"/>
  <c r="BI353" i="16"/>
  <c r="AA11" i="16"/>
  <c r="AA184" i="16"/>
  <c r="BI78" i="16"/>
  <c r="J78" i="16"/>
  <c r="L78" i="16"/>
  <c r="J134" i="16"/>
  <c r="M32" i="44" s="1"/>
  <c r="L134" i="16"/>
  <c r="BI185" i="16"/>
  <c r="N184" i="16"/>
  <c r="L185" i="16"/>
  <c r="J185" i="16"/>
  <c r="BI187" i="16"/>
  <c r="J187" i="16"/>
  <c r="L187" i="16"/>
  <c r="J108" i="16"/>
  <c r="L108" i="16"/>
  <c r="BI108" i="16"/>
  <c r="BI113" i="16"/>
  <c r="J113" i="16"/>
  <c r="BI104" i="16"/>
  <c r="N103" i="16"/>
  <c r="J104" i="16"/>
  <c r="L104" i="16"/>
  <c r="BI352" i="16"/>
  <c r="J352" i="16"/>
  <c r="L352" i="16"/>
  <c r="BI10" i="16"/>
  <c r="L10" i="16"/>
  <c r="J10" i="16"/>
  <c r="AA112" i="16"/>
  <c r="AA501" i="16"/>
  <c r="AA348" i="16"/>
  <c r="BI121" i="16"/>
  <c r="L121" i="16"/>
  <c r="J121" i="16"/>
  <c r="BI114" i="16"/>
  <c r="J114" i="16"/>
  <c r="BI101" i="16"/>
  <c r="L101" i="16"/>
  <c r="J101" i="16"/>
  <c r="M19" i="44" s="1"/>
  <c r="L130" i="16"/>
  <c r="BI130" i="16"/>
  <c r="J130" i="16"/>
  <c r="M28" i="44" s="1"/>
  <c r="BI79" i="16"/>
  <c r="BI76" i="16"/>
  <c r="L76" i="16"/>
  <c r="J76" i="16"/>
  <c r="J111" i="16"/>
  <c r="L111" i="16"/>
  <c r="BI111" i="16"/>
  <c r="BI117" i="16"/>
  <c r="J117" i="16"/>
  <c r="L117" i="16"/>
  <c r="BI268" i="16"/>
  <c r="N501" i="16"/>
  <c r="L268" i="16"/>
  <c r="N348" i="16"/>
  <c r="N347" i="16" s="1"/>
  <c r="BI349" i="16"/>
  <c r="L349" i="16"/>
  <c r="J349" i="16"/>
  <c r="J166" i="16"/>
  <c r="L166" i="16"/>
  <c r="BI166" i="16"/>
  <c r="BI123" i="16"/>
  <c r="AA103" i="16"/>
  <c r="AA106" i="16"/>
  <c r="AA500" i="16"/>
  <c r="BI120" i="16"/>
  <c r="J120" i="16"/>
  <c r="L120" i="16"/>
  <c r="N119" i="16"/>
  <c r="BI186" i="16"/>
  <c r="J186" i="16"/>
  <c r="L186" i="16"/>
  <c r="L17" i="16"/>
  <c r="J17" i="16"/>
  <c r="BI17" i="16"/>
  <c r="BI15" i="16"/>
  <c r="L15" i="16"/>
  <c r="J15" i="16"/>
  <c r="BI105" i="16"/>
  <c r="J105" i="16"/>
  <c r="L105" i="16"/>
  <c r="BI107" i="16"/>
  <c r="L107" i="16"/>
  <c r="N106" i="16"/>
  <c r="J107" i="16"/>
  <c r="BI116" i="16"/>
  <c r="L116" i="16"/>
  <c r="J116" i="16"/>
  <c r="N115" i="16"/>
  <c r="J489" i="16"/>
  <c r="L489" i="16"/>
  <c r="BI269" i="16"/>
  <c r="N500" i="16"/>
  <c r="J269" i="16"/>
  <c r="AA119" i="16"/>
  <c r="BI133" i="16"/>
  <c r="L133" i="16"/>
  <c r="J133" i="16"/>
  <c r="M31" i="44" s="1"/>
  <c r="BI110" i="16"/>
  <c r="L110" i="16"/>
  <c r="J110" i="16"/>
  <c r="BI350" i="16"/>
  <c r="J350" i="16"/>
  <c r="L350" i="16"/>
  <c r="BI168" i="16"/>
  <c r="AA115" i="16"/>
  <c r="AA351" i="16"/>
  <c r="AA156" i="16"/>
  <c r="AA4" i="16"/>
  <c r="P26" i="17" s="1"/>
  <c r="AA72" i="16"/>
  <c r="N4" i="16"/>
  <c r="C26" i="17" s="1"/>
  <c r="BK81" i="16"/>
  <c r="N156" i="16"/>
  <c r="J184" i="16" l="1"/>
  <c r="Z126" i="16"/>
  <c r="Z143" i="16" s="1"/>
  <c r="P126" i="16"/>
  <c r="P143" i="16" s="1"/>
  <c r="V126" i="16"/>
  <c r="V143" i="16" s="1"/>
  <c r="W126" i="16"/>
  <c r="W143" i="16" s="1"/>
  <c r="T126" i="16"/>
  <c r="T143" i="16" s="1"/>
  <c r="S89" i="16"/>
  <c r="X126" i="16"/>
  <c r="X143" i="16" s="1"/>
  <c r="R89" i="16"/>
  <c r="Q89" i="16"/>
  <c r="U126" i="16"/>
  <c r="U143" i="16" s="1"/>
  <c r="Y89" i="16"/>
  <c r="O126" i="16"/>
  <c r="O143" i="16" s="1"/>
  <c r="N91" i="16"/>
  <c r="N94" i="16"/>
  <c r="N97" i="16"/>
  <c r="BI156" i="16"/>
  <c r="AA485" i="16"/>
  <c r="N485" i="16"/>
  <c r="N497" i="16"/>
  <c r="J267" i="16"/>
  <c r="K9" i="45" s="1"/>
  <c r="K8" i="16"/>
  <c r="J11" i="16"/>
  <c r="M3" i="44" s="1"/>
  <c r="AI495" i="16"/>
  <c r="BI11" i="16"/>
  <c r="BI501" i="16"/>
  <c r="BI500" i="16"/>
  <c r="L501" i="16"/>
  <c r="K350" i="16"/>
  <c r="K105" i="16"/>
  <c r="K17" i="16"/>
  <c r="K186" i="16"/>
  <c r="L184" i="16"/>
  <c r="BI184" i="16"/>
  <c r="K134" i="16"/>
  <c r="K78" i="16"/>
  <c r="K101" i="16"/>
  <c r="K114" i="16"/>
  <c r="K121" i="16"/>
  <c r="BI177" i="16"/>
  <c r="K269" i="16"/>
  <c r="L115" i="16"/>
  <c r="J115" i="16"/>
  <c r="BI115" i="16"/>
  <c r="K120" i="16"/>
  <c r="AA102" i="16"/>
  <c r="K166" i="16"/>
  <c r="K352" i="16"/>
  <c r="K104" i="16"/>
  <c r="BI112" i="16"/>
  <c r="J112" i="16"/>
  <c r="M22" i="44" s="1"/>
  <c r="L112" i="16"/>
  <c r="BI267" i="16"/>
  <c r="K76" i="16"/>
  <c r="K133" i="16"/>
  <c r="BI174" i="16"/>
  <c r="K116" i="16"/>
  <c r="K107" i="16"/>
  <c r="BI348" i="16"/>
  <c r="L348" i="16"/>
  <c r="J348" i="16"/>
  <c r="K117" i="16"/>
  <c r="AA347" i="16"/>
  <c r="J103" i="16"/>
  <c r="N102" i="16"/>
  <c r="L103" i="16"/>
  <c r="BI103" i="16"/>
  <c r="K113" i="16"/>
  <c r="K185" i="16"/>
  <c r="K353" i="16"/>
  <c r="AA502" i="16"/>
  <c r="K110" i="16"/>
  <c r="BI171" i="16"/>
  <c r="N502" i="16"/>
  <c r="K489" i="16"/>
  <c r="BI106" i="16"/>
  <c r="L106" i="16"/>
  <c r="J106" i="16"/>
  <c r="K15" i="16"/>
  <c r="BI119" i="16"/>
  <c r="L119" i="16"/>
  <c r="J119" i="16"/>
  <c r="K349" i="16"/>
  <c r="K268" i="16"/>
  <c r="J501" i="16"/>
  <c r="K111" i="16"/>
  <c r="K130" i="16"/>
  <c r="K10" i="16"/>
  <c r="J351" i="16"/>
  <c r="BI351" i="16"/>
  <c r="L351" i="16"/>
  <c r="K108" i="16"/>
  <c r="K187" i="16"/>
  <c r="BI72" i="16"/>
  <c r="BI4" i="16"/>
  <c r="J72" i="16"/>
  <c r="M5" i="44" s="1"/>
  <c r="L72" i="16"/>
  <c r="AI95" i="16"/>
  <c r="AI92" i="16"/>
  <c r="AI494" i="16"/>
  <c r="L156" i="16"/>
  <c r="J156" i="16"/>
  <c r="M48" i="44" s="1"/>
  <c r="AL12" i="16"/>
  <c r="K14" i="16"/>
  <c r="AZ16" i="16"/>
  <c r="AZ496" i="16" s="1"/>
  <c r="K16" i="16"/>
  <c r="Y126" i="16" l="1"/>
  <c r="Y143" i="16" s="1"/>
  <c r="R126" i="16"/>
  <c r="R143" i="16" s="1"/>
  <c r="S126" i="16"/>
  <c r="S143" i="16" s="1"/>
  <c r="Q126" i="16"/>
  <c r="Q143" i="16" s="1"/>
  <c r="J488" i="16"/>
  <c r="BI485" i="16"/>
  <c r="BI502" i="16"/>
  <c r="AA497" i="16"/>
  <c r="AA504" i="16" s="1"/>
  <c r="J141" i="16"/>
  <c r="M39" i="44" s="1"/>
  <c r="BI141" i="16"/>
  <c r="L141" i="16"/>
  <c r="AA487" i="16"/>
  <c r="N504" i="16"/>
  <c r="BK12" i="16"/>
  <c r="AL496" i="16"/>
  <c r="BI347" i="16"/>
  <c r="L347" i="16"/>
  <c r="J347" i="16"/>
  <c r="K11" i="45" s="1"/>
  <c r="K103" i="16"/>
  <c r="K348" i="16"/>
  <c r="AA499" i="16"/>
  <c r="K184" i="16"/>
  <c r="N499" i="16"/>
  <c r="K112" i="16"/>
  <c r="AI493" i="16"/>
  <c r="K351" i="16"/>
  <c r="K501" i="16"/>
  <c r="K119" i="16"/>
  <c r="K106" i="16"/>
  <c r="BI102" i="16"/>
  <c r="L102" i="16"/>
  <c r="J102" i="16"/>
  <c r="M20" i="44" s="1"/>
  <c r="K115" i="16"/>
  <c r="AZ494" i="16"/>
  <c r="AZ503" i="16" s="1"/>
  <c r="AI126" i="16"/>
  <c r="AI143" i="16" s="1"/>
  <c r="AI181" i="16" s="1"/>
  <c r="AI486" i="16" s="1"/>
  <c r="L16" i="16"/>
  <c r="BL16" i="16"/>
  <c r="AI503" i="16"/>
  <c r="AI498" i="16"/>
  <c r="AI505" i="16" s="1"/>
  <c r="AI526" i="16" s="1"/>
  <c r="J12" i="16"/>
  <c r="L12" i="16"/>
  <c r="BA9" i="16"/>
  <c r="BA495" i="16" s="1"/>
  <c r="BI198" i="16" l="1"/>
  <c r="BI497" i="16"/>
  <c r="K141" i="16"/>
  <c r="BI488" i="16"/>
  <c r="L488" i="16"/>
  <c r="N487" i="16"/>
  <c r="BI499" i="16"/>
  <c r="BI504" i="16"/>
  <c r="AI490" i="16"/>
  <c r="K102" i="16"/>
  <c r="K12" i="16"/>
  <c r="AZ498" i="16"/>
  <c r="AZ505" i="16" s="1"/>
  <c r="AZ526" i="16" s="1"/>
  <c r="BA493" i="16"/>
  <c r="BA126" i="16"/>
  <c r="BA143" i="16" s="1"/>
  <c r="BA181" i="16" s="1"/>
  <c r="BA486" i="16" s="1"/>
  <c r="BL4" i="16"/>
  <c r="AZ493" i="16"/>
  <c r="BL11" i="16"/>
  <c r="L11" i="16"/>
  <c r="BL9" i="16"/>
  <c r="BA494" i="16"/>
  <c r="L9" i="16"/>
  <c r="K9" i="16"/>
  <c r="AL5" i="16"/>
  <c r="BK5" i="16" s="1"/>
  <c r="L198" i="16" l="1"/>
  <c r="J198" i="16"/>
  <c r="BJ198" i="16"/>
  <c r="J487" i="16"/>
  <c r="M75" i="44" s="1"/>
  <c r="BI487" i="16"/>
  <c r="L487" i="16"/>
  <c r="K488" i="16"/>
  <c r="BA490" i="16"/>
  <c r="BK509" i="16"/>
  <c r="BL512" i="16"/>
  <c r="BL88" i="16"/>
  <c r="AZ126" i="16"/>
  <c r="AZ143" i="16" s="1"/>
  <c r="AZ181" i="16" s="1"/>
  <c r="AZ486" i="16" s="1"/>
  <c r="BA503" i="16"/>
  <c r="BA498" i="16"/>
  <c r="BA505" i="16" s="1"/>
  <c r="BA526" i="16" s="1"/>
  <c r="L5" i="16"/>
  <c r="J5" i="16"/>
  <c r="AL7" i="16"/>
  <c r="K198" i="16" l="1"/>
  <c r="K487" i="16"/>
  <c r="AZ490" i="16"/>
  <c r="K5" i="16"/>
  <c r="BK4" i="16"/>
  <c r="AL495" i="16"/>
  <c r="L4" i="16"/>
  <c r="J4" i="16"/>
  <c r="M2" i="44" s="1"/>
  <c r="BK7" i="16"/>
  <c r="J7" i="16"/>
  <c r="L7" i="16"/>
  <c r="AL494" i="16" l="1"/>
  <c r="AL503" i="16" s="1"/>
  <c r="AL95" i="16"/>
  <c r="BK97" i="16"/>
  <c r="BK88" i="16"/>
  <c r="AL92" i="16"/>
  <c r="BK92" i="16" s="1"/>
  <c r="BK94" i="16"/>
  <c r="AL89" i="16"/>
  <c r="BK91" i="16"/>
  <c r="K7" i="16"/>
  <c r="H5" i="16"/>
  <c r="AL498" i="16" l="1"/>
  <c r="AL505" i="16" s="1"/>
  <c r="AL526" i="16" s="1"/>
  <c r="BK89" i="16"/>
  <c r="AL493" i="16"/>
  <c r="AL126" i="16"/>
  <c r="AL143" i="16" s="1"/>
  <c r="AL181" i="16" s="1"/>
  <c r="AL486" i="16" s="1"/>
  <c r="K267" i="16"/>
  <c r="K274" i="16"/>
  <c r="K478" i="16"/>
  <c r="K347" i="16" l="1"/>
  <c r="K156" i="16" l="1"/>
  <c r="K98" i="16"/>
  <c r="K72" i="16"/>
  <c r="K11" i="16"/>
  <c r="AL490" i="16" l="1"/>
  <c r="BL99" i="16"/>
  <c r="AV143" i="16"/>
  <c r="AV181" i="16" s="1"/>
  <c r="AV486" i="16" s="1"/>
  <c r="AV494" i="16"/>
  <c r="AX494" i="16"/>
  <c r="AX143" i="16"/>
  <c r="AX181" i="16" s="1"/>
  <c r="AX486" i="16" s="1"/>
  <c r="AV493" i="16"/>
  <c r="AX493" i="16"/>
  <c r="I497" i="16"/>
  <c r="K4" i="16"/>
  <c r="K199" i="16"/>
  <c r="L123" i="16"/>
  <c r="H83" i="44" l="1"/>
  <c r="I504" i="16"/>
  <c r="I498" i="16"/>
  <c r="AV490" i="16"/>
  <c r="AX490" i="16"/>
  <c r="AQ126" i="16"/>
  <c r="AQ143" i="16" s="1"/>
  <c r="AQ496" i="16"/>
  <c r="BJ79" i="16"/>
  <c r="BL92" i="16"/>
  <c r="AW143" i="16"/>
  <c r="AW181" i="16" s="1"/>
  <c r="AW486" i="16" s="1"/>
  <c r="BL123" i="16"/>
  <c r="AW494" i="16"/>
  <c r="AQ494" i="16"/>
  <c r="BJ19" i="16"/>
  <c r="AA178" i="16"/>
  <c r="AX503" i="16"/>
  <c r="AX498" i="16"/>
  <c r="AX505" i="16" s="1"/>
  <c r="AX526" i="16" s="1"/>
  <c r="AY493" i="16"/>
  <c r="AW493" i="16"/>
  <c r="AQ493" i="16"/>
  <c r="AV503" i="16"/>
  <c r="AV498" i="16"/>
  <c r="AV505" i="16" s="1"/>
  <c r="AV526" i="16" s="1"/>
  <c r="M23" i="44"/>
  <c r="L79" i="16"/>
  <c r="J79" i="16"/>
  <c r="BL90" i="16"/>
  <c r="BL91" i="16"/>
  <c r="AQ181" i="16" l="1"/>
  <c r="AQ486" i="16" s="1"/>
  <c r="M6" i="44"/>
  <c r="AW490" i="16"/>
  <c r="BI19" i="16"/>
  <c r="L179" i="16"/>
  <c r="N178" i="16"/>
  <c r="J179" i="16"/>
  <c r="M61" i="44" s="1"/>
  <c r="AQ503" i="16"/>
  <c r="AQ498" i="16"/>
  <c r="AW503" i="16"/>
  <c r="AW498" i="16"/>
  <c r="AW505" i="16" s="1"/>
  <c r="AW526" i="16" s="1"/>
  <c r="AY503" i="16"/>
  <c r="AY498" i="16"/>
  <c r="AY505" i="16" s="1"/>
  <c r="AY526" i="16" s="1"/>
  <c r="AA18" i="16"/>
  <c r="AA90" i="16" s="1"/>
  <c r="AB18" i="16"/>
  <c r="AB90" i="16" s="1"/>
  <c r="N18" i="16"/>
  <c r="L19" i="16"/>
  <c r="J19" i="16"/>
  <c r="L257" i="16"/>
  <c r="J257" i="16"/>
  <c r="K5" i="45" s="1"/>
  <c r="K79" i="16"/>
  <c r="AF175" i="16" l="1"/>
  <c r="BK175" i="16" s="1"/>
  <c r="AF495" i="16"/>
  <c r="BK176" i="16"/>
  <c r="N88" i="16"/>
  <c r="N90" i="16"/>
  <c r="J18" i="16"/>
  <c r="AQ505" i="16"/>
  <c r="AQ526" i="16" s="1"/>
  <c r="AQ490" i="16"/>
  <c r="BJ18" i="16"/>
  <c r="K179" i="16"/>
  <c r="BI178" i="16"/>
  <c r="BL89" i="16"/>
  <c r="BI18" i="16"/>
  <c r="AB96" i="16"/>
  <c r="AB93" i="16"/>
  <c r="AA96" i="16"/>
  <c r="AA93" i="16"/>
  <c r="N93" i="16"/>
  <c r="N96" i="16"/>
  <c r="J178" i="16"/>
  <c r="M60" i="44" s="1"/>
  <c r="L178" i="16"/>
  <c r="K19" i="16"/>
  <c r="L18" i="16"/>
  <c r="K257" i="16"/>
  <c r="L113" i="16"/>
  <c r="L114" i="16"/>
  <c r="K18" i="16" l="1"/>
  <c r="M4" i="44"/>
  <c r="BJ90" i="16"/>
  <c r="K178" i="16"/>
  <c r="BJ93" i="16"/>
  <c r="BJ96" i="16"/>
  <c r="BL126" i="16"/>
  <c r="BI96" i="16"/>
  <c r="BI90" i="16"/>
  <c r="BI93" i="16"/>
  <c r="J90" i="16"/>
  <c r="L90" i="16"/>
  <c r="J93" i="16"/>
  <c r="Q44" i="12"/>
  <c r="L171" i="16"/>
  <c r="J171" i="16"/>
  <c r="M53" i="44" s="1"/>
  <c r="BL93" i="16" l="1"/>
  <c r="K93" i="16"/>
  <c r="K171" i="16"/>
  <c r="BL143" i="16"/>
  <c r="K90" i="16"/>
  <c r="L93" i="16"/>
  <c r="J174" i="16"/>
  <c r="M56" i="44" s="1"/>
  <c r="L174" i="16"/>
  <c r="BL496" i="16" l="1"/>
  <c r="K174" i="16"/>
  <c r="J168" i="16"/>
  <c r="M50" i="44" l="1"/>
  <c r="BE168" i="16"/>
  <c r="BL508" i="16"/>
  <c r="BL509" i="16"/>
  <c r="K168" i="16"/>
  <c r="BE495" i="16" l="1"/>
  <c r="BL495" i="16" s="1"/>
  <c r="BE493" i="16"/>
  <c r="BL493" i="16" s="1"/>
  <c r="BE181" i="16"/>
  <c r="BE494" i="16"/>
  <c r="BL168" i="16"/>
  <c r="L168" i="16"/>
  <c r="AA109" i="16"/>
  <c r="BJ109" i="16"/>
  <c r="N109" i="16"/>
  <c r="BE503" i="16" l="1"/>
  <c r="BE498" i="16"/>
  <c r="BE505" i="16" s="1"/>
  <c r="BE526" i="16" s="1"/>
  <c r="BL526" i="16" s="1"/>
  <c r="BE486" i="16"/>
  <c r="BL181" i="16"/>
  <c r="BI509" i="16"/>
  <c r="BI109" i="16"/>
  <c r="J109" i="16"/>
  <c r="M21" i="44" s="1"/>
  <c r="L109" i="16"/>
  <c r="BE490" i="16" l="1"/>
  <c r="BL490" i="16" s="1"/>
  <c r="BL486" i="16"/>
  <c r="BJ509" i="16"/>
  <c r="K109" i="16"/>
  <c r="N92" i="16" l="1"/>
  <c r="N89" i="16"/>
  <c r="N95" i="16"/>
  <c r="AA81" i="16" l="1"/>
  <c r="AA88" i="16" l="1"/>
  <c r="AA97" i="16"/>
  <c r="AA91" i="16"/>
  <c r="AA94" i="16"/>
  <c r="BI81" i="16"/>
  <c r="AA95" i="16" l="1"/>
  <c r="BI95" i="16" s="1"/>
  <c r="BI97" i="16"/>
  <c r="AA89" i="16"/>
  <c r="BI91" i="16"/>
  <c r="AA92" i="16"/>
  <c r="BI94" i="16"/>
  <c r="BI88" i="16"/>
  <c r="BI92" i="16" l="1"/>
  <c r="BI89" i="16"/>
  <c r="AB81" i="16"/>
  <c r="AB88" i="16" l="1"/>
  <c r="AB97" i="16"/>
  <c r="AB94" i="16"/>
  <c r="AB91" i="16"/>
  <c r="AA126" i="16"/>
  <c r="J100" i="16"/>
  <c r="BI100" i="16"/>
  <c r="L100" i="16"/>
  <c r="J99" i="16"/>
  <c r="M16" i="44" s="1"/>
  <c r="BI99" i="16"/>
  <c r="L99" i="16"/>
  <c r="N126" i="16"/>
  <c r="N143" i="16" s="1"/>
  <c r="J81" i="16"/>
  <c r="J88" i="16" s="1"/>
  <c r="BJ81" i="16"/>
  <c r="M8" i="44" l="1"/>
  <c r="K100" i="16"/>
  <c r="M17" i="44"/>
  <c r="AA143" i="16"/>
  <c r="BI126" i="16"/>
  <c r="K99" i="16"/>
  <c r="BJ91" i="16"/>
  <c r="BJ88" i="16"/>
  <c r="AB95" i="16"/>
  <c r="BJ97" i="16"/>
  <c r="AB92" i="16"/>
  <c r="BJ94" i="16"/>
  <c r="L81" i="16"/>
  <c r="L88" i="16" s="1"/>
  <c r="BL494" i="16"/>
  <c r="BL498" i="16" s="1"/>
  <c r="BL505" i="16" s="1"/>
  <c r="AB89" i="16"/>
  <c r="J89" i="16" s="1"/>
  <c r="M10" i="44" l="1"/>
  <c r="BI143" i="16"/>
  <c r="BJ95" i="16"/>
  <c r="BJ92" i="16"/>
  <c r="AB126" i="16"/>
  <c r="K81" i="16"/>
  <c r="K88" i="16" s="1"/>
  <c r="BJ89" i="16"/>
  <c r="J94" i="16"/>
  <c r="J91" i="16"/>
  <c r="L91" i="16"/>
  <c r="L97" i="16"/>
  <c r="J97" i="16"/>
  <c r="L94" i="16"/>
  <c r="BL503" i="16"/>
  <c r="K97" i="16" l="1"/>
  <c r="K94" i="16"/>
  <c r="BJ126" i="16"/>
  <c r="K91" i="16"/>
  <c r="L89" i="16"/>
  <c r="L92" i="16"/>
  <c r="AB143" i="16"/>
  <c r="J92" i="16"/>
  <c r="M11" i="44" l="1"/>
  <c r="K92" i="16"/>
  <c r="K89" i="16"/>
  <c r="BJ143" i="16"/>
  <c r="L508" i="16" l="1"/>
  <c r="J508" i="16"/>
  <c r="K508" i="16" s="1"/>
  <c r="BK360" i="16"/>
  <c r="L360" i="16" l="1"/>
  <c r="J360" i="16"/>
  <c r="K360" i="16" l="1"/>
  <c r="BK512" i="16" l="1"/>
  <c r="BK508" i="16" l="1"/>
  <c r="BI512" i="16" l="1"/>
  <c r="BI508" i="16" l="1"/>
  <c r="BJ512" i="16" l="1"/>
  <c r="BJ508" i="16" l="1"/>
  <c r="BK403" i="16" l="1"/>
  <c r="L403" i="16"/>
  <c r="BK359" i="16"/>
  <c r="J403" i="16"/>
  <c r="I403" i="16" s="1"/>
  <c r="I359" i="16" s="1"/>
  <c r="K403" i="16" l="1"/>
  <c r="BK500" i="16"/>
  <c r="BK502" i="16" s="1"/>
  <c r="L359" i="16"/>
  <c r="L500" i="16" s="1"/>
  <c r="J359" i="16"/>
  <c r="J500" i="16" s="1"/>
  <c r="J485" i="16" l="1"/>
  <c r="J502" i="16"/>
  <c r="BK485" i="16"/>
  <c r="L485" i="16"/>
  <c r="L502" i="16"/>
  <c r="BK355" i="16"/>
  <c r="BK499" i="16"/>
  <c r="L355" i="16"/>
  <c r="L499" i="16" s="1"/>
  <c r="K359" i="16"/>
  <c r="K500" i="16" s="1"/>
  <c r="I500" i="16"/>
  <c r="I485" i="16" s="1"/>
  <c r="I486" i="16" l="1"/>
  <c r="I490" i="16" s="1"/>
  <c r="I503" i="16"/>
  <c r="I502" i="16"/>
  <c r="I505" i="16" s="1"/>
  <c r="K485" i="16"/>
  <c r="K502" i="16"/>
  <c r="K13" i="45"/>
  <c r="J499" i="16"/>
  <c r="K355" i="16"/>
  <c r="K499" i="16" s="1"/>
  <c r="I526" i="16" l="1"/>
  <c r="BK96" i="16"/>
  <c r="AF496" i="16"/>
  <c r="J96" i="16"/>
  <c r="AF494" i="16"/>
  <c r="AF503" i="16" s="1"/>
  <c r="L96" i="16"/>
  <c r="AF95" i="16"/>
  <c r="BK95" i="16" l="1"/>
  <c r="BK126" i="16" s="1"/>
  <c r="J95" i="16"/>
  <c r="L95" i="16"/>
  <c r="K96" i="16"/>
  <c r="AF126" i="16"/>
  <c r="AF143" i="16" s="1"/>
  <c r="AF493" i="16"/>
  <c r="BK493" i="16" s="1"/>
  <c r="BK129" i="16"/>
  <c r="L129" i="16"/>
  <c r="J129" i="16"/>
  <c r="K129" i="16" s="1"/>
  <c r="L126" i="16" l="1"/>
  <c r="L143" i="16" s="1"/>
  <c r="J126" i="16"/>
  <c r="J143" i="16" s="1"/>
  <c r="K95" i="16"/>
  <c r="K126" i="16" s="1"/>
  <c r="K143" i="16" s="1"/>
  <c r="BK143" i="16"/>
  <c r="AF181" i="16"/>
  <c r="BK181" i="16" s="1"/>
  <c r="M27" i="44"/>
  <c r="BK177" i="16"/>
  <c r="AF497" i="16"/>
  <c r="AF504" i="16" s="1"/>
  <c r="BK504" i="16" s="1"/>
  <c r="L177" i="16"/>
  <c r="L497" i="16" s="1"/>
  <c r="J177" i="16"/>
  <c r="J497" i="16" s="1"/>
  <c r="AF486" i="16" l="1"/>
  <c r="J504" i="16"/>
  <c r="K497" i="16"/>
  <c r="K504" i="16" s="1"/>
  <c r="L504" i="16"/>
  <c r="BK497" i="16"/>
  <c r="M59" i="44"/>
  <c r="AF498" i="16"/>
  <c r="AF505" i="16" s="1"/>
  <c r="AF526" i="16" s="1"/>
  <c r="K177" i="16"/>
  <c r="AF490" i="16" l="1"/>
  <c r="BJ151" i="16" l="1"/>
  <c r="Q151" i="16"/>
  <c r="S151" i="16"/>
  <c r="U151" i="16"/>
  <c r="AB147" i="16"/>
  <c r="BJ147" i="16" s="1"/>
  <c r="W151" i="16"/>
  <c r="AA151" i="16"/>
  <c r="X151" i="16"/>
  <c r="R151" i="16"/>
  <c r="P151" i="16"/>
  <c r="T151" i="16"/>
  <c r="Z151" i="16"/>
  <c r="Y151" i="16"/>
  <c r="O151" i="16"/>
  <c r="N151" i="16"/>
  <c r="V151" i="16"/>
  <c r="X147" i="16" l="1"/>
  <c r="W147" i="16"/>
  <c r="AA147" i="16"/>
  <c r="Q147" i="16"/>
  <c r="N147" i="16"/>
  <c r="BI151" i="16"/>
  <c r="L151" i="16"/>
  <c r="J151" i="16"/>
  <c r="O147" i="16"/>
  <c r="Y147" i="16"/>
  <c r="R147" i="16"/>
  <c r="S147" i="16"/>
  <c r="P147" i="16"/>
  <c r="T147" i="16"/>
  <c r="V147" i="16"/>
  <c r="Z147" i="16"/>
  <c r="U147" i="16"/>
  <c r="AB176" i="16"/>
  <c r="AB173" i="16"/>
  <c r="AB170" i="16"/>
  <c r="U26" i="17" l="1"/>
  <c r="J147" i="16"/>
  <c r="M45" i="44" s="1"/>
  <c r="AB169" i="16"/>
  <c r="BJ170" i="16"/>
  <c r="K151" i="16"/>
  <c r="AB493" i="16"/>
  <c r="BJ493" i="16" s="1"/>
  <c r="BI147" i="16"/>
  <c r="BJ173" i="16"/>
  <c r="AB172" i="16"/>
  <c r="BJ172" i="16" s="1"/>
  <c r="AB175" i="16"/>
  <c r="BJ175" i="16" s="1"/>
  <c r="BJ176" i="16"/>
  <c r="L147" i="16"/>
  <c r="T27" i="17" l="1"/>
  <c r="S27" i="17"/>
  <c r="Q27" i="17"/>
  <c r="R27" i="17"/>
  <c r="J27" i="17"/>
  <c r="U144" i="16" s="1"/>
  <c r="D27" i="17"/>
  <c r="O144" i="16" s="1"/>
  <c r="M27" i="17"/>
  <c r="X144" i="16" s="1"/>
  <c r="G27" i="17"/>
  <c r="R144" i="16" s="1"/>
  <c r="L27" i="17"/>
  <c r="W144" i="16" s="1"/>
  <c r="O27" i="17"/>
  <c r="Z144" i="16" s="1"/>
  <c r="F27" i="17"/>
  <c r="Q144" i="16" s="1"/>
  <c r="I27" i="17"/>
  <c r="T144" i="16" s="1"/>
  <c r="E27" i="17"/>
  <c r="P144" i="16" s="1"/>
  <c r="H27" i="17"/>
  <c r="S144" i="16" s="1"/>
  <c r="P27" i="17"/>
  <c r="AA144" i="16" s="1"/>
  <c r="K27" i="17"/>
  <c r="V144" i="16" s="1"/>
  <c r="N27" i="17"/>
  <c r="Y144" i="16" s="1"/>
  <c r="C27" i="17"/>
  <c r="N144" i="16" s="1"/>
  <c r="K147" i="16"/>
  <c r="BJ169" i="16"/>
  <c r="AB181" i="16"/>
  <c r="V176" i="16" l="1"/>
  <c r="V175" i="16" s="1"/>
  <c r="V173" i="16"/>
  <c r="V172" i="16" s="1"/>
  <c r="V170" i="16"/>
  <c r="R176" i="16"/>
  <c r="R175" i="16" s="1"/>
  <c r="R173" i="16"/>
  <c r="R172" i="16" s="1"/>
  <c r="R170" i="16"/>
  <c r="AA176" i="16"/>
  <c r="AA175" i="16" s="1"/>
  <c r="AA170" i="16"/>
  <c r="AA173" i="16"/>
  <c r="AA172" i="16" s="1"/>
  <c r="X173" i="16"/>
  <c r="X172" i="16" s="1"/>
  <c r="X176" i="16"/>
  <c r="X175" i="16" s="1"/>
  <c r="X170" i="16"/>
  <c r="S170" i="16"/>
  <c r="S176" i="16"/>
  <c r="S175" i="16" s="1"/>
  <c r="S173" i="16"/>
  <c r="S172" i="16" s="1"/>
  <c r="O176" i="16"/>
  <c r="O175" i="16" s="1"/>
  <c r="O173" i="16"/>
  <c r="O172" i="16" s="1"/>
  <c r="O170" i="16"/>
  <c r="P173" i="16"/>
  <c r="P172" i="16" s="1"/>
  <c r="P176" i="16"/>
  <c r="P175" i="16" s="1"/>
  <c r="P170" i="16"/>
  <c r="U170" i="16"/>
  <c r="U176" i="16"/>
  <c r="U175" i="16" s="1"/>
  <c r="U173" i="16"/>
  <c r="U172" i="16" s="1"/>
  <c r="T173" i="16"/>
  <c r="T172" i="16" s="1"/>
  <c r="T176" i="16"/>
  <c r="T175" i="16" s="1"/>
  <c r="T170" i="16"/>
  <c r="Q176" i="16"/>
  <c r="Q175" i="16" s="1"/>
  <c r="Q173" i="16"/>
  <c r="Q172" i="16" s="1"/>
  <c r="Q170" i="16"/>
  <c r="BI144" i="16"/>
  <c r="L144" i="16"/>
  <c r="J144" i="16"/>
  <c r="N176" i="16"/>
  <c r="N170" i="16"/>
  <c r="N173" i="16"/>
  <c r="Z176" i="16"/>
  <c r="Z175" i="16" s="1"/>
  <c r="Z170" i="16"/>
  <c r="Z173" i="16"/>
  <c r="Z172" i="16" s="1"/>
  <c r="Y176" i="16"/>
  <c r="Y175" i="16" s="1"/>
  <c r="Y173" i="16"/>
  <c r="Y172" i="16" s="1"/>
  <c r="Y170" i="16"/>
  <c r="W173" i="16"/>
  <c r="W172" i="16" s="1"/>
  <c r="W176" i="16"/>
  <c r="W175" i="16" s="1"/>
  <c r="W170" i="16"/>
  <c r="U27" i="17"/>
  <c r="BJ181" i="16"/>
  <c r="X493" i="16" l="1"/>
  <c r="R493" i="16"/>
  <c r="N169" i="16"/>
  <c r="L170" i="16"/>
  <c r="BI170" i="16"/>
  <c r="J170" i="16"/>
  <c r="R169" i="16"/>
  <c r="R181" i="16" s="1"/>
  <c r="AA169" i="16"/>
  <c r="AA181" i="16" s="1"/>
  <c r="AA493" i="16"/>
  <c r="T169" i="16"/>
  <c r="T181" i="16" s="1"/>
  <c r="T493" i="16"/>
  <c r="N175" i="16"/>
  <c r="BI176" i="16"/>
  <c r="J176" i="16"/>
  <c r="L176" i="16"/>
  <c r="O169" i="16"/>
  <c r="O181" i="16" s="1"/>
  <c r="O493" i="16"/>
  <c r="Z169" i="16"/>
  <c r="Z181" i="16" s="1"/>
  <c r="Z493" i="16"/>
  <c r="M42" i="44"/>
  <c r="K144" i="16"/>
  <c r="X169" i="16"/>
  <c r="X181" i="16" s="1"/>
  <c r="N172" i="16"/>
  <c r="L173" i="16"/>
  <c r="BI173" i="16"/>
  <c r="J173" i="16"/>
  <c r="S493" i="16"/>
  <c r="S169" i="16"/>
  <c r="S181" i="16" s="1"/>
  <c r="W169" i="16"/>
  <c r="W181" i="16" s="1"/>
  <c r="W493" i="16"/>
  <c r="V169" i="16"/>
  <c r="V181" i="16" s="1"/>
  <c r="V493" i="16"/>
  <c r="Y493" i="16"/>
  <c r="Y169" i="16"/>
  <c r="Y181" i="16" s="1"/>
  <c r="P169" i="16"/>
  <c r="P181" i="16" s="1"/>
  <c r="P493" i="16"/>
  <c r="N493" i="16"/>
  <c r="Q169" i="16"/>
  <c r="Q181" i="16" s="1"/>
  <c r="Q493" i="16"/>
  <c r="U169" i="16"/>
  <c r="U181" i="16" s="1"/>
  <c r="U493" i="16"/>
  <c r="BI493" i="16" l="1"/>
  <c r="BI175" i="16"/>
  <c r="J175" i="16"/>
  <c r="L175" i="16"/>
  <c r="K170" i="16"/>
  <c r="M52" i="44"/>
  <c r="K173" i="16"/>
  <c r="M55" i="44"/>
  <c r="L493" i="16"/>
  <c r="M58" i="44"/>
  <c r="K176" i="16"/>
  <c r="N181" i="16"/>
  <c r="L169" i="16"/>
  <c r="J169" i="16"/>
  <c r="BI169" i="16"/>
  <c r="L172" i="16"/>
  <c r="J172" i="16"/>
  <c r="BI172" i="16"/>
  <c r="L181" i="16" l="1"/>
  <c r="M51" i="44"/>
  <c r="K169" i="16"/>
  <c r="J181" i="16"/>
  <c r="M57" i="44"/>
  <c r="K175" i="16"/>
  <c r="K172" i="16"/>
  <c r="M54" i="44"/>
  <c r="BI181" i="16"/>
  <c r="K181" i="16" l="1"/>
  <c r="AD496" i="16"/>
  <c r="AA496" i="16"/>
  <c r="AE496" i="16"/>
  <c r="P496" i="16"/>
  <c r="BJ192" i="16"/>
  <c r="AB496" i="16"/>
  <c r="BJ496" i="16" s="1"/>
  <c r="W496" i="16"/>
  <c r="V496" i="16"/>
  <c r="Q496" i="16"/>
  <c r="R496" i="16"/>
  <c r="Y496" i="16"/>
  <c r="U496" i="16"/>
  <c r="X496" i="16"/>
  <c r="O496" i="16"/>
  <c r="Z496" i="16"/>
  <c r="T496" i="16"/>
  <c r="S496" i="16"/>
  <c r="L192" i="16" l="1"/>
  <c r="BI192" i="16"/>
  <c r="N496" i="16"/>
  <c r="BI496" i="16" s="1"/>
  <c r="J192" i="16"/>
  <c r="AC496" i="16"/>
  <c r="BK496" i="16" s="1"/>
  <c r="BK192" i="16"/>
  <c r="K192" i="16" l="1"/>
  <c r="S190" i="16"/>
  <c r="T190" i="16"/>
  <c r="V190" i="16"/>
  <c r="AA190" i="16"/>
  <c r="P190" i="16"/>
  <c r="Y190" i="16"/>
  <c r="U190" i="16"/>
  <c r="AC190" i="16"/>
  <c r="AD190" i="16"/>
  <c r="AB190" i="16" l="1"/>
  <c r="BJ191" i="16"/>
  <c r="BK190" i="16"/>
  <c r="O190" i="16"/>
  <c r="Q190" i="16"/>
  <c r="L191" i="16"/>
  <c r="L496" i="16" s="1"/>
  <c r="N190" i="16"/>
  <c r="J191" i="16"/>
  <c r="J496" i="16" s="1"/>
  <c r="K496" i="16" s="1"/>
  <c r="BI191" i="16"/>
  <c r="R190" i="16"/>
  <c r="X190" i="16"/>
  <c r="W190" i="16"/>
  <c r="Z190" i="16"/>
  <c r="BK191" i="16"/>
  <c r="BI190" i="16" l="1"/>
  <c r="J190" i="16"/>
  <c r="K190" i="16" s="1"/>
  <c r="L190" i="16"/>
  <c r="BJ190" i="16"/>
  <c r="K191" i="16"/>
  <c r="Z495" i="16"/>
  <c r="V495" i="16"/>
  <c r="V494" i="16"/>
  <c r="V498" i="16" s="1"/>
  <c r="V505" i="16" s="1"/>
  <c r="V526" i="16" s="1"/>
  <c r="T494" i="16"/>
  <c r="T498" i="16" s="1"/>
  <c r="T505" i="16" s="1"/>
  <c r="T526" i="16" s="1"/>
  <c r="Z193" i="16"/>
  <c r="Z189" i="16" s="1"/>
  <c r="Z183" i="16" s="1"/>
  <c r="Z494" i="16"/>
  <c r="Z503" i="16" s="1"/>
  <c r="AD494" i="16"/>
  <c r="AD503" i="16" s="1"/>
  <c r="Y495" i="16"/>
  <c r="Y193" i="16"/>
  <c r="Y189" i="16" s="1"/>
  <c r="Y183" i="16" s="1"/>
  <c r="X494" i="16"/>
  <c r="X503" i="16" s="1"/>
  <c r="U494" i="16"/>
  <c r="U498" i="16" s="1"/>
  <c r="U505" i="16" s="1"/>
  <c r="U526" i="16" s="1"/>
  <c r="W495" i="16"/>
  <c r="S193" i="16"/>
  <c r="S189" i="16" s="1"/>
  <c r="S183" i="16" s="1"/>
  <c r="P495" i="16"/>
  <c r="AD495" i="16"/>
  <c r="AD193" i="16"/>
  <c r="AD189" i="16" s="1"/>
  <c r="U495" i="16"/>
  <c r="AE495" i="16"/>
  <c r="Q495" i="16"/>
  <c r="Q193" i="16"/>
  <c r="Q189" i="16" s="1"/>
  <c r="Q183" i="16" s="1"/>
  <c r="BJ193" i="16"/>
  <c r="R193" i="16"/>
  <c r="R189" i="16" s="1"/>
  <c r="R183" i="16" s="1"/>
  <c r="O495" i="16"/>
  <c r="AB495" i="16"/>
  <c r="BJ495" i="16" s="1"/>
  <c r="J194" i="16"/>
  <c r="AA495" i="16"/>
  <c r="AC495" i="16"/>
  <c r="AC494" i="16"/>
  <c r="AC503" i="16" s="1"/>
  <c r="AB494" i="16"/>
  <c r="BJ494" i="16" s="1"/>
  <c r="BJ498" i="16" s="1"/>
  <c r="BJ505" i="16" s="1"/>
  <c r="T495" i="16"/>
  <c r="T193" i="16"/>
  <c r="T189" i="16" s="1"/>
  <c r="T183" i="16" s="1"/>
  <c r="X495" i="16"/>
  <c r="X193" i="16"/>
  <c r="X189" i="16"/>
  <c r="X183" i="16" s="1"/>
  <c r="AD486" i="16" l="1"/>
  <c r="AD490" i="16" s="1"/>
  <c r="AD183" i="16"/>
  <c r="Z498" i="16"/>
  <c r="Z505" i="16" s="1"/>
  <c r="Z526" i="16" s="1"/>
  <c r="X498" i="16"/>
  <c r="X505" i="16" s="1"/>
  <c r="X526" i="16" s="1"/>
  <c r="BK495" i="16"/>
  <c r="AD498" i="16"/>
  <c r="AD505" i="16" s="1"/>
  <c r="AD526" i="16" s="1"/>
  <c r="Y486" i="16"/>
  <c r="Y490" i="16" s="1"/>
  <c r="T486" i="16"/>
  <c r="T490" i="16" s="1"/>
  <c r="Z486" i="16"/>
  <c r="Z490" i="16" s="1"/>
  <c r="R486" i="16"/>
  <c r="R490" i="16" s="1"/>
  <c r="J495" i="16"/>
  <c r="K495" i="16" s="1"/>
  <c r="K194" i="16"/>
  <c r="J494" i="16"/>
  <c r="Q486" i="16"/>
  <c r="Q490" i="16" s="1"/>
  <c r="S486" i="16"/>
  <c r="S490" i="16" s="1"/>
  <c r="T503" i="16"/>
  <c r="Y494" i="16"/>
  <c r="AB498" i="16"/>
  <c r="AB505" i="16" s="1"/>
  <c r="AB526" i="16" s="1"/>
  <c r="BJ526" i="16" s="1"/>
  <c r="P193" i="16"/>
  <c r="P189" i="16" s="1"/>
  <c r="P183" i="16" s="1"/>
  <c r="AA494" i="16"/>
  <c r="X486" i="16"/>
  <c r="X490" i="16" s="1"/>
  <c r="N495" i="16"/>
  <c r="V193" i="16"/>
  <c r="V189" i="16" s="1"/>
  <c r="V183" i="16" s="1"/>
  <c r="AB503" i="16"/>
  <c r="BJ503" i="16" s="1"/>
  <c r="R495" i="16"/>
  <c r="O494" i="16"/>
  <c r="R494" i="16"/>
  <c r="AB189" i="16"/>
  <c r="AB183" i="16" s="1"/>
  <c r="O193" i="16"/>
  <c r="O189" i="16" s="1"/>
  <c r="O183" i="16" s="1"/>
  <c r="U193" i="16"/>
  <c r="U189" i="16" s="1"/>
  <c r="U183" i="16" s="1"/>
  <c r="N193" i="16"/>
  <c r="AE494" i="16"/>
  <c r="P494" i="16"/>
  <c r="S494" i="16"/>
  <c r="U503" i="16"/>
  <c r="V503" i="16"/>
  <c r="S495" i="16"/>
  <c r="N494" i="16"/>
  <c r="AC498" i="16"/>
  <c r="AC505" i="16" s="1"/>
  <c r="AC526" i="16" s="1"/>
  <c r="AA193" i="16"/>
  <c r="AA189" i="16" s="1"/>
  <c r="AA183" i="16" s="1"/>
  <c r="AE193" i="16"/>
  <c r="AE189" i="16" s="1"/>
  <c r="Q494" i="16"/>
  <c r="W193" i="16"/>
  <c r="W189" i="16" s="1"/>
  <c r="W183" i="16" s="1"/>
  <c r="W494" i="16"/>
  <c r="L194" i="16"/>
  <c r="AE486" i="16" l="1"/>
  <c r="AE490" i="16" s="1"/>
  <c r="AE183" i="16"/>
  <c r="BI495" i="16"/>
  <c r="Q503" i="16"/>
  <c r="Q498" i="16"/>
  <c r="Q505" i="16" s="1"/>
  <c r="Q526" i="16" s="1"/>
  <c r="AE498" i="16"/>
  <c r="AE505" i="16" s="1"/>
  <c r="AE526" i="16" s="1"/>
  <c r="BK526" i="16" s="1"/>
  <c r="AE503" i="16"/>
  <c r="BK503" i="16" s="1"/>
  <c r="AB486" i="16"/>
  <c r="BJ183" i="16"/>
  <c r="BJ189" i="16"/>
  <c r="L494" i="16"/>
  <c r="L495" i="16"/>
  <c r="BK494" i="16"/>
  <c r="BK498" i="16" s="1"/>
  <c r="BK505" i="16" s="1"/>
  <c r="N189" i="16"/>
  <c r="N183" i="16" s="1"/>
  <c r="L193" i="16"/>
  <c r="BI193" i="16"/>
  <c r="J193" i="16"/>
  <c r="K193" i="16" s="1"/>
  <c r="R498" i="16"/>
  <c r="R505" i="16" s="1"/>
  <c r="R526" i="16" s="1"/>
  <c r="R503" i="16"/>
  <c r="V486" i="16"/>
  <c r="V490" i="16" s="1"/>
  <c r="P486" i="16"/>
  <c r="P490" i="16" s="1"/>
  <c r="W503" i="16"/>
  <c r="W498" i="16"/>
  <c r="W505" i="16" s="1"/>
  <c r="W526" i="16" s="1"/>
  <c r="AA486" i="16"/>
  <c r="AA490" i="16" s="1"/>
  <c r="O503" i="16"/>
  <c r="O498" i="16"/>
  <c r="O505" i="16" s="1"/>
  <c r="O526" i="16" s="1"/>
  <c r="K494" i="16"/>
  <c r="K503" i="16" s="1"/>
  <c r="J503" i="16"/>
  <c r="J498" i="16"/>
  <c r="S498" i="16"/>
  <c r="S505" i="16" s="1"/>
  <c r="S526" i="16" s="1"/>
  <c r="S503" i="16"/>
  <c r="U486" i="16"/>
  <c r="U490" i="16" s="1"/>
  <c r="W486" i="16"/>
  <c r="W490" i="16" s="1"/>
  <c r="P503" i="16"/>
  <c r="P498" i="16"/>
  <c r="P505" i="16" s="1"/>
  <c r="P526" i="16" s="1"/>
  <c r="O486" i="16"/>
  <c r="O490" i="16" s="1"/>
  <c r="Y503" i="16"/>
  <c r="Y498" i="16"/>
  <c r="Y505" i="16" s="1"/>
  <c r="Y526" i="16" s="1"/>
  <c r="N503" i="16"/>
  <c r="N498" i="16"/>
  <c r="N505" i="16" s="1"/>
  <c r="N526" i="16" s="1"/>
  <c r="BI494" i="16"/>
  <c r="BI498" i="16" s="1"/>
  <c r="BI505" i="16" s="1"/>
  <c r="BK193" i="16"/>
  <c r="AC189" i="16"/>
  <c r="AC183" i="16" s="1"/>
  <c r="BK183" i="16" s="1"/>
  <c r="AA503" i="16"/>
  <c r="AA498" i="16"/>
  <c r="AA505" i="16" s="1"/>
  <c r="AA526" i="16" s="1"/>
  <c r="BI526" i="16" l="1"/>
  <c r="BI503" i="16"/>
  <c r="L503" i="16"/>
  <c r="L498" i="16"/>
  <c r="L505" i="16" s="1"/>
  <c r="BJ486" i="16"/>
  <c r="AB490" i="16"/>
  <c r="BJ490" i="16" s="1"/>
  <c r="L526" i="16"/>
  <c r="J526" i="16"/>
  <c r="K526" i="16" s="1"/>
  <c r="J189" i="16"/>
  <c r="BI189" i="16"/>
  <c r="L189" i="16"/>
  <c r="L486" i="16" s="1"/>
  <c r="L490" i="16" s="1"/>
  <c r="N486" i="16"/>
  <c r="AC486" i="16"/>
  <c r="BK189" i="16"/>
  <c r="K498" i="16"/>
  <c r="K505" i="16" s="1"/>
  <c r="J505" i="16"/>
  <c r="N490" i="16" l="1"/>
  <c r="BI490" i="16" s="1"/>
  <c r="BI486" i="16"/>
  <c r="BI183" i="16"/>
  <c r="L183" i="16"/>
  <c r="J183" i="16"/>
  <c r="K183" i="16" s="1"/>
  <c r="AC490" i="16"/>
  <c r="BK490" i="16" s="1"/>
  <c r="BK486" i="16"/>
  <c r="J486" i="16"/>
  <c r="J490" i="16" s="1"/>
  <c r="J493" i="16" s="1"/>
  <c r="K493" i="16" s="1"/>
  <c r="K189" i="16"/>
  <c r="K486" i="16" s="1"/>
  <c r="K490" i="16" s="1"/>
  <c r="W23" i="59" l="1"/>
  <c r="W4" i="59" s="1"/>
  <c r="W38" i="59" s="1"/>
  <c r="U38" i="59"/>
  <c r="U32" i="59"/>
  <c r="E32" i="59" l="1"/>
  <c r="E38" i="59" s="1"/>
</calcChain>
</file>

<file path=xl/comments1.xml><?xml version="1.0" encoding="utf-8"?>
<comments xmlns="http://schemas.openxmlformats.org/spreadsheetml/2006/main">
  <authors>
    <author>Erdei Zsuzsa</author>
    <author>ELTE-User</author>
  </authors>
  <commentList>
    <comment ref="I128" authorId="0" shapeId="0">
      <text>
        <r>
          <rPr>
            <b/>
            <sz val="9"/>
            <color indexed="81"/>
            <rFont val="Tahoma"/>
            <family val="2"/>
            <charset val="238"/>
          </rPr>
          <t>Erdei Zsuzsa:</t>
        </r>
        <r>
          <rPr>
            <sz val="9"/>
            <color indexed="81"/>
            <rFont val="Tahoma"/>
            <family val="2"/>
            <charset val="238"/>
          </rPr>
          <t xml:space="preserve">
tervezve a maradvány a 20102/18ra is!!!itt két mukaszám van, oszlopbeszúrás szükséges!
</t>
        </r>
      </text>
    </comment>
    <comment ref="J128" authorId="1" shapeId="0">
      <text>
        <r>
          <rPr>
            <b/>
            <sz val="9"/>
            <color indexed="81"/>
            <rFont val="Tahoma"/>
            <family val="2"/>
            <charset val="238"/>
          </rPr>
          <t>ELTE-User:</t>
        </r>
        <r>
          <rPr>
            <sz val="9"/>
            <color indexed="81"/>
            <rFont val="Tahoma"/>
            <family val="2"/>
            <charset val="238"/>
          </rPr>
          <t xml:space="preserve">
ez a maradvány lett átemelve az I-be, mert a 2.a-t korrigálni kellett</t>
        </r>
      </text>
    </comment>
    <comment ref="K128" authorId="1" shapeId="0">
      <text>
        <r>
          <rPr>
            <sz val="9"/>
            <color indexed="81"/>
            <rFont val="Tahoma"/>
            <family val="2"/>
            <charset val="238"/>
          </rPr>
          <t xml:space="preserve">a mentorálás maradványa, ami a 2a-ban ide is be lett számítva tévesen, ezért ez az eltérés jogos
</t>
        </r>
      </text>
    </comment>
    <comment ref="I274" authorId="1" shapeId="0">
      <text>
        <r>
          <rPr>
            <b/>
            <sz val="9"/>
            <color indexed="81"/>
            <rFont val="Tahoma"/>
            <family val="2"/>
            <charset val="238"/>
          </rPr>
          <t>ELTE-User:</t>
        </r>
        <r>
          <rPr>
            <sz val="9"/>
            <color indexed="81"/>
            <rFont val="Tahoma"/>
            <family val="2"/>
            <charset val="238"/>
          </rPr>
          <t xml:space="preserve">
átemelve a tényleges tervezés (J), ami jogosan magasabb lehet a 2.a-nál</t>
        </r>
      </text>
    </comment>
  </commentList>
</comments>
</file>

<file path=xl/comments2.xml><?xml version="1.0" encoding="utf-8"?>
<comments xmlns="http://schemas.openxmlformats.org/spreadsheetml/2006/main">
  <authors>
    <author>ELTE-User</author>
  </authors>
  <commentList>
    <comment ref="D174" authorId="0" shapeId="0">
      <text>
        <r>
          <rPr>
            <b/>
            <sz val="9"/>
            <color indexed="81"/>
            <rFont val="Tahoma"/>
            <family val="2"/>
            <charset val="238"/>
          </rPr>
          <t>ELTE-User:</t>
        </r>
        <r>
          <rPr>
            <sz val="9"/>
            <color indexed="81"/>
            <rFont val="Tahoma"/>
            <family val="2"/>
            <charset val="238"/>
          </rPr>
          <t xml:space="preserve">
Tanácsadás- és Iskolapszichológia Tanszék-pszi int (?)</t>
        </r>
      </text>
    </comment>
  </commentList>
</comments>
</file>

<file path=xl/comments3.xml><?xml version="1.0" encoding="utf-8"?>
<comments xmlns="http://schemas.openxmlformats.org/spreadsheetml/2006/main">
  <authors>
    <author>Gyüge Péter</author>
  </authors>
  <commentList>
    <comment ref="D35" authorId="0" shapeId="0">
      <text>
        <r>
          <rPr>
            <b/>
            <sz val="9"/>
            <color indexed="81"/>
            <rFont val="Tahoma"/>
            <family val="2"/>
            <charset val="238"/>
          </rPr>
          <t>Gyüge Péter:</t>
        </r>
        <r>
          <rPr>
            <sz val="9"/>
            <color indexed="81"/>
            <rFont val="Tahoma"/>
            <family val="2"/>
            <charset val="238"/>
          </rPr>
          <t xml:space="preserve">
10% ákth
</t>
        </r>
      </text>
    </comment>
    <comment ref="K35" authorId="0" shapeId="0">
      <text>
        <r>
          <rPr>
            <b/>
            <sz val="9"/>
            <color indexed="81"/>
            <rFont val="Tahoma"/>
            <family val="2"/>
            <charset val="238"/>
          </rPr>
          <t>Gyüge Péter:</t>
        </r>
        <r>
          <rPr>
            <sz val="9"/>
            <color indexed="81"/>
            <rFont val="Tahoma"/>
            <family val="2"/>
            <charset val="238"/>
          </rPr>
          <t xml:space="preserve">
50 % ÁKTH</t>
        </r>
      </text>
    </comment>
  </commentList>
</comments>
</file>

<file path=xl/sharedStrings.xml><?xml version="1.0" encoding="utf-8"?>
<sst xmlns="http://schemas.openxmlformats.org/spreadsheetml/2006/main" count="13001" uniqueCount="4385">
  <si>
    <t>Közterületesítés elszámolás</t>
  </si>
  <si>
    <t>PALYREZSI elszámolás</t>
  </si>
  <si>
    <t>Maradvány</t>
  </si>
  <si>
    <t>Szervezeti egység</t>
  </si>
  <si>
    <t>Karok és tanárképzés összesen</t>
  </si>
  <si>
    <t>ÁJTK</t>
  </si>
  <si>
    <t>BTK</t>
  </si>
  <si>
    <t>PPK</t>
  </si>
  <si>
    <t>TÁTK</t>
  </si>
  <si>
    <t>TTK</t>
  </si>
  <si>
    <t>IK</t>
  </si>
  <si>
    <t>BGGYK</t>
  </si>
  <si>
    <t>TÓK</t>
  </si>
  <si>
    <t>GTI</t>
  </si>
  <si>
    <t>EJC (csak a tanárképzési allokáció rész)</t>
  </si>
  <si>
    <t>ELTE Tanárképző Központ</t>
  </si>
  <si>
    <t>Szombathelyi általános kiadások (könyvtár, GH, TH, pályázat, Campus Iroda, Kancellária egyéb, általános hasznosítás, informatika)</t>
  </si>
  <si>
    <t>Szombathely összesen</t>
  </si>
  <si>
    <t>Támogatás allokáció célszervezetre átoktatás után (2019. évi felosztási logika)</t>
  </si>
  <si>
    <t>Támogatás allokáció célszervezetre (2019. évi felosztási logika)</t>
  </si>
  <si>
    <t>Képzési saját bevételek célszervezetre átoktatás után</t>
  </si>
  <si>
    <t>Képzési saját bevételek célszervezetre</t>
  </si>
  <si>
    <t>Egyéb saját bevételek</t>
  </si>
  <si>
    <t>Egyéb saját bevételek (ideértve a hasznosítási bevételek épület-használat arányosan felosztott összegét)</t>
  </si>
  <si>
    <t>Egyéb finanszírozású költségvetési bevétel allokáció célszervezetre</t>
  </si>
  <si>
    <t>Oktatói béremelés fedezete (2018. évi arányban)</t>
  </si>
  <si>
    <t>ÁKTH alá tartozó speciális feladatok</t>
  </si>
  <si>
    <t>ÁKTH alapja</t>
  </si>
  <si>
    <t>Központi ÁKTH elvonás -19 %</t>
  </si>
  <si>
    <t>Szombathelyi működésre ÁKTH elvonás 19 %</t>
  </si>
  <si>
    <t>Kari kiválósági -1,5 %</t>
  </si>
  <si>
    <t>Karnál kiválósági visszahagyás +1,5 %</t>
  </si>
  <si>
    <t>OTAK-RTAK elméleti kredit (garantált)</t>
  </si>
  <si>
    <t>OTAK-RTAK gyakorlati kredit (80%)</t>
  </si>
  <si>
    <t>Belső átrendezés TKK-ra OTAK-RTAK elméleti kreditre jutó bevétel arányában</t>
  </si>
  <si>
    <t>Belső átrendezés mentorálásra feladatok arányában (hallgató anatika becslés alapján)</t>
  </si>
  <si>
    <t>Belső átrendezés TKK-ra OTAK-RTAK gyakorlati kreditre jutó bevétel arányában</t>
  </si>
  <si>
    <t>Belső átrendezés kritériumvizsgára OTAK-RTAK elméleti kreditre jutó bevétel arányában</t>
  </si>
  <si>
    <t>Szocho elvonás</t>
  </si>
  <si>
    <t>Nemzeköziesítésre elvonás</t>
  </si>
  <si>
    <t>Bevételi egyenleg I. (itt lévő előirányzatok)</t>
  </si>
  <si>
    <t>Bevétel egyenleg II. (Bevétel egyenleg I. + maradvány és korrekciói</t>
  </si>
  <si>
    <t>Központi ÁKTH elvonás nem ittlévő bevételekből -19 %</t>
  </si>
  <si>
    <t>Szombathelyi működésre ÁKTH elvonás nem ittlévő bevételekből -19 %</t>
  </si>
  <si>
    <t>Kari kiválósági elvonás még nem ittlévő bevételekből -1,5 %</t>
  </si>
  <si>
    <t>Bevétel egyenleg III. (Bevétel egyenleg II. + nem ittlévő bevételek)</t>
  </si>
  <si>
    <t>Kiadások összesen</t>
  </si>
  <si>
    <t>Bevétel egyenleg IV. Alaptevékenység elsődleges egyenlege</t>
  </si>
  <si>
    <t>Kiválósági támogatások karon felhasználható rezsije (15,5%)**</t>
  </si>
  <si>
    <t>Egyéb ÁKTH (köznevelés 6%-a)</t>
  </si>
  <si>
    <t>Kar belső költségvetési pozíciója (többlete / hiánya)</t>
  </si>
  <si>
    <t>Adatok Ft-ban</t>
  </si>
  <si>
    <t>Elvonások / belső átrendezések</t>
  </si>
  <si>
    <t>Maradvány bevonása a finanszírozásba, illetve belső maradvány korrekciós tényezők</t>
  </si>
  <si>
    <t>Még nem ittlévő bevételek</t>
  </si>
  <si>
    <t>1.</t>
  </si>
  <si>
    <t>2.</t>
  </si>
  <si>
    <t>3.</t>
  </si>
  <si>
    <t>4.</t>
  </si>
  <si>
    <t>5.</t>
  </si>
  <si>
    <t>6.</t>
  </si>
  <si>
    <t>7.</t>
  </si>
  <si>
    <t>8.</t>
  </si>
  <si>
    <t>10.</t>
  </si>
  <si>
    <t>11.</t>
  </si>
  <si>
    <t>12.</t>
  </si>
  <si>
    <t>13.</t>
  </si>
  <si>
    <t>14.</t>
  </si>
  <si>
    <t>15.</t>
  </si>
  <si>
    <t>Lektori finanszírozás megszüntetése miatti kiadás növekmény (2020 év bázisán)</t>
  </si>
  <si>
    <t>Egyéb üzemeltetés (bérleményhez kapcsolódó)</t>
  </si>
  <si>
    <t>Kiadások célfeladatokra (átfutó)</t>
  </si>
  <si>
    <t xml:space="preserve">                                           -     </t>
  </si>
  <si>
    <t xml:space="preserve">                           -     </t>
  </si>
  <si>
    <t>PPP finanszírozás csökkenés kiegészítése</t>
  </si>
  <si>
    <t>Kiválósági ösztöndíjhoz hozzájárulás (-6,1mFt maradvány, 2020/21 II. és 2021/22 I. félév tanév becsült adatai alapján</t>
  </si>
  <si>
    <t>SPRSZKK</t>
  </si>
  <si>
    <t>Kari tanács</t>
  </si>
  <si>
    <t>Űrlapsorszám</t>
  </si>
  <si>
    <t>Munkaszám</t>
  </si>
  <si>
    <t>Funkcióterület</t>
  </si>
  <si>
    <t>Kiadás/ Bevétel</t>
  </si>
  <si>
    <t>B</t>
  </si>
  <si>
    <t>K</t>
  </si>
  <si>
    <t>Üzemeltetés</t>
  </si>
  <si>
    <t>MB</t>
  </si>
  <si>
    <t>MK</t>
  </si>
  <si>
    <t>Eltérés</t>
  </si>
  <si>
    <t>Felosztás</t>
  </si>
  <si>
    <t>A111DHAJK</t>
  </si>
  <si>
    <t>A151THAJK</t>
  </si>
  <si>
    <t>A111KKAJK</t>
  </si>
  <si>
    <t>A151GHAJK</t>
  </si>
  <si>
    <t>Kari kiválósági munkaszám</t>
  </si>
  <si>
    <t>A0080</t>
  </si>
  <si>
    <t>Agrárjogi Tanszék</t>
  </si>
  <si>
    <t>Alkotmányjogi Tanszék</t>
  </si>
  <si>
    <t>Büntető Eljárásjogi és Büntetés-végrehajtási Jogi Tanszék</t>
  </si>
  <si>
    <t>Jog- és Társadalomelméleti Tanszék</t>
  </si>
  <si>
    <t>Közigazgatási Jogi Tanszék</t>
  </si>
  <si>
    <t>Magyar Állam- és Jogtörténeti Tanszék</t>
  </si>
  <si>
    <t>Nemzetközi Jogi Tanszék</t>
  </si>
  <si>
    <t>Pénzügyi Jogi Tanszék</t>
  </si>
  <si>
    <t>Polgári Jogi Tanszék</t>
  </si>
  <si>
    <t>Római Jogi és Összehasonlító Jogtörténeti Tanszék</t>
  </si>
  <si>
    <t>Jogi Továbbképző Intézet</t>
  </si>
  <si>
    <t>Dékáni Hivatal</t>
  </si>
  <si>
    <t>Tanulmányi Hivatal</t>
  </si>
  <si>
    <t>Gazdasági Hivatal</t>
  </si>
  <si>
    <t>Kari informatika</t>
  </si>
  <si>
    <t>A0000</t>
  </si>
  <si>
    <t>A11101/16</t>
  </si>
  <si>
    <t>Oktatók, kutatók, tanárok garantált illetménye növelésének fedezete (2016-2018. év) NAGY TÁBLA SZERINT</t>
  </si>
  <si>
    <t>AKTHSZHELY</t>
  </si>
  <si>
    <t>K07002/17</t>
  </si>
  <si>
    <t>R10601/18</t>
  </si>
  <si>
    <t>Nemzetköziesítéshez átadás</t>
  </si>
  <si>
    <t>K06301/20</t>
  </si>
  <si>
    <t>K06301/19</t>
  </si>
  <si>
    <t>Közterületesítés különbözet</t>
  </si>
  <si>
    <t>KK9701/16</t>
  </si>
  <si>
    <t>KK9702/16</t>
  </si>
  <si>
    <t>Belföldi folyóirat</t>
  </si>
  <si>
    <t>Külföldi folyóirat</t>
  </si>
  <si>
    <t>R13101/16</t>
  </si>
  <si>
    <t>R13201/16</t>
  </si>
  <si>
    <t>Bp. tanárképzés működés</t>
  </si>
  <si>
    <t>Bp. tanárképzés gyakorlat</t>
  </si>
  <si>
    <t>ANYKRIVIZS</t>
  </si>
  <si>
    <t>Anyanyelvi kritériumvizsga</t>
  </si>
  <si>
    <t>T20102/18</t>
  </si>
  <si>
    <t>Szhely. tanárképzés gyakorlat</t>
  </si>
  <si>
    <t>SB Üzemeltetési feladatok</t>
  </si>
  <si>
    <t>T Üzemeltetési feladatok</t>
  </si>
  <si>
    <t>(üres)</t>
  </si>
  <si>
    <t>K Összeg</t>
  </si>
  <si>
    <t>B Összeg</t>
  </si>
  <si>
    <t>Űrlapsor neve</t>
  </si>
  <si>
    <t>Vállalat</t>
  </si>
  <si>
    <t>Év</t>
  </si>
  <si>
    <t>Sorszám</t>
  </si>
  <si>
    <t>Név</t>
  </si>
  <si>
    <t>Típus</t>
  </si>
  <si>
    <t>Jogcím</t>
  </si>
  <si>
    <t>Összegzés</t>
  </si>
  <si>
    <t>Saját</t>
  </si>
  <si>
    <t>Támogatás</t>
  </si>
  <si>
    <t>Ellenőrzés</t>
  </si>
  <si>
    <t>Alap</t>
  </si>
  <si>
    <t>Szorzó</t>
  </si>
  <si>
    <t>Sor</t>
  </si>
  <si>
    <t>0500</t>
  </si>
  <si>
    <t>Oktatók létszáma /fő</t>
  </si>
  <si>
    <t>L</t>
  </si>
  <si>
    <t/>
  </si>
  <si>
    <t>Y</t>
  </si>
  <si>
    <t>Kutatók létszáma /fő</t>
  </si>
  <si>
    <t>Működést támogató közalkalmazottak létszáma /fő</t>
  </si>
  <si>
    <t>Hallgatói munkaszerződéssel rendelkezők létszáma /fő</t>
  </si>
  <si>
    <t>Üres álláshely telj. munkaidős (OKT+KUT+EGYÉB+HALLG)</t>
  </si>
  <si>
    <t>TELJES MUNKAIDŐSÖK LÉTSZÁMA</t>
  </si>
  <si>
    <t>1+2+3+4+5</t>
  </si>
  <si>
    <t>Oktatók létszáma (teljes munkaidősre átszámítva)</t>
  </si>
  <si>
    <t>Kutatók létszáma (teljes munkaidősre átszámítva)</t>
  </si>
  <si>
    <t>Működést támogató közalkal. létszáma (teljes munkaidősre átszámítva)</t>
  </si>
  <si>
    <t>Hallgatói m.szerződéssel rend. létszáma (t.m.időre átsz.)</t>
  </si>
  <si>
    <t>Üres álláshely  részmunkaidős (OKT+KUT+EGYÉB+HALLG)</t>
  </si>
  <si>
    <t>RÉSZMUNKAIDŐSÖK LÉTSZÁMA</t>
  </si>
  <si>
    <t>7+8+9+10+11</t>
  </si>
  <si>
    <t>LÉTSZÁM ÖSSZESEN</t>
  </si>
  <si>
    <t>6+12</t>
  </si>
  <si>
    <t>Oktatók alapilletményei</t>
  </si>
  <si>
    <t>R511013111</t>
  </si>
  <si>
    <t>Kutatók alapilletményei</t>
  </si>
  <si>
    <t>Működést támogató közalkalmazottak alapilletményei</t>
  </si>
  <si>
    <t>ALAPILLETMÉNY ÖSSZESEN</t>
  </si>
  <si>
    <t>14+15+16</t>
  </si>
  <si>
    <t>Illetménykiegészítés</t>
  </si>
  <si>
    <t>R511013112</t>
  </si>
  <si>
    <t>Nyelvpótlék</t>
  </si>
  <si>
    <t>R511013113</t>
  </si>
  <si>
    <t>Egyéb kötelező illetménypótlékok</t>
  </si>
  <si>
    <t>R511013114</t>
  </si>
  <si>
    <t>Egyéb feltételtől függő pótlékok és juttatások</t>
  </si>
  <si>
    <t>R511013115</t>
  </si>
  <si>
    <t>Rendszeres keresetkiegészítés</t>
  </si>
  <si>
    <t>R511013118</t>
  </si>
  <si>
    <t>Eseti keresetkiegészítés</t>
  </si>
  <si>
    <t>R511013121</t>
  </si>
  <si>
    <t>Egyéb juttatások kiadásai</t>
  </si>
  <si>
    <t>R511013124</t>
  </si>
  <si>
    <t>Hallgatói munkadíjak</t>
  </si>
  <si>
    <t>R511013180</t>
  </si>
  <si>
    <t>Üres álláshelyekre tervezett illetmény (okt+kut+egyéb+hallg)</t>
  </si>
  <si>
    <t>Üres</t>
  </si>
  <si>
    <t>TÖRVÉNY SZERINTI ILLETMÉNYEK</t>
  </si>
  <si>
    <t>17+18+19+20+21+22+23+24+25+26+27+28</t>
  </si>
  <si>
    <t>Céljuttatás, projektprémium</t>
  </si>
  <si>
    <t>R511033200</t>
  </si>
  <si>
    <t>Készenlét. ügyelet. helyettesítési díj, túlóra</t>
  </si>
  <si>
    <t>R511043210</t>
  </si>
  <si>
    <t>Végkielégítés</t>
  </si>
  <si>
    <t>R511053000</t>
  </si>
  <si>
    <t>Jubileumi jutalom</t>
  </si>
  <si>
    <t>R511063000</t>
  </si>
  <si>
    <t>Iskolarendsz.képzés hozzájár.</t>
  </si>
  <si>
    <t>R511073102</t>
  </si>
  <si>
    <t>Iskolakezdési támogatás teljesítése</t>
  </si>
  <si>
    <t>R511073108</t>
  </si>
  <si>
    <t>Egyéb béren kívüli juttatás teljesítése</t>
  </si>
  <si>
    <t>R511073113</t>
  </si>
  <si>
    <t>Munkábajárás útiköltsége, bérlet</t>
  </si>
  <si>
    <t>R511093100</t>
  </si>
  <si>
    <t>Munkábajárás útiköltsége - saját gk. (9 Ft/km)</t>
  </si>
  <si>
    <t>R511093200</t>
  </si>
  <si>
    <t>Egyéb költségtérítések (bankköltség)</t>
  </si>
  <si>
    <t>R511103000</t>
  </si>
  <si>
    <t>Lakhatási támogatás,albérleti hozzájárulás</t>
  </si>
  <si>
    <t>R511113000</t>
  </si>
  <si>
    <t>Szociális jellegű juttatások</t>
  </si>
  <si>
    <t>R511123100</t>
  </si>
  <si>
    <t>Foglalkoztatottak e.szem.jutt.  (Távolléti díj)</t>
  </si>
  <si>
    <t>R511133100</t>
  </si>
  <si>
    <t>Saját munkavállaló oktatási megbízási díj</t>
  </si>
  <si>
    <t>R511133103</t>
  </si>
  <si>
    <t>Külföldi napidíj teljesítése</t>
  </si>
  <si>
    <t>R511133108</t>
  </si>
  <si>
    <t>Bérkompenzáció (teljes és részmunkaidős foglalk.)</t>
  </si>
  <si>
    <t>R511133109</t>
  </si>
  <si>
    <t>FOGLALKOZTATOTTAK SZEM. JUTTAT.</t>
  </si>
  <si>
    <t>29+30+31+32+33+34+35+36+37+38+39+40+41+42+43+44+45</t>
  </si>
  <si>
    <t>Külső megbízott megbízási díj teljesítése</t>
  </si>
  <si>
    <t>R512233201</t>
  </si>
  <si>
    <t>Külsős tiszteletdíj,szerzői díj,honoráriuma</t>
  </si>
  <si>
    <t>R512233204</t>
  </si>
  <si>
    <t>Külsős belföldi napidíj teljesítése</t>
  </si>
  <si>
    <t>R512233207</t>
  </si>
  <si>
    <t>Külsős külföldi napidíj teljesítése</t>
  </si>
  <si>
    <t>R512233208</t>
  </si>
  <si>
    <t>MVÉGZÉSRE IR. E. JOGVISZONYBAN FIZETETT JUTTATÁSOK</t>
  </si>
  <si>
    <t>47+48+49+50</t>
  </si>
  <si>
    <t>Felmentési bér teljesítése</t>
  </si>
  <si>
    <t>R512332002</t>
  </si>
  <si>
    <t>Munkaviszonyban nem állók költségtérítése</t>
  </si>
  <si>
    <t>R512332006</t>
  </si>
  <si>
    <t>Ktg.és egyéb juttatások</t>
  </si>
  <si>
    <t>R512333000</t>
  </si>
  <si>
    <t>Ktg.és egyéb jutt./vas.gyém.rubin okl.,ö.díj kieg.,OTKA p.)</t>
  </si>
  <si>
    <t>Reprezentáció</t>
  </si>
  <si>
    <t>R512336000</t>
  </si>
  <si>
    <t>EGYÉB KÜLSŐ SZEMÉLYI JUTTATÁSOK</t>
  </si>
  <si>
    <t>52+53+54+55+56</t>
  </si>
  <si>
    <t>KÜLSŐ SZEMÉLYI JUTTATÁSOK</t>
  </si>
  <si>
    <t>51+57</t>
  </si>
  <si>
    <t>SZEMÉLYI JUTTATÁSOK</t>
  </si>
  <si>
    <t>46+58</t>
  </si>
  <si>
    <t>SZOCHÓ (15,5%)</t>
  </si>
  <si>
    <t>R523100000</t>
  </si>
  <si>
    <t>N</t>
  </si>
  <si>
    <t>EKHO (15,5%)</t>
  </si>
  <si>
    <t>R523200000</t>
  </si>
  <si>
    <t>Kifizetői 15,5 %-os SZOCHO</t>
  </si>
  <si>
    <t>R523300000</t>
  </si>
  <si>
    <t>Kifizető által fizetett SZJA</t>
  </si>
  <si>
    <t>R523911000</t>
  </si>
  <si>
    <t>Rehabilitációs hozzájárulás</t>
  </si>
  <si>
    <t>R523993000</t>
  </si>
  <si>
    <t>MUNKAADÓKAT T.JÁRULÉKOK ÉS SZOCIÁLIS HOZZÁJÁRULÁSI ADÓ</t>
  </si>
  <si>
    <t>60+61+62+63+64+65</t>
  </si>
  <si>
    <t>Gyógyszerbeszerzés</t>
  </si>
  <si>
    <t>R531130000</t>
  </si>
  <si>
    <t>Vegyszerbeszerzés</t>
  </si>
  <si>
    <t>Egyéb szakmai anyagbeszerzés</t>
  </si>
  <si>
    <t>Könyvbeszerzés (5% ÁFA)</t>
  </si>
  <si>
    <t>Egy éven belül elhasználódó szakmai anyag</t>
  </si>
  <si>
    <t>SZAKMAI ANYAGOK BESZERZÉSE</t>
  </si>
  <si>
    <t>67+68+69+70+71</t>
  </si>
  <si>
    <t>Irodaszer. sokszorosítási. számítástechnikai anyagok</t>
  </si>
  <si>
    <t>R531230000</t>
  </si>
  <si>
    <t>Nyomtatvány beszerzés</t>
  </si>
  <si>
    <t>Hajtó- és kenőanyag beszerzése</t>
  </si>
  <si>
    <t>Munka-. védő- és formaruha beszerzés</t>
  </si>
  <si>
    <t>Karbantartási anyagok. alkatrészek.szerszámok beszerz</t>
  </si>
  <si>
    <t>Bútorok.berend..felszer. tárgyak. textíliák beszerz.</t>
  </si>
  <si>
    <t>Tisztítószerek. tisztálkodási szerek beszerzése</t>
  </si>
  <si>
    <t>Számítástechnikai alkatrészek.készletek beszerzése</t>
  </si>
  <si>
    <t>Egyéb készletbeszerzés</t>
  </si>
  <si>
    <t>ÜZEMELTETÉSI ANYAGOK BESZERZÉSE</t>
  </si>
  <si>
    <t>73+74+75+76+77+78+79+80+81</t>
  </si>
  <si>
    <t>KÉSZLETBESZERZÉS</t>
  </si>
  <si>
    <t>72+82</t>
  </si>
  <si>
    <t>Számítástechnikai oktatási szolg.</t>
  </si>
  <si>
    <t>R532130000</t>
  </si>
  <si>
    <t>Inform.eszközök, szolg.bérlet,lízingelés ktg.</t>
  </si>
  <si>
    <t>Informatikai eszközök karbantartása. kisjav.</t>
  </si>
  <si>
    <t>Adatfeldolgozási szolgáltatások</t>
  </si>
  <si>
    <t>Adatátviteli célú távközlési díjak</t>
  </si>
  <si>
    <t>INFORMATIKAI SZOLGÁLTATÁSOK IGÉNYBEVÉTELE</t>
  </si>
  <si>
    <t>84+85+86+87+88</t>
  </si>
  <si>
    <t>TV előfizetési díj</t>
  </si>
  <si>
    <t>R532231100</t>
  </si>
  <si>
    <t>Egyéb kommunikációs szolgáltatások</t>
  </si>
  <si>
    <t>Nem adatátviteli célú távközlési díjak</t>
  </si>
  <si>
    <t>R532231200</t>
  </si>
  <si>
    <t>Nem járulékköteles távközlési díj</t>
  </si>
  <si>
    <t>EGYÉB KOMMUNIKÁCIÓS SZOLGÁLTATÁSOK</t>
  </si>
  <si>
    <t>90+91+92+93</t>
  </si>
  <si>
    <t>KOMMUNIKÁCIÓS SZOLGÁLTATÁSOK</t>
  </si>
  <si>
    <t>89+94</t>
  </si>
  <si>
    <t>Villamosenergia szolgáltatás díja</t>
  </si>
  <si>
    <t>R533130000</t>
  </si>
  <si>
    <t>Gázenergia szolgáltatás díja</t>
  </si>
  <si>
    <t>Távhő és melegvíz szolgáltatás díja</t>
  </si>
  <si>
    <t>Víz- és csatornadíjak</t>
  </si>
  <si>
    <t>ÁFA mentes villamosenergia szolgáltatás díja</t>
  </si>
  <si>
    <t>KÖZÜZEMI DÍJAK</t>
  </si>
  <si>
    <t>96+97+98+99+100</t>
  </si>
  <si>
    <t>Vásárolt élelmezés</t>
  </si>
  <si>
    <t>R533230000</t>
  </si>
  <si>
    <t>VÁSÁROLT ÉLELMEZÉS</t>
  </si>
  <si>
    <t>PPP szolgáltatás</t>
  </si>
  <si>
    <t>R533331000</t>
  </si>
  <si>
    <t>Egyéb kül. bérleti és lízing díjak (PPP nélkül)</t>
  </si>
  <si>
    <t>R533332000</t>
  </si>
  <si>
    <t>Ingatlan bérleti díj költségei (Áfa mentes)</t>
  </si>
  <si>
    <t>BÉRLETI ÉS LÍZING DÍJAK</t>
  </si>
  <si>
    <t>104+105+106</t>
  </si>
  <si>
    <t>Ingatlanok karbantartása. kisjavítása</t>
  </si>
  <si>
    <t>R533430000</t>
  </si>
  <si>
    <t>Gépek berendezések karbantartása, kisjavítása ktg.</t>
  </si>
  <si>
    <t>Járművekkel kapcsolatos karbantartási, kisjav. kiadások</t>
  </si>
  <si>
    <t>KARBANTARTÁSI. KISJAVÍTÁSI SZOLGÁLTATÁSOK</t>
  </si>
  <si>
    <t>108+109+110</t>
  </si>
  <si>
    <t>AHT-n belüli közvetített szolgáltatások</t>
  </si>
  <si>
    <t>R533531000</t>
  </si>
  <si>
    <t>AHT-n kívüli közvetített szolgáltatások</t>
  </si>
  <si>
    <t>R533532000</t>
  </si>
  <si>
    <t>KÖZVETÍTETT SZOLGÁLTATÁSOK</t>
  </si>
  <si>
    <t>112+113</t>
  </si>
  <si>
    <t>Vásárolt közszolgáltatások (pld. egészségügyi)</t>
  </si>
  <si>
    <t>R533630000</t>
  </si>
  <si>
    <t>Jogi szolgáltatások</t>
  </si>
  <si>
    <t>Számlázott (okt..kut.)szellemi tev.kiad.</t>
  </si>
  <si>
    <t>Szakmai szolgáltatások</t>
  </si>
  <si>
    <t>Sport és kulturális szolgáltatás</t>
  </si>
  <si>
    <t>Tanfolyamok. továbbképzések</t>
  </si>
  <si>
    <t>SZAKMAI TEVÉKENYSÉGET SEGÍTŐ SZOLGÁLTATÁSOK</t>
  </si>
  <si>
    <t>115+116+117+118+119+120</t>
  </si>
  <si>
    <t>Egyéb pénzügyi szoltáltatások (bankktg.)</t>
  </si>
  <si>
    <t>R533737100</t>
  </si>
  <si>
    <t>Anyag- és áruszállítás költségei</t>
  </si>
  <si>
    <t>Egyéb szállítás költségei</t>
  </si>
  <si>
    <t>Postai levél. csomag. feladott távirat</t>
  </si>
  <si>
    <t>Takarítás</t>
  </si>
  <si>
    <t>Rovarirtás</t>
  </si>
  <si>
    <t>Kommunális hulladék szállítási költségei</t>
  </si>
  <si>
    <t>Kéményseprési díjak költségei</t>
  </si>
  <si>
    <t>Nyomdai költség</t>
  </si>
  <si>
    <t>Ingatlanok üzemelt. fenntartási kiad.</t>
  </si>
  <si>
    <t>Egyéb üzemelt. Kiadások (mosás, rakodás)</t>
  </si>
  <si>
    <t>Egyéb más jellegű szolg. Költségei (audit, ell.)</t>
  </si>
  <si>
    <t>Biztosítási díj (központilag fizetett vagyonbiztosítás)</t>
  </si>
  <si>
    <t>R533737200</t>
  </si>
  <si>
    <t>EGYÉB SZOLGÁLTATÁSOK</t>
  </si>
  <si>
    <t>122+123+124+125+126+127+128+129+130+131+132+133+134</t>
  </si>
  <si>
    <t>SZOLGÁLTATÁSI KIADÁSOK</t>
  </si>
  <si>
    <t>95+101+103+107+111+114+121+135</t>
  </si>
  <si>
    <t>Külföldi kiküldetések kiadásai</t>
  </si>
  <si>
    <t>R534130000</t>
  </si>
  <si>
    <t>Belföldi kiküldetések kiadásai</t>
  </si>
  <si>
    <t>Reklám- és propaganda költségei</t>
  </si>
  <si>
    <t>R534230000</t>
  </si>
  <si>
    <t>KIKÜLDETÉSEK. REKLÁM. PROPAGANDA</t>
  </si>
  <si>
    <t>137+138+139</t>
  </si>
  <si>
    <t>Nem levonható egyenes adós ÁFA anyag, szolg.</t>
  </si>
  <si>
    <t>R535132100</t>
  </si>
  <si>
    <t>Egyenes adózású ÁFA befizetés</t>
  </si>
  <si>
    <t>R535231000</t>
  </si>
  <si>
    <t>ÁFA</t>
  </si>
  <si>
    <t>141+142</t>
  </si>
  <si>
    <t>Külf.pénzért.szóló köt.p.ügy.real.árfoly.veszt.</t>
  </si>
  <si>
    <t>R535432000</t>
  </si>
  <si>
    <t>H. adók.e. vám, illeték és adójell. befiz. ráf.</t>
  </si>
  <si>
    <t>R535531000</t>
  </si>
  <si>
    <t>Díjak, egyéb befiz., ráford. tagsági díjak kiad.</t>
  </si>
  <si>
    <t>Turizmusfejlesztési hozzájárulás (4%)</t>
  </si>
  <si>
    <t>Különféle egyéb dologi kiad. miatti egyéb ráfordítások</t>
  </si>
  <si>
    <t>R535535000</t>
  </si>
  <si>
    <t>Kollégiumok FK keret fele</t>
  </si>
  <si>
    <t>KÜLÖNFÉLE BEFIZETÉSEK ÉS EGYÉB DOLOGI KIADÁSOK</t>
  </si>
  <si>
    <t>144+145+146+147+148+149</t>
  </si>
  <si>
    <t>DOLOGI KIADÁSOK</t>
  </si>
  <si>
    <t>83+136+140+143+150</t>
  </si>
  <si>
    <t>Tanulmányi  ösztöndíj</t>
  </si>
  <si>
    <t>R547311000</t>
  </si>
  <si>
    <t>ERASMUS kiegészítő támogatás</t>
  </si>
  <si>
    <t>Tudományos ösztöndíj</t>
  </si>
  <si>
    <t>Közéleti ösztöndíj</t>
  </si>
  <si>
    <t>Tanulmányi verseny és konferencia részvétel támog.</t>
  </si>
  <si>
    <t>Nemzeti felsőoktatási ösztöndíj</t>
  </si>
  <si>
    <t>Szakmai gyakorlat</t>
  </si>
  <si>
    <t>R547312000</t>
  </si>
  <si>
    <t>Szociális alaptámogatás</t>
  </si>
  <si>
    <t>Bursa Hungarica intézményi rész</t>
  </si>
  <si>
    <t>Doktorandusz ösztöndíj</t>
  </si>
  <si>
    <t>R547315000</t>
  </si>
  <si>
    <t>Külföldiek normatív ösztöndíja</t>
  </si>
  <si>
    <t>Magyar Sportcsillagok ösztöndíj</t>
  </si>
  <si>
    <t>Stipendium Hungaricum ösztöndíj</t>
  </si>
  <si>
    <t>Lakhatási tám.-Stipendium Hungaricum ösztöndíjas</t>
  </si>
  <si>
    <t>ÚNKP ösztöndíj</t>
  </si>
  <si>
    <t>Egyéb külföldi felsőoktatási juttatások (Ceepus)</t>
  </si>
  <si>
    <t>R547316000</t>
  </si>
  <si>
    <t>Bursa Hungarica önkormányzati ösztöndíj</t>
  </si>
  <si>
    <t>Pályázati. alapítványi ösztöndíj</t>
  </si>
  <si>
    <t>OTDK</t>
  </si>
  <si>
    <t>MNB ösztöndíj (egyéb, m.hova nem sorolható hallg.kif.)</t>
  </si>
  <si>
    <t>Köznevelési ellátottak juttatásai</t>
  </si>
  <si>
    <t>R547317000</t>
  </si>
  <si>
    <t>ELLÁTOTTAK PÉNZBELI JUTTATÁSAI</t>
  </si>
  <si>
    <t>152+153+154+155+156+157+158+159+160+161+162+163+164+165+166+167+168+169+170+171+172</t>
  </si>
  <si>
    <t>Európai Uniós kötelezettségek kiadásai</t>
  </si>
  <si>
    <t>R550131000</t>
  </si>
  <si>
    <t>Egyéb nemzetközi kötelezettségek kiadásai</t>
  </si>
  <si>
    <t>R550132000</t>
  </si>
  <si>
    <t>Felügyeleti szerv.javára telj.egyéb befiz.</t>
  </si>
  <si>
    <t>R550233300</t>
  </si>
  <si>
    <t>Elvonások és befizetések ráfordításai</t>
  </si>
  <si>
    <t>R550233900</t>
  </si>
  <si>
    <t>Egyéb műk.c. tám. közp.ktv szervek részére</t>
  </si>
  <si>
    <t>R550630000</t>
  </si>
  <si>
    <t>Egyéb műk.c. tám. fej.kez.előir. EU-s pr.és h.társ</t>
  </si>
  <si>
    <t>R550632000</t>
  </si>
  <si>
    <t>Egyéb műk.c. tám. egyéb fej.kez.előir. részére</t>
  </si>
  <si>
    <t>R550633000</t>
  </si>
  <si>
    <t>Egyéb műk.c. tám. elkül.áll. pénzalapok részére</t>
  </si>
  <si>
    <t>R550636000</t>
  </si>
  <si>
    <t>Egyéb műk.c. tám. helyi önkorm.és ktv szerv.</t>
  </si>
  <si>
    <t>R550637000</t>
  </si>
  <si>
    <t>Működési célú pénzeszközátadás EU-nak-08</t>
  </si>
  <si>
    <t>R551130000</t>
  </si>
  <si>
    <t>Egyéb műk.c. tám. nonprofit gazd.társ.r.</t>
  </si>
  <si>
    <t>R551232000</t>
  </si>
  <si>
    <t>Egyéb műk.c. támk. áll.többségi tul.nem pü.váll..r.</t>
  </si>
  <si>
    <t>R551236000</t>
  </si>
  <si>
    <t>Egyéb műk.c. tám. korm. és nemz.szerv.</t>
  </si>
  <si>
    <t>R551239100</t>
  </si>
  <si>
    <t>EGYÉB MŰKÖDÉSI CÉLÚ KIADÁSOK</t>
  </si>
  <si>
    <t>174+175+176+177+178+179+180+181+182+183+184+185+186</t>
  </si>
  <si>
    <t>MŰKÖDÉSI KIADÁSOK ÖSSZESEN</t>
  </si>
  <si>
    <t>59+66+151+173+187</t>
  </si>
  <si>
    <t>Vagyoni értékű jogok vásárlása</t>
  </si>
  <si>
    <t>R561310000</t>
  </si>
  <si>
    <t>IMMATERIÁLIS JAVAK BESZERZÉSE/LÉTESÍTÉSE</t>
  </si>
  <si>
    <t>Épületek vásárlása/létesítése</t>
  </si>
  <si>
    <t>R562333000</t>
  </si>
  <si>
    <t>Egyéb építmények vásárlása/létesítése</t>
  </si>
  <si>
    <t>R562334000</t>
  </si>
  <si>
    <t>Ing.kapcs.vagyoni értékű jogok vásárl.</t>
  </si>
  <si>
    <t>R562350000</t>
  </si>
  <si>
    <t>INGATLANOK BESZERZÉSE/LÉTESÍTÉSE</t>
  </si>
  <si>
    <t>191+192+193</t>
  </si>
  <si>
    <t>Informatikai eszközök vásárlása/létesítése</t>
  </si>
  <si>
    <t>R563310000</t>
  </si>
  <si>
    <t>INFORMATIKAI ESZKÖZÖK BESZERZÉSE/LÉTESÍTÉSE</t>
  </si>
  <si>
    <t>Egyéb gépek. berend. vásárlása/létesítése</t>
  </si>
  <si>
    <t>R564310000</t>
  </si>
  <si>
    <t>EGYÉB TÁRGYI ESZKÖZÖK BESZERZÉSE/LÉTESÍTÉSE</t>
  </si>
  <si>
    <t>Levonható egyenes adós ÁFA beruházás</t>
  </si>
  <si>
    <t>R567311000</t>
  </si>
  <si>
    <t>Nem levonható egyenes adós ÁFA beruházás</t>
  </si>
  <si>
    <t>R567321000</t>
  </si>
  <si>
    <t>BERUHÁZÁSI CÉLÚ ELŐZ.FELSZ. ÁFA</t>
  </si>
  <si>
    <t>199+200</t>
  </si>
  <si>
    <t>BERUHÁZÁSOK</t>
  </si>
  <si>
    <t>190+194+196+198+201</t>
  </si>
  <si>
    <t>Épületek felújítása</t>
  </si>
  <si>
    <t>R571333000</t>
  </si>
  <si>
    <t>Egyéb építmények felújítása</t>
  </si>
  <si>
    <t>R571340000</t>
  </si>
  <si>
    <t>INGATLANOK FELÚJÍTÁSA</t>
  </si>
  <si>
    <t>203+204</t>
  </si>
  <si>
    <t>Informatikai eszközök felújítása</t>
  </si>
  <si>
    <t>R572310000</t>
  </si>
  <si>
    <t>INFORMATIKAI ESZKÖZÖK FELÚJÍTÁSA</t>
  </si>
  <si>
    <t>Egyéb gépek. berend. felújítása</t>
  </si>
  <si>
    <t>R573310000</t>
  </si>
  <si>
    <t>EGYÉB TÁRGYI ESZKÖZÖK FELÚJÍTÁSA</t>
  </si>
  <si>
    <t>Nem levonható egyenes adós ÁFA felújítás</t>
  </si>
  <si>
    <t>R574321000</t>
  </si>
  <si>
    <t>FELÚJÍTÁSI CÉLÚ ELŐZETESEN FELSZÁMÍTOTT ÁFA</t>
  </si>
  <si>
    <t>FELÚJÍTÁSOK</t>
  </si>
  <si>
    <t>205+207+209+211</t>
  </si>
  <si>
    <t>Dolgozók lakásép..vásárl.foly.kölcsönök</t>
  </si>
  <si>
    <t>R586310000</t>
  </si>
  <si>
    <t>Egyéb felh.c. tám. nonprofit gazd.társ.r.</t>
  </si>
  <si>
    <t>R589312000</t>
  </si>
  <si>
    <t>Egyéb felh.c. tám. egyéb civil szerve. részére</t>
  </si>
  <si>
    <t>R589313000</t>
  </si>
  <si>
    <t>Egyéb felh.c. támk. áll.többségi tul.nem pü.váll..r.</t>
  </si>
  <si>
    <t>R589316000</t>
  </si>
  <si>
    <t>EGYÉB FELHALMOZÁSI CÉLÚ KIADÁSOK</t>
  </si>
  <si>
    <t>213+214+215+216</t>
  </si>
  <si>
    <t>FELHALMOZÁSI KIADÁSOK ÖSSZESEN</t>
  </si>
  <si>
    <t>202+212+217</t>
  </si>
  <si>
    <t>KÖLTSÉGVETÉSI KIADÁSOK ÖSSZESEN</t>
  </si>
  <si>
    <t>188+218</t>
  </si>
  <si>
    <t>Egyéb műk.c. tám. bev. kp. ktv.szervektől</t>
  </si>
  <si>
    <t>R916310000</t>
  </si>
  <si>
    <t>Egyéb műk.c. tám. bev fej. k.e. EU-s pr. és h.t.fin.</t>
  </si>
  <si>
    <t>R916330000</t>
  </si>
  <si>
    <t>Egyéb műk.c. tám. bev egyéb fej.kez előir.</t>
  </si>
  <si>
    <t>R916340000</t>
  </si>
  <si>
    <t>Egyéb műk.c. tám. bev.tb pü alapjaitól</t>
  </si>
  <si>
    <t>R916350000</t>
  </si>
  <si>
    <t>Egyéb műk.c. tám. bev elkül. áll. pénzalapoktól</t>
  </si>
  <si>
    <t>R916360000</t>
  </si>
  <si>
    <t>Egyéb műk.c. tám. bev helyi önkorm. és ktv.sz</t>
  </si>
  <si>
    <t>R916370000</t>
  </si>
  <si>
    <t>EGYÉB MŰKÖDÉSI CÉLÚ TÁM.BEVÉTELEI ÁH-N BELÜLRŐL</t>
  </si>
  <si>
    <t>220+221+222+223+224+225+226</t>
  </si>
  <si>
    <t>Fejkez eitól EU-s társfinmiatt felh c.tám bev</t>
  </si>
  <si>
    <t>R925331000</t>
  </si>
  <si>
    <t>Egyéb fejkez eitól felhalm célú tám bev</t>
  </si>
  <si>
    <t>R925332000</t>
  </si>
  <si>
    <t>R925350000</t>
  </si>
  <si>
    <t>Helyi önk, ktgvi szerveitől felh c. tám bev</t>
  </si>
  <si>
    <t>R925360000</t>
  </si>
  <si>
    <t>EGYÉB FELH. CÉLÚ TÁM.BEVÉTELEI ÁH-N BELÜLRŐL</t>
  </si>
  <si>
    <t>228+229+230+231</t>
  </si>
  <si>
    <t>Vásárolt. saját előállítású  jegyzet. tankönyv értékesít.</t>
  </si>
  <si>
    <t>R940131100</t>
  </si>
  <si>
    <t>Egyéb áru és készletértékesítés</t>
  </si>
  <si>
    <t>Gyakorló kert bevételei</t>
  </si>
  <si>
    <t>ÁRU-ÉS KÉSZLET ÉRTÉKESÍTÉS ELLENÉRTÉKE</t>
  </si>
  <si>
    <t>233+234+235</t>
  </si>
  <si>
    <t>Oktatási bevételek (tanfolyamok stb.)</t>
  </si>
  <si>
    <t>R940231000</t>
  </si>
  <si>
    <t>K + F tevékenység bevételei</t>
  </si>
  <si>
    <t>R940232000</t>
  </si>
  <si>
    <t>Tárgyi eszköz bérbeadásából származó bevétel</t>
  </si>
  <si>
    <t>R940233000</t>
  </si>
  <si>
    <t>Bérleti és lízing díjbevételek</t>
  </si>
  <si>
    <t>Parkolási díjbevétel</t>
  </si>
  <si>
    <t>Vendéglátók által üzem0101tett étterem. büfé bérleti díja</t>
  </si>
  <si>
    <t>Kollégiumhasznosítással kapcs.bevételek (5% ÁFA)</t>
  </si>
  <si>
    <t>R940239000</t>
  </si>
  <si>
    <t>Egyéb szolgáltatások bevételei</t>
  </si>
  <si>
    <t>Étkezési térítési díj (alkalmazotti)</t>
  </si>
  <si>
    <t>Lakbér</t>
  </si>
  <si>
    <t>Üdülési díj</t>
  </si>
  <si>
    <t>SZOLGÁLTATÁSOK ELLENÉRTÉKE</t>
  </si>
  <si>
    <t>237+238+239+240+241+242+243+244+245+246+247</t>
  </si>
  <si>
    <t>Közvetített szolgáltatások ellenértéke ÁH-n belül</t>
  </si>
  <si>
    <t>R940331000</t>
  </si>
  <si>
    <t>Közvetített szolgáltatások ellenértéke ÁH-n kívül (Áfa mentes)</t>
  </si>
  <si>
    <t>R940332000</t>
  </si>
  <si>
    <t>KÖZVETÍTETT SZOLGÁLTATÁSOK BEVÉTELE</t>
  </si>
  <si>
    <t>249+250</t>
  </si>
  <si>
    <t>Ell.díjak - Köznevelési ell. - Óvodai ellátottak térítési díja</t>
  </si>
  <si>
    <t>R940531000</t>
  </si>
  <si>
    <t>Ell.díjak - Köznevelési ell. - Általános iskolások étkezési díja</t>
  </si>
  <si>
    <t>Ell.díjak - Köznevelési ell. - Középiskolások étkezési díja</t>
  </si>
  <si>
    <t>Ell.díjak - Neptun - Önktg. Költségtérítés</t>
  </si>
  <si>
    <t>R940532000</t>
  </si>
  <si>
    <t>Ell.díjak-Neptun-Egyéb szolg.d.- Felv.iratk.díjak (regiszt.) KTGTÉR</t>
  </si>
  <si>
    <t>R940533000</t>
  </si>
  <si>
    <t>Ell.díjak-Neptun-Egyéb szolg.d.-Tantárgyi vizsgaismétlési díj (UV díj)</t>
  </si>
  <si>
    <t>Ell.díjak-Neptun-Egyéb szolg.d. - Tantárgyismétlési díj</t>
  </si>
  <si>
    <t>Ell.díjak-Neptun-Egyéb szolg.d.-Oklevél, diplomakiállítási díj</t>
  </si>
  <si>
    <t>Ell.díjak-Neptun-Egyéb szolg.d.-Kredittúllépés, kreditkihagyási díj</t>
  </si>
  <si>
    <t>Ell.díjak-Neptun-Egyéb szolg.d. - Nyelvvizsga díj</t>
  </si>
  <si>
    <t>Ell.díjak-Neptun-Egyéb szolg.d. - Utólagos kurzusfelvétel. leadás</t>
  </si>
  <si>
    <t>Ell.díjak-Neptun-Egyéb szolg.d. - Késedelmes leadás. felvétel</t>
  </si>
  <si>
    <t>Ell.díjak-Neptun-Egyéb szolg.d. - Késedelmes befizetés</t>
  </si>
  <si>
    <t>Ell.díjak-Neptun-Egyéb szolg.d.-Kreditenkénti költségtérítés - túlfutók</t>
  </si>
  <si>
    <t>Ell.díjak-Neptun-Egyéb szolg.d.- Doktori eljárási díjak</t>
  </si>
  <si>
    <t>Ell.díjak-Neptun-Egyéb szolg.d.-Egyéb különeljárási és késedelmi díjak</t>
  </si>
  <si>
    <t>Ell.díjak - Neptun - Kollégiumi bevételek</t>
  </si>
  <si>
    <t>R940534000</t>
  </si>
  <si>
    <t>Ell.díjak - NEM Neptun -Habilitációs díjak</t>
  </si>
  <si>
    <t>R940535000</t>
  </si>
  <si>
    <t>Ell.díjak - NEM Neptun rendszeren keresztül beszedett bev.</t>
  </si>
  <si>
    <t>ELLÁTÁSI DÍJAK</t>
  </si>
  <si>
    <t>252+253+254+255+256+257+258+259+260+261+262+263+264+265+266+267+268+269+270</t>
  </si>
  <si>
    <t>Egyenes adós ÁFA anyag</t>
  </si>
  <si>
    <t>R940633100</t>
  </si>
  <si>
    <t>Egyenes adós ÁFA szolgáltatás</t>
  </si>
  <si>
    <t>R940633140</t>
  </si>
  <si>
    <t>Egyenes adós ÁFA beruházás (Értékesített t.eszk.áfa)</t>
  </si>
  <si>
    <t>R940634000</t>
  </si>
  <si>
    <t>KISZÁMLÁZOTT ÁFA</t>
  </si>
  <si>
    <t>272+273+274</t>
  </si>
  <si>
    <t>Működési kiadásokhoz kapcs ÁFA visszatér bev</t>
  </si>
  <si>
    <t>R940731100</t>
  </si>
  <si>
    <t>ÁFA VISSZATÉRÜLÉS</t>
  </si>
  <si>
    <t>Áht kiv. egyéb kamat-, kamatjellegű e/bevét</t>
  </si>
  <si>
    <t>R940823100</t>
  </si>
  <si>
    <t>KAMATBEVÉTELEK</t>
  </si>
  <si>
    <t>Évközi realizált árf. nyereség AUT</t>
  </si>
  <si>
    <t>R940923200</t>
  </si>
  <si>
    <t>Évközi realizált árf. nyereség</t>
  </si>
  <si>
    <t>R940923300</t>
  </si>
  <si>
    <t>Egyéb pénzügyi műv.e.eredmsz.bevétele</t>
  </si>
  <si>
    <t>R940923900</t>
  </si>
  <si>
    <t>EGYÉB PÉNZÜGYI MŰVELETEK BEVÉTELEI</t>
  </si>
  <si>
    <t>280+281+282</t>
  </si>
  <si>
    <t>Biztosító által fizetett kártérítés</t>
  </si>
  <si>
    <t>R941030000</t>
  </si>
  <si>
    <t>SB ÁKTH ÁTADÁS</t>
  </si>
  <si>
    <t>R941031000</t>
  </si>
  <si>
    <t>SB Képzési finanszírozás átadás</t>
  </si>
  <si>
    <t>R941032000</t>
  </si>
  <si>
    <t>R941034000</t>
  </si>
  <si>
    <t>SB SZOCHO megtakarítás</t>
  </si>
  <si>
    <t>R941035000</t>
  </si>
  <si>
    <t>SB Közterületesítési különbözet</t>
  </si>
  <si>
    <t>R941036000</t>
  </si>
  <si>
    <t>SB Informatikai közvetlen költségek</t>
  </si>
  <si>
    <t>R941037000</t>
  </si>
  <si>
    <t>SB Nemzetköziesítési feladatok</t>
  </si>
  <si>
    <t>R941038000</t>
  </si>
  <si>
    <t>SB Folyóiratok finanszírozása</t>
  </si>
  <si>
    <t>R941039100</t>
  </si>
  <si>
    <t>SB Átoktatásra bevétel ÁTADÁS</t>
  </si>
  <si>
    <t>R941039200</t>
  </si>
  <si>
    <t>SB ÁKTH ÁTVÉTEL</t>
  </si>
  <si>
    <t>R941039300</t>
  </si>
  <si>
    <t>R941039400</t>
  </si>
  <si>
    <t>SB Kari kiválósági keret</t>
  </si>
  <si>
    <t>R941039500</t>
  </si>
  <si>
    <t>SB Kiválósági Alap</t>
  </si>
  <si>
    <t>R941039600</t>
  </si>
  <si>
    <t>SB Belső működési átadás</t>
  </si>
  <si>
    <t>R941039700</t>
  </si>
  <si>
    <t>SB Belső keresztfinanszírozás</t>
  </si>
  <si>
    <t>R941039800</t>
  </si>
  <si>
    <t>SB Átoktatásra bevétel ÁTVÉTEL</t>
  </si>
  <si>
    <t>R941039900</t>
  </si>
  <si>
    <t>SB ELVONÁSOK ÖSSZESEN</t>
  </si>
  <si>
    <t>285+286+287+288+289+290+291+292+293+294+295+296+297+298+299+300+301</t>
  </si>
  <si>
    <t>Kiadások visszatérítései</t>
  </si>
  <si>
    <t>R941132300</t>
  </si>
  <si>
    <t>Egyéb működési bevétel</t>
  </si>
  <si>
    <t>R941139900</t>
  </si>
  <si>
    <t>EGYÉB MŰKÖDÉSI BEVÉTELEK</t>
  </si>
  <si>
    <t>303+304</t>
  </si>
  <si>
    <t>MŰKÖDÉSI BEVÉTELEK</t>
  </si>
  <si>
    <t>236+248+251+271+275+277+279+283+284+302+305</t>
  </si>
  <si>
    <t>EGYÉB TÁRGYI ESZKÖZÖK ÉRTÉKESÍTÉSE</t>
  </si>
  <si>
    <t>R953320000</t>
  </si>
  <si>
    <t>Egyéb műk.c. átvett pe. nonpr. gazd.társaságoktól</t>
  </si>
  <si>
    <t>R965320000</t>
  </si>
  <si>
    <t>Egyéb műk.c. átvett pe. egyéb civil szervezetektől</t>
  </si>
  <si>
    <t>R965330000</t>
  </si>
  <si>
    <t>Egyéb műk.c. átvett pe. háztartásoktól</t>
  </si>
  <si>
    <t>R965340000</t>
  </si>
  <si>
    <t>Egyéb műk.c. átvett pe önk.többs.tul.nem pü.váll.</t>
  </si>
  <si>
    <t>R965380000</t>
  </si>
  <si>
    <t>Egyéb műk.c. átvett pe egyéb vállalkozásoktól</t>
  </si>
  <si>
    <t>R965390000</t>
  </si>
  <si>
    <t>Egyéb műk.c. átvett pe Európai Uniótól</t>
  </si>
  <si>
    <t>R965391000</t>
  </si>
  <si>
    <t>Egyéb műk.c. átvett pe korm.és nemz.szerv.</t>
  </si>
  <si>
    <t>R965392000</t>
  </si>
  <si>
    <t>Egyéb műk.c. átvett pe.egyéb külföldiektől</t>
  </si>
  <si>
    <t>R965393000</t>
  </si>
  <si>
    <t>MŰKÖDÉSI CÉLÚ ÁTVETT PÉNZESZKÖZ</t>
  </si>
  <si>
    <t>308+309+310+311+312+313+314+315</t>
  </si>
  <si>
    <t>Felhalmozási célú p.átvétel háztartásoktól-(dolg.lakásépít.kölcsön megtér.)</t>
  </si>
  <si>
    <t>R974310000</t>
  </si>
  <si>
    <t>Egyéb felh.c.átvett pe Európai Uniótól</t>
  </si>
  <si>
    <t>R975390000</t>
  </si>
  <si>
    <t>FELHALMOZÁSI CÉLÚ ÁTVETT PÉNZESZKÖZÖK</t>
  </si>
  <si>
    <t>317+318</t>
  </si>
  <si>
    <t>Működési költségvetés támogatása - Képzés</t>
  </si>
  <si>
    <t>R981631110</t>
  </si>
  <si>
    <t>Működési költségvetés támogatása - Hallg. juttatás tám.</t>
  </si>
  <si>
    <t>R981631120</t>
  </si>
  <si>
    <t>Működési költségvetés támogatása - Céltámogatás</t>
  </si>
  <si>
    <t>R981631130</t>
  </si>
  <si>
    <t>Működési költségvetés támogatása - PPP támogatása</t>
  </si>
  <si>
    <t>R981631140</t>
  </si>
  <si>
    <t>Működési költségvetés támogatása - Közoktatási feladatok</t>
  </si>
  <si>
    <t>R981631150</t>
  </si>
  <si>
    <t>Működési költségvetés támogatása - Pályázatok</t>
  </si>
  <si>
    <t>R981631160</t>
  </si>
  <si>
    <t>Működési költségvetés támogatása - Egyéb állami bevétel</t>
  </si>
  <si>
    <t>R981631170</t>
  </si>
  <si>
    <t>Működési költségvetés támogatása - Stipendium</t>
  </si>
  <si>
    <t>R981631180</t>
  </si>
  <si>
    <t>KÖZPONTI, IRÁNYÍTÓ SZERVI, MŰKÖDÉSI TÁMOGATÁS</t>
  </si>
  <si>
    <t>320+321+322+323+324+325+326+327</t>
  </si>
  <si>
    <t>Irányító szervtől kapott felhalmozási célú támogat</t>
  </si>
  <si>
    <t>R981632100</t>
  </si>
  <si>
    <t>Irányító szervtől kapott felhalmozási célú támogat CO</t>
  </si>
  <si>
    <t>KÖZPONTI, IRÁNYÍTÓ SZERVI, FELHALMOZÁSI TÁMOGATÁS</t>
  </si>
  <si>
    <t>329+330</t>
  </si>
  <si>
    <t>T ÁKTH ÁTADÁS</t>
  </si>
  <si>
    <t>R981632306</t>
  </si>
  <si>
    <t>T Képzési finanszírozás átadás</t>
  </si>
  <si>
    <t>R981632307</t>
  </si>
  <si>
    <t>T SZOCHO megtakarítás</t>
  </si>
  <si>
    <t>R981632309</t>
  </si>
  <si>
    <t>T Közterületesítési különbözet</t>
  </si>
  <si>
    <t>R981632310</t>
  </si>
  <si>
    <t>T Informatikai közvetlen költségek</t>
  </si>
  <si>
    <t>R981632311</t>
  </si>
  <si>
    <t>T ÁKTH ÁTVÉTEL</t>
  </si>
  <si>
    <t>R981632313</t>
  </si>
  <si>
    <t>T Folyóiratok finanszírozása</t>
  </si>
  <si>
    <t>R981632314</t>
  </si>
  <si>
    <t>T Kari kiválósági keret</t>
  </si>
  <si>
    <t>R981632315</t>
  </si>
  <si>
    <t>T Kiválósági Alap</t>
  </si>
  <si>
    <t>R981632316</t>
  </si>
  <si>
    <t>T Átoktatásra támogatás ÁTADÁS</t>
  </si>
  <si>
    <t>R981632317</t>
  </si>
  <si>
    <t>T Belső működésre átadás</t>
  </si>
  <si>
    <t>R981632318</t>
  </si>
  <si>
    <t>T Belső keresztfinanszírozás</t>
  </si>
  <si>
    <t>R981632319</t>
  </si>
  <si>
    <t>T tanárképzés közös ktg</t>
  </si>
  <si>
    <t>R981632320</t>
  </si>
  <si>
    <t>T Pályázati átvállalás</t>
  </si>
  <si>
    <t>R981632322</t>
  </si>
  <si>
    <t>T Átoktatásra támogatás ÁTVÉTEL</t>
  </si>
  <si>
    <t>R981632324</t>
  </si>
  <si>
    <t>R981632325</t>
  </si>
  <si>
    <t>ELVONÁSOK TÁMOGATÁSBÓL</t>
  </si>
  <si>
    <t>KÖZPONTI, IRÁNYÍTÓ SZERVI TÁMOGATÁS</t>
  </si>
  <si>
    <t>328+331+351</t>
  </si>
  <si>
    <t>BEVÉTELEK ÖSSZESEN</t>
  </si>
  <si>
    <t>227+232+306+307+316+319+352</t>
  </si>
  <si>
    <t>Képzési támogatás tervezése képzési munkaszámokra</t>
  </si>
  <si>
    <t>Átoktatás szűrés</t>
  </si>
  <si>
    <t>Átoktatás</t>
  </si>
  <si>
    <t>CELTAMOGATAS</t>
  </si>
  <si>
    <t>TELEPHELY</t>
  </si>
  <si>
    <t>ADMINKAR</t>
  </si>
  <si>
    <t>Összeg / Támogatás</t>
  </si>
  <si>
    <t>Összeg / Önköltség</t>
  </si>
  <si>
    <t>Összeg / Egyéb</t>
  </si>
  <si>
    <t>Összeg / SH</t>
  </si>
  <si>
    <t>CELSZERVEZET</t>
  </si>
  <si>
    <t>BudapestÁJTK</t>
  </si>
  <si>
    <t>Budapest</t>
  </si>
  <si>
    <t>BudapestBGGYK</t>
  </si>
  <si>
    <t>BudapestBDPK-SEK</t>
  </si>
  <si>
    <t>BDPK-SEK</t>
  </si>
  <si>
    <t>BudapestBTK</t>
  </si>
  <si>
    <t>BudapestGAUG</t>
  </si>
  <si>
    <t>GAUG</t>
  </si>
  <si>
    <t>BudapestIK</t>
  </si>
  <si>
    <t>BudapestPPK</t>
  </si>
  <si>
    <t>BudapestTÁTK</t>
  </si>
  <si>
    <t>BudapestTÓK</t>
  </si>
  <si>
    <t>BudapestTKK</t>
  </si>
  <si>
    <t>TKK</t>
  </si>
  <si>
    <t>BudapestTTK</t>
  </si>
  <si>
    <t>SzombathelyBDPK-SEK</t>
  </si>
  <si>
    <t>Szombathely</t>
  </si>
  <si>
    <t>SzombathelyIK</t>
  </si>
  <si>
    <t>SzombathelyPPK</t>
  </si>
  <si>
    <t>SzombathelyTÁTK</t>
  </si>
  <si>
    <t>Végösszeg</t>
  </si>
  <si>
    <t>SzombathelyTKK</t>
  </si>
  <si>
    <t>SzombathelyTÓK</t>
  </si>
  <si>
    <t>BudapestUPA</t>
  </si>
  <si>
    <t>UPA</t>
  </si>
  <si>
    <t>NyíregyházaBGGYK</t>
  </si>
  <si>
    <t>Nyíregyháza</t>
  </si>
  <si>
    <t>Kar</t>
  </si>
  <si>
    <t>Saját bevétel (önköltséges)</t>
  </si>
  <si>
    <t>SH 85 %</t>
  </si>
  <si>
    <t>Egyéb</t>
  </si>
  <si>
    <t>adminkar szerint</t>
  </si>
  <si>
    <t>átadott átoktatás</t>
  </si>
  <si>
    <t>kapott átoktatás</t>
  </si>
  <si>
    <t>célszervezet szerint</t>
  </si>
  <si>
    <t>EJC</t>
  </si>
  <si>
    <t>Képzési munkaszámok</t>
  </si>
  <si>
    <t>Átoktatás átadás, támogatás</t>
  </si>
  <si>
    <t>K07301/19</t>
  </si>
  <si>
    <t>Átoktatás bevételből</t>
  </si>
  <si>
    <t>K07302/19</t>
  </si>
  <si>
    <t>Átoktatás támogatásból</t>
  </si>
  <si>
    <t>K07303/19</t>
  </si>
  <si>
    <t>K07304/19</t>
  </si>
  <si>
    <t>Átoktatás stipendiumból</t>
  </si>
  <si>
    <t>Átoktatás egyéb</t>
  </si>
  <si>
    <t>Átoktatás átadás, önköltséges</t>
  </si>
  <si>
    <t>Kötelező minimálbér, garantált bérminimum kiegészítés</t>
  </si>
  <si>
    <t>Kulturális illetménypótlék</t>
  </si>
  <si>
    <t>további bontás</t>
  </si>
  <si>
    <t>bp AKTH 19%</t>
  </si>
  <si>
    <t>Állam- és Jogtudományi Kar</t>
  </si>
  <si>
    <t>Bölcsészettudományi Kar</t>
  </si>
  <si>
    <t>Pedagógiai és Pszichológiai Kar</t>
  </si>
  <si>
    <t>Társadalomtudományi Kar</t>
  </si>
  <si>
    <t>Természettudományi Kar</t>
  </si>
  <si>
    <t>Informatikai Kar</t>
  </si>
  <si>
    <t>Bárczi Gusztáv Gyógypedagógiai Kar</t>
  </si>
  <si>
    <t>Tanító- és Óvóképző Kar</t>
  </si>
  <si>
    <t>BDPK</t>
  </si>
  <si>
    <t>kollégium</t>
  </si>
  <si>
    <t>Szolgáltató Igazgatóság</t>
  </si>
  <si>
    <t>OKTIG</t>
  </si>
  <si>
    <t>Egyetemi Könyvtár és Levéltár</t>
  </si>
  <si>
    <t>Központi kezelés</t>
  </si>
  <si>
    <t>Füvészkert</t>
  </si>
  <si>
    <t>Konfuciusz</t>
  </si>
  <si>
    <t>Köznevelés Budapest</t>
  </si>
  <si>
    <t>Köznevelés Szombathely - Bolyai</t>
  </si>
  <si>
    <t>Hallgatók</t>
  </si>
  <si>
    <t>Egyetemközi Francia Központ</t>
  </si>
  <si>
    <t>Tatai Geológus Kert</t>
  </si>
  <si>
    <t>Természetrajzi Múzeum</t>
  </si>
  <si>
    <t>Szakkollégiumok</t>
  </si>
  <si>
    <t>Innovációs Központ</t>
  </si>
  <si>
    <t>Gotthard Obszervatórium</t>
  </si>
  <si>
    <t>Szombathely funkcionális</t>
  </si>
  <si>
    <t>Rektori Kabinet</t>
  </si>
  <si>
    <t>Kancellária</t>
  </si>
  <si>
    <t>Biotechnológia</t>
  </si>
  <si>
    <t>Fogyatékossággal élő hallgatók átlaglétszáma utáni kiegészítő normatív támogatás</t>
  </si>
  <si>
    <t>Országos Sugárfigyelő, Jelző és Ellenőrző Rendszer (OSJER) (labor)</t>
  </si>
  <si>
    <t>Laboratóriumok, mérőtelep</t>
  </si>
  <si>
    <t>Szombathelyi képzések fejlesztése (50 mFt célzottan BDPK)</t>
  </si>
  <si>
    <t>Kis szakok</t>
  </si>
  <si>
    <t>Nemzetiségi képzés</t>
  </si>
  <si>
    <t>Képzési kiegészítő támogatás</t>
  </si>
  <si>
    <t>Tanulmányi rendszerek és/vagy Diplomás Pályakövető Rendszer intézményi támogatása</t>
  </si>
  <si>
    <t>Elektronikus Információ-szolgáltatás (EISZ) intézményi támogatása</t>
  </si>
  <si>
    <t>Tűz- és vagyonvédelem</t>
  </si>
  <si>
    <t>Arborétum, botanikus kert</t>
  </si>
  <si>
    <t>Pedagógus díszoklevél kiadásával kapcsolatos költségekhez hozzájárulás</t>
  </si>
  <si>
    <t>Nemzetközi feladatok</t>
  </si>
  <si>
    <t>Márton Áron Szakkollégium programok költségeihez hozzájárulás, ösztöndíjak</t>
  </si>
  <si>
    <t>Pedagógusképzés feltételeinek javítására (szakszolgálat)</t>
  </si>
  <si>
    <t>Osztatlan tanárképzés 1 éves munkadíja (Pedagógus hallgatók egy éves gyakorlatának támogatása)</t>
  </si>
  <si>
    <t>Művészeti gyakorlóhely</t>
  </si>
  <si>
    <t>Középiskolai tanulmányi versenyekre történő felkészítés támogatása</t>
  </si>
  <si>
    <t>Regionális Konfuciusz Intézet</t>
  </si>
  <si>
    <t>A Márton Áron Szakkkollégiumi hálózat működtetése (Balassi Intézet megszűnése miatt)</t>
  </si>
  <si>
    <t>Szlovén-magyar, magyar-szlovén szótár elkészítésének támogatása</t>
  </si>
  <si>
    <t>Mórahalmi Komplex Fejlesztő Centrum</t>
  </si>
  <si>
    <t xml:space="preserve">Lengyel szótár elkészítésének támogatás </t>
  </si>
  <si>
    <t>Európai Egyetemek Szövetséges</t>
  </si>
  <si>
    <t>Szerb-magyar, magyar-szerb nagyszótár
(1031/2016. (II. 9.) Korm. határozat alapján)</t>
  </si>
  <si>
    <t>Szervezetnél kezelt</t>
  </si>
  <si>
    <t>Szervezetnél kezelt oktatói béremelés nélkül</t>
  </si>
  <si>
    <t>Átfutó kiadások</t>
  </si>
  <si>
    <t>Központilag kezelt</t>
  </si>
  <si>
    <t>Anyanyelvi lektorok és tanárok</t>
  </si>
  <si>
    <t>17. melléklet</t>
  </si>
  <si>
    <t>hallgatói tételek</t>
  </si>
  <si>
    <t>Önkormányzati céltámogatás</t>
  </si>
  <si>
    <t>* allokáció a pótlékot kapó konkrét analitika alapján készült</t>
  </si>
  <si>
    <t>Mentes</t>
  </si>
  <si>
    <t>Ki nem osztott összeg</t>
  </si>
  <si>
    <t>TERMMUZEUM Összeg</t>
  </si>
  <si>
    <t>TERMMUZEUMR0050174</t>
  </si>
  <si>
    <t>R0050</t>
  </si>
  <si>
    <t>TERMMUZEUM</t>
  </si>
  <si>
    <t>S14101/16 Összeg</t>
  </si>
  <si>
    <t>S14101/16R0630174</t>
  </si>
  <si>
    <t>ELTE Tatai Geológus Kert</t>
  </si>
  <si>
    <t>R0630</t>
  </si>
  <si>
    <t>S14101/16</t>
  </si>
  <si>
    <t>R18102/17 Összeg</t>
  </si>
  <si>
    <t>R18102/17R0130174</t>
  </si>
  <si>
    <t>Savaria Könyvtár és Levél</t>
  </si>
  <si>
    <t>R0130</t>
  </si>
  <si>
    <t>R18102/17</t>
  </si>
  <si>
    <t>R18101/17 Összeg</t>
  </si>
  <si>
    <t>R18101/17R0130174</t>
  </si>
  <si>
    <t>R18101/17</t>
  </si>
  <si>
    <t>R16101/16 Összeg</t>
  </si>
  <si>
    <t>R16101/16S0040174</t>
  </si>
  <si>
    <t>Egyetemközi Francia Közpo</t>
  </si>
  <si>
    <t>S0040</t>
  </si>
  <si>
    <t>R16101/16</t>
  </si>
  <si>
    <t>R15301/16 Összeg</t>
  </si>
  <si>
    <t>R15301/16R0120174</t>
  </si>
  <si>
    <t>Egyetemi Levéltár</t>
  </si>
  <si>
    <t>R0120</t>
  </si>
  <si>
    <t>R15301/16</t>
  </si>
  <si>
    <t>R15101/16 Összeg</t>
  </si>
  <si>
    <t>R15101/16R0110174</t>
  </si>
  <si>
    <t>Egyetemi Könyvtár</t>
  </si>
  <si>
    <t>R0110</t>
  </si>
  <si>
    <t>R15101/16</t>
  </si>
  <si>
    <t>R15101/16R0110156,6</t>
  </si>
  <si>
    <t>R15101/16R0110130,5</t>
  </si>
  <si>
    <t>R15101/16R011087</t>
  </si>
  <si>
    <t>N13801/16 Összeg</t>
  </si>
  <si>
    <t>N13801/16N0734174</t>
  </si>
  <si>
    <t>MÁSZ -Kunigunda úti Kollé</t>
  </si>
  <si>
    <t>N0734</t>
  </si>
  <si>
    <t>N13801/16</t>
  </si>
  <si>
    <t>N13001/16 Összeg</t>
  </si>
  <si>
    <t>N13001/16N0710174</t>
  </si>
  <si>
    <t>KSZO - Kőrösi Csoma Sándo</t>
  </si>
  <si>
    <t>N0710</t>
  </si>
  <si>
    <t>N13001/16</t>
  </si>
  <si>
    <t>K09402/18 Összeg</t>
  </si>
  <si>
    <t>K09402/18Z0050174</t>
  </si>
  <si>
    <t>ELTE központi keretek</t>
  </si>
  <si>
    <t>Z0050</t>
  </si>
  <si>
    <t>K09402/18</t>
  </si>
  <si>
    <t>K09402/18Z0050130,5</t>
  </si>
  <si>
    <t>I11101/17 Összeg</t>
  </si>
  <si>
    <t>I11101/17I0000174</t>
  </si>
  <si>
    <t>I0000</t>
  </si>
  <si>
    <t>I11101/17</t>
  </si>
  <si>
    <t>H111KKTOK Összeg</t>
  </si>
  <si>
    <t>H111KKTOKH0090174</t>
  </si>
  <si>
    <t>TÓK Könyvtár</t>
  </si>
  <si>
    <t>H0090</t>
  </si>
  <si>
    <t>H111KKTOK</t>
  </si>
  <si>
    <t>G111KKBAR Összeg</t>
  </si>
  <si>
    <t>G111KKBARG0340174</t>
  </si>
  <si>
    <t>BGGYK Könyvtár</t>
  </si>
  <si>
    <t>G0340</t>
  </si>
  <si>
    <t>G111KKBAR</t>
  </si>
  <si>
    <t>G111KKBARG0340130,5</t>
  </si>
  <si>
    <t>F111KKTAT Összeg</t>
  </si>
  <si>
    <t>F111KKTATF0040174</t>
  </si>
  <si>
    <t>TÁTK - Könyvtár</t>
  </si>
  <si>
    <t>F0040</t>
  </si>
  <si>
    <t>F111KKTAT</t>
  </si>
  <si>
    <t>E111KKINF Összeg</t>
  </si>
  <si>
    <t>E111KKINFE0060174</t>
  </si>
  <si>
    <t>IK Kari Könyvtár</t>
  </si>
  <si>
    <t>E0060</t>
  </si>
  <si>
    <t>E111KKINF</t>
  </si>
  <si>
    <t>D111KKTTK Összeg</t>
  </si>
  <si>
    <t>D111KKTTKD0060174</t>
  </si>
  <si>
    <t>TTK Könyvtára</t>
  </si>
  <si>
    <t>D0060</t>
  </si>
  <si>
    <t>D111KKTTK</t>
  </si>
  <si>
    <t>D11101/16 Összeg</t>
  </si>
  <si>
    <t>D11101/16D0050174</t>
  </si>
  <si>
    <t>TTK Természetrajzi Múzeum</t>
  </si>
  <si>
    <t>D0050</t>
  </si>
  <si>
    <t>D11101/16</t>
  </si>
  <si>
    <t>C111DHBTK Összeg</t>
  </si>
  <si>
    <t>C111DHBTKC0010174</t>
  </si>
  <si>
    <t>BTK Dékáni Hivatal</t>
  </si>
  <si>
    <t>C0010</t>
  </si>
  <si>
    <t>C111DHBTK</t>
  </si>
  <si>
    <t>C111DHBTKC001087</t>
  </si>
  <si>
    <t>B151GHPPK Összeg</t>
  </si>
  <si>
    <t>B151GHPPKB0030174</t>
  </si>
  <si>
    <t>PPK - Gazdasági Hivatal</t>
  </si>
  <si>
    <t>B0030</t>
  </si>
  <si>
    <t>B151GHPPK</t>
  </si>
  <si>
    <t>B111KKPPK Összeg</t>
  </si>
  <si>
    <t>B111KKPPKB0140174</t>
  </si>
  <si>
    <t>PPK - Könyvtár</t>
  </si>
  <si>
    <t>B0140</t>
  </si>
  <si>
    <t>B111KKPPK</t>
  </si>
  <si>
    <t>B111KKPPKB014087</t>
  </si>
  <si>
    <t>A111KKAJK Összeg</t>
  </si>
  <si>
    <t>A111KKAJKA0080174</t>
  </si>
  <si>
    <t>ÁJTK Kari Könyvtár</t>
  </si>
  <si>
    <t>A111KKAJKA0080130,5</t>
  </si>
  <si>
    <t>ÁKTH mértéke</t>
  </si>
  <si>
    <t>ÁKTH címzettje</t>
  </si>
  <si>
    <t>Arányszám</t>
  </si>
  <si>
    <t>Havi óra</t>
  </si>
  <si>
    <t>Funkc.ter neve</t>
  </si>
  <si>
    <t>Funkc.ter</t>
  </si>
  <si>
    <t>Pénzügyi kp.</t>
  </si>
  <si>
    <t>Gazda</t>
  </si>
  <si>
    <t>AA01</t>
  </si>
  <si>
    <t>A111</t>
  </si>
  <si>
    <t>AA01 Összeg</t>
  </si>
  <si>
    <t>AA05</t>
  </si>
  <si>
    <t>AA05 Összeg</t>
  </si>
  <si>
    <t>AB01</t>
  </si>
  <si>
    <t>B111</t>
  </si>
  <si>
    <t>B111DHPPK</t>
  </si>
  <si>
    <t>Kari Könyvtár</t>
  </si>
  <si>
    <t>AB01 Összeg</t>
  </si>
  <si>
    <t>AB05</t>
  </si>
  <si>
    <t>UKAZINCZY</t>
  </si>
  <si>
    <t>B151THPPK</t>
  </si>
  <si>
    <t>AB05 Összeg</t>
  </si>
  <si>
    <t>AC01</t>
  </si>
  <si>
    <t>C10401/16</t>
  </si>
  <si>
    <t>AC9201/04</t>
  </si>
  <si>
    <t>AC1201/12</t>
  </si>
  <si>
    <t>C111</t>
  </si>
  <si>
    <t>C111SFILO</t>
  </si>
  <si>
    <t>AC01 Összeg</t>
  </si>
  <si>
    <t>AC05</t>
  </si>
  <si>
    <t>C151THBTK</t>
  </si>
  <si>
    <t>AC05 Összeg</t>
  </si>
  <si>
    <t>AD01</t>
  </si>
  <si>
    <t>D10401/16</t>
  </si>
  <si>
    <t>D111</t>
  </si>
  <si>
    <t>D111DHTTK</t>
  </si>
  <si>
    <t>D111SFOLD</t>
  </si>
  <si>
    <t>AD01 Összeg</t>
  </si>
  <si>
    <t>AD05</t>
  </si>
  <si>
    <t>D151GHTTK</t>
  </si>
  <si>
    <t>D151THTTK</t>
  </si>
  <si>
    <t>AD05 Összeg</t>
  </si>
  <si>
    <t>AE01</t>
  </si>
  <si>
    <t>E111</t>
  </si>
  <si>
    <t>E11101/16</t>
  </si>
  <si>
    <t>E111DHINF</t>
  </si>
  <si>
    <t>IK Dékáni Hivatal</t>
  </si>
  <si>
    <t>AE01 Összeg</t>
  </si>
  <si>
    <t>AE05</t>
  </si>
  <si>
    <t>E151GHINF</t>
  </si>
  <si>
    <t>IK Gazdasági Hivatal</t>
  </si>
  <si>
    <t>AE05 Összeg</t>
  </si>
  <si>
    <t>AF01</t>
  </si>
  <si>
    <t>F111</t>
  </si>
  <si>
    <t>F111DHTAT</t>
  </si>
  <si>
    <t>AF01 Összeg</t>
  </si>
  <si>
    <t>AF05</t>
  </si>
  <si>
    <t>F151GHTAT</t>
  </si>
  <si>
    <t>F151THTAT</t>
  </si>
  <si>
    <t>AF05 Összeg</t>
  </si>
  <si>
    <t>AG01</t>
  </si>
  <si>
    <t>G111</t>
  </si>
  <si>
    <t>G111DHBAR</t>
  </si>
  <si>
    <t>BGGYK Dékáni Hivatal</t>
  </si>
  <si>
    <t>AG01 Összeg</t>
  </si>
  <si>
    <t>AG05</t>
  </si>
  <si>
    <t>G151THBAR</t>
  </si>
  <si>
    <t>BGGYK Tanulmányi Hivatal</t>
  </si>
  <si>
    <t>AG05 Összeg</t>
  </si>
  <si>
    <t>AH01</t>
  </si>
  <si>
    <t>H111</t>
  </si>
  <si>
    <t>H111DHTOK</t>
  </si>
  <si>
    <t>TÓK Dékáni Hivatal</t>
  </si>
  <si>
    <t>TÓK Kari Könyvtár</t>
  </si>
  <si>
    <t>AH01 Összeg</t>
  </si>
  <si>
    <t>AH05</t>
  </si>
  <si>
    <t>UKISSJ40</t>
  </si>
  <si>
    <t>H151GHTOK</t>
  </si>
  <si>
    <t>TÓK Gazdasági Hivatal</t>
  </si>
  <si>
    <t>H151THTOK</t>
  </si>
  <si>
    <t>TÓK Tanulmányi Hivatal</t>
  </si>
  <si>
    <t>AH05 Összeg</t>
  </si>
  <si>
    <t>ES02</t>
  </si>
  <si>
    <t>S12101/16</t>
  </si>
  <si>
    <t>ES02 Összeg</t>
  </si>
  <si>
    <t>ES03</t>
  </si>
  <si>
    <t>S13101/16</t>
  </si>
  <si>
    <t>ES03 Összeg</t>
  </si>
  <si>
    <t>ES04</t>
  </si>
  <si>
    <t>S141</t>
  </si>
  <si>
    <t>ES04 Összeg</t>
  </si>
  <si>
    <t>KK02</t>
  </si>
  <si>
    <t>UPAZMKP</t>
  </si>
  <si>
    <t>K02701/16</t>
  </si>
  <si>
    <t>KK02 Összeg</t>
  </si>
  <si>
    <t>KK04</t>
  </si>
  <si>
    <t>KK04 Összeg</t>
  </si>
  <si>
    <t>KN01</t>
  </si>
  <si>
    <t>N10201/16</t>
  </si>
  <si>
    <t>N10301/16</t>
  </si>
  <si>
    <t>N10801/16</t>
  </si>
  <si>
    <t>N10901/16</t>
  </si>
  <si>
    <t>N11001/16</t>
  </si>
  <si>
    <t>N11101/16</t>
  </si>
  <si>
    <t>KN01 Összeg</t>
  </si>
  <si>
    <t>KN02</t>
  </si>
  <si>
    <t>N12101/16</t>
  </si>
  <si>
    <t>KN02 Összeg</t>
  </si>
  <si>
    <t>KN03</t>
  </si>
  <si>
    <t>N130</t>
  </si>
  <si>
    <t>N13201/16</t>
  </si>
  <si>
    <t>KSZO - Nándorfejérvári út</t>
  </si>
  <si>
    <t>N13301/16</t>
  </si>
  <si>
    <t>KSZO - Vezér úti Tagkollé</t>
  </si>
  <si>
    <t>N13401/16</t>
  </si>
  <si>
    <t>KSZO - ADS Kollégium</t>
  </si>
  <si>
    <t>N13601/16</t>
  </si>
  <si>
    <t>KSZO - Damjanich u. Koll.</t>
  </si>
  <si>
    <t>N138</t>
  </si>
  <si>
    <t>UKUNIMASZ</t>
  </si>
  <si>
    <t>UDEBRMASZ</t>
  </si>
  <si>
    <t>N14001/16</t>
  </si>
  <si>
    <t>KN03 Összeg</t>
  </si>
  <si>
    <t>KN04</t>
  </si>
  <si>
    <t>N14801/17</t>
  </si>
  <si>
    <t>N14803/17</t>
  </si>
  <si>
    <t>BDPK Igazgatói Hivatal</t>
  </si>
  <si>
    <t>N15101/17</t>
  </si>
  <si>
    <t>KN04 Összeg</t>
  </si>
  <si>
    <t>MT01</t>
  </si>
  <si>
    <t>Apáczai Cs.J.Gyakorl</t>
  </si>
  <si>
    <t>T11101/16</t>
  </si>
  <si>
    <t>T11201/16</t>
  </si>
  <si>
    <t>T11301/16</t>
  </si>
  <si>
    <t>T11501/16</t>
  </si>
  <si>
    <t>MT01 Összeg</t>
  </si>
  <si>
    <t>MT02</t>
  </si>
  <si>
    <t>Radnóti M.Gyak.Isk.</t>
  </si>
  <si>
    <t>T12101/16</t>
  </si>
  <si>
    <t>T12201/16</t>
  </si>
  <si>
    <t>T12202/16</t>
  </si>
  <si>
    <t>T12301/16</t>
  </si>
  <si>
    <t>MT02 Összeg</t>
  </si>
  <si>
    <t>MT03</t>
  </si>
  <si>
    <t>T13201/16</t>
  </si>
  <si>
    <t>T13202/16</t>
  </si>
  <si>
    <t>MT03 Összeg</t>
  </si>
  <si>
    <t>MT04</t>
  </si>
  <si>
    <t>ELTE Gyertyánffy I.</t>
  </si>
  <si>
    <t>T14101/16</t>
  </si>
  <si>
    <t>T14201/16</t>
  </si>
  <si>
    <t>T14301/16</t>
  </si>
  <si>
    <t>MT04 Összeg</t>
  </si>
  <si>
    <t>MT05</t>
  </si>
  <si>
    <t>ELTE Gyakorló Óvoda</t>
  </si>
  <si>
    <t>T15101/16</t>
  </si>
  <si>
    <t>T15201/16</t>
  </si>
  <si>
    <t>MT05 Összeg</t>
  </si>
  <si>
    <t>MT06</t>
  </si>
  <si>
    <t>BGGYK Gyak.Ált.Isk.</t>
  </si>
  <si>
    <t>T16101/16</t>
  </si>
  <si>
    <t>T16201/16</t>
  </si>
  <si>
    <t>MT06 Összeg</t>
  </si>
  <si>
    <t>MT07</t>
  </si>
  <si>
    <t>BGGYK Gyak.Óvoda</t>
  </si>
  <si>
    <t>T17101/16</t>
  </si>
  <si>
    <t>MT07 Összeg</t>
  </si>
  <si>
    <t>MT09</t>
  </si>
  <si>
    <t>T19101/17</t>
  </si>
  <si>
    <t>T19201/17</t>
  </si>
  <si>
    <t>T19301/17</t>
  </si>
  <si>
    <t>MT09 Összeg</t>
  </si>
  <si>
    <t>RR01</t>
  </si>
  <si>
    <t>R10101/16</t>
  </si>
  <si>
    <t>RR01 Összeg</t>
  </si>
  <si>
    <t>RR04</t>
  </si>
  <si>
    <t>Bolyai Kollégium</t>
  </si>
  <si>
    <t>R14301/16</t>
  </si>
  <si>
    <t>R144</t>
  </si>
  <si>
    <t>Eötvös József Collegium</t>
  </si>
  <si>
    <t>R14401/16</t>
  </si>
  <si>
    <t>UMEN11EJC</t>
  </si>
  <si>
    <t>RR04 Összeg</t>
  </si>
  <si>
    <t>RR05</t>
  </si>
  <si>
    <t>R151</t>
  </si>
  <si>
    <t>R153</t>
  </si>
  <si>
    <t>RR05 Összeg</t>
  </si>
  <si>
    <t>RR06</t>
  </si>
  <si>
    <t>R161</t>
  </si>
  <si>
    <t>RR06 Összeg</t>
  </si>
  <si>
    <t>SS01</t>
  </si>
  <si>
    <t>D131SBIOL</t>
  </si>
  <si>
    <t>Biológiai Tanszék</t>
  </si>
  <si>
    <t>SS01 Összeg</t>
  </si>
  <si>
    <t>Felosztás száma</t>
  </si>
  <si>
    <t>Felosztás neve</t>
  </si>
  <si>
    <t>22.b) melléklet 2. munkalap - KÉPZÉSI FINANSZÍROZÁS ÁTVÉTEL KARON BELÜL KÉPZÉSI MUNKASZÁMOKRÓL - CÉLSZERVEZET SZERINTI (TEHÁT ÁTADOTT ÁTOKTATÁSSAL CSÖKKENTETT ÖSSZEG) INTÉZETI/TANSZÉKI SZINTŰ BONTÁS</t>
  </si>
  <si>
    <t>Ahol csak a kar van megjelölve célszervezetként, és nincs kar alatti szervezeti alábontás, ott a modell nem találta meg ezt a szervezetet, így csak karhoz tudta kapcsolni a bevételt. Ezek felosztása a kar döntése szerint történik kar alatti szervezetekre.</t>
  </si>
  <si>
    <t>Nem átoktatás</t>
  </si>
  <si>
    <t>CÉLKAR</t>
  </si>
  <si>
    <t>ÁJTK-AGJ</t>
  </si>
  <si>
    <t>ÁJTK-AJ</t>
  </si>
  <si>
    <t>ÁJTK-BE</t>
  </si>
  <si>
    <t>ÁJTK-BJ</t>
  </si>
  <si>
    <t>ÁJTK-DH</t>
  </si>
  <si>
    <t>ÁJTK-INYOK</t>
  </si>
  <si>
    <t>ÁJTK-JOT</t>
  </si>
  <si>
    <t>ÁJTK-JTI</t>
  </si>
  <si>
    <t>ÁJTK-KGT</t>
  </si>
  <si>
    <t>ÁJTK-KIG</t>
  </si>
  <si>
    <t>ÁJTK-KÖNYVTÁR</t>
  </si>
  <si>
    <t>ÁJTK-KR</t>
  </si>
  <si>
    <t>ÁJTK-MÁJT</t>
  </si>
  <si>
    <t>ÁJTK-MUJ</t>
  </si>
  <si>
    <t>ÁJTK-NJ</t>
  </si>
  <si>
    <t>ÁJTK-NMJ</t>
  </si>
  <si>
    <t>ÁJTK-PE</t>
  </si>
  <si>
    <t>ÁJTK-PJ</t>
  </si>
  <si>
    <t>ÁJTK-POL</t>
  </si>
  <si>
    <t>ÁJTK-PÜJ</t>
  </si>
  <si>
    <t>ÁJTK-RJOJT</t>
  </si>
  <si>
    <t>ÁJTK-TH</t>
  </si>
  <si>
    <t>Budapest Összeg</t>
  </si>
  <si>
    <t>ÁJTK Összeg</t>
  </si>
  <si>
    <t>BDPK-ANGOL-SEK</t>
  </si>
  <si>
    <t>BDPK-BIOLOGIA-SEK</t>
  </si>
  <si>
    <t>BDPK-FIZIKA-SEK</t>
  </si>
  <si>
    <t>BDPK-FOLDRAJZ-SEK</t>
  </si>
  <si>
    <t>BDPK-KEMIA-SEK</t>
  </si>
  <si>
    <t>BDPK-MAGYARIR-SEK</t>
  </si>
  <si>
    <t>BDPK-MAGYARNY-SEK</t>
  </si>
  <si>
    <t>BDPK-MATEMATIKA-SEK</t>
  </si>
  <si>
    <t>BDPK-NEMET-SEK</t>
  </si>
  <si>
    <t>BDPK-SZLAVISZTIK-SEK</t>
  </si>
  <si>
    <t>BDPK-TORTENELEM-SEK</t>
  </si>
  <si>
    <t>BDPK-VIZUALIS-SEK</t>
  </si>
  <si>
    <t>BDPK-ZENE-SEK</t>
  </si>
  <si>
    <t>Szombathely Összeg</t>
  </si>
  <si>
    <t>BDPK-SEK Összeg</t>
  </si>
  <si>
    <t>BGGYK-ALTGYP</t>
  </si>
  <si>
    <t>BGGYK-ATIVIK</t>
  </si>
  <si>
    <t>BGGYK-DH</t>
  </si>
  <si>
    <t>BGGYK-FOTRI</t>
  </si>
  <si>
    <t>BGGYK-GYMRI</t>
  </si>
  <si>
    <t>BGGYK-GYOPSZI</t>
  </si>
  <si>
    <t>BGGYK-GYTK</t>
  </si>
  <si>
    <t>BGGYK Összeg</t>
  </si>
  <si>
    <t>BTK-1819MAIR-T05</t>
  </si>
  <si>
    <t>BTK-ALKNYELVFON-T06</t>
  </si>
  <si>
    <t>BTK-ALTFILO-T02</t>
  </si>
  <si>
    <t>BTK-ANGOL-AM-I01-ALK</t>
  </si>
  <si>
    <t>BTK-ANGOL-AM-I01-AME</t>
  </si>
  <si>
    <t>BTK-ANGOL-AM-I01-ANG</t>
  </si>
  <si>
    <t>BTK-ANGOL-AM-I01-NYP</t>
  </si>
  <si>
    <t>BTK-ANGOL-AM-I01-NYV</t>
  </si>
  <si>
    <t>BTK-AREGESZOM-T12</t>
  </si>
  <si>
    <t>BTK-ASSZIR-T11</t>
  </si>
  <si>
    <t>BTK-ATELIER-T16</t>
  </si>
  <si>
    <t>BTK-BELSOA-T15</t>
  </si>
  <si>
    <t>BTK-BUDDTIBT-T15</t>
  </si>
  <si>
    <t>BTK-EGYIPT-T11</t>
  </si>
  <si>
    <t>BTK-ELMNYELV-T02</t>
  </si>
  <si>
    <t>BTK-ESZTETIK-T07</t>
  </si>
  <si>
    <t>BTK-FILMTUD-T07</t>
  </si>
  <si>
    <t>BTK-FILOZOF-I02</t>
  </si>
  <si>
    <t>BTK-FOLKLORE-T09</t>
  </si>
  <si>
    <t>BTK-FORDTOLM-T17</t>
  </si>
  <si>
    <t>BTK-FRANCIA-T13</t>
  </si>
  <si>
    <t>BTK-GAZDTORT-T16</t>
  </si>
  <si>
    <t>BTK-GERMAN-I03</t>
  </si>
  <si>
    <t>BTK-GOROG-T11</t>
  </si>
  <si>
    <t>BTK-INDOLOG-T10</t>
  </si>
  <si>
    <t>BTK-IRANISZ-T10</t>
  </si>
  <si>
    <t>BTK-JAPAN-T15</t>
  </si>
  <si>
    <t>BTK-JELETORT-T16</t>
  </si>
  <si>
    <t>BTK-JELMTORT-T16</t>
  </si>
  <si>
    <t>BTK-KINAI-T15</t>
  </si>
  <si>
    <t>BTK-KKEUOROSZT-T16</t>
  </si>
  <si>
    <t>BTK-KONYVINF-I04</t>
  </si>
  <si>
    <t>BTK-KONYVINF-I04-INF</t>
  </si>
  <si>
    <t>BTK-KONYVTUD-T04</t>
  </si>
  <si>
    <t>BTK-KORAUJTT-T16</t>
  </si>
  <si>
    <t>BTK-KOREAI-T15</t>
  </si>
  <si>
    <t>BTK-KOZEPKTT-T16</t>
  </si>
  <si>
    <t>BTK-LATIN-T11</t>
  </si>
  <si>
    <t>BTK-LENGYEL-T14</t>
  </si>
  <si>
    <t>BTK-LOGIKA-T02</t>
  </si>
  <si>
    <t>BTK-MAGYMID-T06</t>
  </si>
  <si>
    <t>BTK-MANYETOR-T06</t>
  </si>
  <si>
    <t>BTK-MANYFI-I06</t>
  </si>
  <si>
    <t>BTK-MED-KOMM-T07</t>
  </si>
  <si>
    <t>BTK-MIKI-I05</t>
  </si>
  <si>
    <t>BTK-MMANYELV-T06</t>
  </si>
  <si>
    <t>BTK-MOMAIROD-T05</t>
  </si>
  <si>
    <t>BTK-MUVELTOR-T16</t>
  </si>
  <si>
    <t>BTK-MUVKOZV-I20</t>
  </si>
  <si>
    <t>BTK-MUV-MED-I07</t>
  </si>
  <si>
    <t>BTK-MUVTORT-I08</t>
  </si>
  <si>
    <t>BTK-NEDER-T03</t>
  </si>
  <si>
    <t>BTK-NEMETIRO-T03</t>
  </si>
  <si>
    <t>BTK-NEMETNY-T03</t>
  </si>
  <si>
    <t>BTK-NEMETSZ-T03</t>
  </si>
  <si>
    <t>BTK-NEPRAJZ-I09</t>
  </si>
  <si>
    <t>BTK-NREGESZ-T12</t>
  </si>
  <si>
    <t>BTK-NYELVKOZV-I19</t>
  </si>
  <si>
    <t>BTK-OIRODKUL-T05</t>
  </si>
  <si>
    <t>BTK-OKORI-F-T02</t>
  </si>
  <si>
    <t>BTK-OKORTORT-T16</t>
  </si>
  <si>
    <t>BTK-OKORTUD-I11</t>
  </si>
  <si>
    <t>BTK-OLASZ-T13</t>
  </si>
  <si>
    <t>BTK-OREGESZ-T12</t>
  </si>
  <si>
    <t>BTK-ORIENTAL-I10</t>
  </si>
  <si>
    <t>BTK-OROSZ-T14</t>
  </si>
  <si>
    <t>BTK-OSAREGESZ-T12</t>
  </si>
  <si>
    <t>BTK-PORTUGAL-T13</t>
  </si>
  <si>
    <t>BTK-REGESZET-I12</t>
  </si>
  <si>
    <t>BTK-RMAIROD-T05</t>
  </si>
  <si>
    <t>BTK-ROMANISZ-I13</t>
  </si>
  <si>
    <t>BTK-ROMAN-T13</t>
  </si>
  <si>
    <t>BTK-SEMIARABTK-T10</t>
  </si>
  <si>
    <t>BTK-SKANDI-T03</t>
  </si>
  <si>
    <t>BTK-SPANYOL-T13</t>
  </si>
  <si>
    <t>BTK-SZLAVB-I14</t>
  </si>
  <si>
    <t>BTK-SZLAVFIL-T14</t>
  </si>
  <si>
    <t>BTK-SZLAV-K14</t>
  </si>
  <si>
    <t>BTK-TANEPR-T09</t>
  </si>
  <si>
    <t>BTK-TAVOLK-I15</t>
  </si>
  <si>
    <t>BTK-TAVOLK-I15-KÖNYV</t>
  </si>
  <si>
    <t>BTK-TOROK-T10</t>
  </si>
  <si>
    <t>BTK-TORTENET-I16</t>
  </si>
  <si>
    <t>BTK-TORTSTUD-T16</t>
  </si>
  <si>
    <t>BTK-UJKORI-F-T02</t>
  </si>
  <si>
    <t>BTK-UKRAN-T14</t>
  </si>
  <si>
    <t>BTK-VALLAST-T11</t>
  </si>
  <si>
    <t>BTK-ZENEKULT-T20</t>
  </si>
  <si>
    <t>BTK-MUVTORT-I08-MJKM</t>
  </si>
  <si>
    <t>BTK-MUVTORT-I08-KRBM</t>
  </si>
  <si>
    <t>BTK-DIGBÖLCSKP</t>
  </si>
  <si>
    <t>BTK-GAZDHIV-31</t>
  </si>
  <si>
    <t>BTK-ZENEIINTE-T20</t>
  </si>
  <si>
    <t>BTK Összeg</t>
  </si>
  <si>
    <t>GTI-ÉRVMARK</t>
  </si>
  <si>
    <t>GTI-MENÜZLJOG</t>
  </si>
  <si>
    <t>GTI-ÖGAZDTAN</t>
  </si>
  <si>
    <t>GTI-PÜSZÁMV</t>
  </si>
  <si>
    <t>IK-ADATTUD</t>
  </si>
  <si>
    <t>IK-ALALK</t>
  </si>
  <si>
    <t>IK-CLC</t>
  </si>
  <si>
    <t>IK-DH</t>
  </si>
  <si>
    <t>IK-ICS</t>
  </si>
  <si>
    <t>IK-IRT</t>
  </si>
  <si>
    <t>IK-KOMPALG</t>
  </si>
  <si>
    <t>IK-MÉDIA</t>
  </si>
  <si>
    <t>IK-MESTINT</t>
  </si>
  <si>
    <t>IK-NUMANAL</t>
  </si>
  <si>
    <t>IK-PESZT</t>
  </si>
  <si>
    <t>IK-PNYFT</t>
  </si>
  <si>
    <t>IK-SEK-MI</t>
  </si>
  <si>
    <t>IK-TÉRKÉP</t>
  </si>
  <si>
    <t>IK-EGYVÁLLINT</t>
  </si>
  <si>
    <t>IK-INFTUDINT</t>
  </si>
  <si>
    <t>IK Összeg</t>
  </si>
  <si>
    <t>PPK-DÉKÁNI</t>
  </si>
  <si>
    <t>PPK-ÉLETVEZTAN</t>
  </si>
  <si>
    <t>PPK-ESI</t>
  </si>
  <si>
    <t>PPK-FTI</t>
  </si>
  <si>
    <t>PPK-IPPI</t>
  </si>
  <si>
    <t>PPK-ISSZK</t>
  </si>
  <si>
    <t>PPK-NI</t>
  </si>
  <si>
    <t>PPK-PI</t>
  </si>
  <si>
    <t>PPK-TH</t>
  </si>
  <si>
    <t>PPK-EKTI</t>
  </si>
  <si>
    <t>PPK-SEK-PPI</t>
  </si>
  <si>
    <t>PPK-SEK-SI</t>
  </si>
  <si>
    <t>PPK Összeg</t>
  </si>
  <si>
    <t>TÁTK-EGPOL-TANSZ</t>
  </si>
  <si>
    <t>TÁTK-ELMT-TANSZ</t>
  </si>
  <si>
    <t>TÁTK-EU-TANSZ</t>
  </si>
  <si>
    <t>TÁTK-KISEBB-TANSZ</t>
  </si>
  <si>
    <t>TÁTK-KOZGAZ-TANSZ</t>
  </si>
  <si>
    <t>TÁTK-KULTANT-TANSZ</t>
  </si>
  <si>
    <t>TÁTK-MODSZER-TANSZ</t>
  </si>
  <si>
    <t>TÁTK-POL-TANSZ</t>
  </si>
  <si>
    <t>TÁTK-PSZICHO-TANSZ</t>
  </si>
  <si>
    <t>TÁTK-STAT-TANSZ</t>
  </si>
  <si>
    <t>TÁTK-SZOCIAL-INT</t>
  </si>
  <si>
    <t>TÁTK-SZOCMUNK-TANSZ</t>
  </si>
  <si>
    <t>TÁTK-SZOCPOL-TANSZ</t>
  </si>
  <si>
    <t>TÁTK-SZOC-TANSZ</t>
  </si>
  <si>
    <t>TÁTK-TÖRTSZ-TANSZ</t>
  </si>
  <si>
    <t>TÁTK-KÖZGAZ-INT</t>
  </si>
  <si>
    <t>TÁTK-GT-SEK</t>
  </si>
  <si>
    <t>TÁTK Összeg</t>
  </si>
  <si>
    <t>TÓK-DIGIPEDTSZ</t>
  </si>
  <si>
    <t>TÓK-ÉNEKZENETSZ</t>
  </si>
  <si>
    <t>TÓK-IDNYELVITSZ</t>
  </si>
  <si>
    <t>TÓK-MAGYARTSZ</t>
  </si>
  <si>
    <t>TÓK-MATEMATIKATSZ</t>
  </si>
  <si>
    <t>TÓK-NEVTUDTSZ</t>
  </si>
  <si>
    <t>TÓK-TÁRSTUDTSZ</t>
  </si>
  <si>
    <t>TÓK-TERMTUDTSZ</t>
  </si>
  <si>
    <t>TÓK-TESTNEVTSZ</t>
  </si>
  <si>
    <t>TÓK-VIZUÁLISTSZ</t>
  </si>
  <si>
    <t>TÓK Összeg</t>
  </si>
  <si>
    <t>TTK-BIÁLLATRÖKOL</t>
  </si>
  <si>
    <t>TTK-BIANATSEJTFEJL</t>
  </si>
  <si>
    <t>TTK-BIBIOKÉM</t>
  </si>
  <si>
    <t>TTK-BIÉLETNEURO</t>
  </si>
  <si>
    <t>TTK-BIEMBERTAN</t>
  </si>
  <si>
    <t>TTK-BIEMBERTAN-BIO</t>
  </si>
  <si>
    <t>TTK-BIETOLÓGIA</t>
  </si>
  <si>
    <t>TTK-BIGENETIKA</t>
  </si>
  <si>
    <t>TTK-BIIMMUN</t>
  </si>
  <si>
    <t>TTK-BIMIKROBIOL</t>
  </si>
  <si>
    <t>TTK-BINÖVÉLMOLNÖVBI</t>
  </si>
  <si>
    <t>TTK-BINÖVRÖKOLELMBI</t>
  </si>
  <si>
    <t>TTK-BINÖVSZERV</t>
  </si>
  <si>
    <t>TTK-BIOLÓGIA</t>
  </si>
  <si>
    <t>TTK-FFI</t>
  </si>
  <si>
    <t>TTK-FFIÁLTALKFÖLDTAN</t>
  </si>
  <si>
    <t>TTK-FFIÁSVÁNYTAN</t>
  </si>
  <si>
    <t>TTK-FFICSILLAGÁSZ</t>
  </si>
  <si>
    <t>TTK-FFIFÖLDRAJZSZAKM</t>
  </si>
  <si>
    <t>TTK-FFI-FÖLDTUD-KP</t>
  </si>
  <si>
    <t>TTK-FFIGEOFIZIKA</t>
  </si>
  <si>
    <t>TTK-FFIKÖRNYTAJFÖLDR</t>
  </si>
  <si>
    <t>TTK-FFIKŐZETGEOK</t>
  </si>
  <si>
    <t>TTK-FFIMETEOROLÓGIA</t>
  </si>
  <si>
    <t>TTK-FFIŐSLÉNYTAN</t>
  </si>
  <si>
    <t>TTK-FFIREGTUD</t>
  </si>
  <si>
    <t>TTK-FFITERMFÖLDR</t>
  </si>
  <si>
    <t>TTK-FFITGF</t>
  </si>
  <si>
    <t>TTK-FFIŰRKUTATÓ</t>
  </si>
  <si>
    <t>TTK-FIANYAGFIZIKA</t>
  </si>
  <si>
    <t>TTK-FIATOMFIZIKA</t>
  </si>
  <si>
    <t>TTK-FIBIOLFIZIKA</t>
  </si>
  <si>
    <t>TTK-FIELMÉLETIFIZ</t>
  </si>
  <si>
    <t>TTK-FIKOMPLRENDSZ</t>
  </si>
  <si>
    <t>TTK-FIZIKA</t>
  </si>
  <si>
    <t>TTK-KARITERMMÚZEUM</t>
  </si>
  <si>
    <t>TTK-KÉMIA</t>
  </si>
  <si>
    <t>TTK-KIANALKÉM</t>
  </si>
  <si>
    <t>TTK-KIFIZKÉM</t>
  </si>
  <si>
    <t>TTK-KISZERVESKÉM</t>
  </si>
  <si>
    <t>TTK-KISZERVETLEN</t>
  </si>
  <si>
    <t>TTK-KÖRNYTUD</t>
  </si>
  <si>
    <t>TTK-MATEMATIKA</t>
  </si>
  <si>
    <t>TTK-MIALGSZÁM</t>
  </si>
  <si>
    <t>TTK-MIALKANALSZÁMMAT</t>
  </si>
  <si>
    <t>TTK-MIANALÍZIS</t>
  </si>
  <si>
    <t>TTK-MIGEOMETRIA</t>
  </si>
  <si>
    <t>TTK-MIMATTANMÓDSZ</t>
  </si>
  <si>
    <t>TTK-MIOPKUT</t>
  </si>
  <si>
    <t>TTK-MISZÁMÍTÓGÉPTUD</t>
  </si>
  <si>
    <t>TTK-MIVALELMSTAT</t>
  </si>
  <si>
    <t>TTK-TH</t>
  </si>
  <si>
    <t>TTK Összeg</t>
  </si>
  <si>
    <t>22.b) melléklet 3. munkalap - ÁTVETT ÁTOKTATÁS MÁS KARRÓL - CÉLSZERVEZET SZERINTI INTÉZETI/TANSZÉKI SZINTŰ BONTÁS</t>
  </si>
  <si>
    <t>BTK-DOKTORK-24</t>
  </si>
  <si>
    <t>PPK-SEK</t>
  </si>
  <si>
    <t>TKK Összeg</t>
  </si>
  <si>
    <t>22.b2</t>
  </si>
  <si>
    <t>22.b3</t>
  </si>
  <si>
    <t>Képzési támogatás felosztása általános munkaszámról intézetekre / tanszékekre</t>
  </si>
  <si>
    <t>ORGANIZATIONID</t>
  </si>
  <si>
    <t>CODE</t>
  </si>
  <si>
    <t>DESCRIPTION</t>
  </si>
  <si>
    <t>ORGANIZATIONTYPENAME</t>
  </si>
  <si>
    <t>BOSSID</t>
  </si>
  <si>
    <t>BOSSCODE</t>
  </si>
  <si>
    <t>165661923</t>
  </si>
  <si>
    <t>20086103</t>
  </si>
  <si>
    <t>ELTE</t>
  </si>
  <si>
    <t>1</t>
  </si>
  <si>
    <t>165661977</t>
  </si>
  <si>
    <t>ÁJTK Agrárjogi Tanszék</t>
  </si>
  <si>
    <t>Tanszék (önálló)</t>
  </si>
  <si>
    <t>2</t>
  </si>
  <si>
    <t>165661957</t>
  </si>
  <si>
    <t>ÁJTK Alkotmányjogi Tanszék</t>
  </si>
  <si>
    <t>3</t>
  </si>
  <si>
    <t>165661960</t>
  </si>
  <si>
    <t>ÁJTK Büntető Eljárásjogi és Büntetés-végrehajtási Jogi Tanszék</t>
  </si>
  <si>
    <t>4</t>
  </si>
  <si>
    <t>165661961</t>
  </si>
  <si>
    <t>ÁJTK Büntetőjogi Tanszék</t>
  </si>
  <si>
    <t>5</t>
  </si>
  <si>
    <t>165662248</t>
  </si>
  <si>
    <t>ÁJTK Dékáni Hivatal</t>
  </si>
  <si>
    <t>Egyéb szervezeti egység</t>
  </si>
  <si>
    <t>6</t>
  </si>
  <si>
    <t>165662251</t>
  </si>
  <si>
    <t>ÁJTK-GH</t>
  </si>
  <si>
    <t>ÁJTK Gazdasági Hivatal</t>
  </si>
  <si>
    <t>7</t>
  </si>
  <si>
    <t>165661964</t>
  </si>
  <si>
    <t>ÁJTK Idegennyelvi Oktatásszervezési Központ</t>
  </si>
  <si>
    <t>Központ (oktatási)</t>
  </si>
  <si>
    <t>8</t>
  </si>
  <si>
    <t>425609757</t>
  </si>
  <si>
    <t>ÁJTK Jog- és Társadalomelméleti Tanszék</t>
  </si>
  <si>
    <t>9</t>
  </si>
  <si>
    <t>165662528</t>
  </si>
  <si>
    <t>ÁJTK Jogi Továbbképző Intézet</t>
  </si>
  <si>
    <t>Intézet</t>
  </si>
  <si>
    <t>10</t>
  </si>
  <si>
    <t>165661966</t>
  </si>
  <si>
    <t>ÁJTK Közgazdaságtan és Statisztika Tanszék</t>
  </si>
  <si>
    <t>11</t>
  </si>
  <si>
    <t>165661959</t>
  </si>
  <si>
    <t>ÁJTK Közigazgatási Jogi Tanszék</t>
  </si>
  <si>
    <t>12</t>
  </si>
  <si>
    <t>165662556</t>
  </si>
  <si>
    <t>ÁJTK-KÖJT-KP</t>
  </si>
  <si>
    <t>ÁJTK Kuncz Ödön Jogi Tudásközpont</t>
  </si>
  <si>
    <t>13</t>
  </si>
  <si>
    <t>165662253</t>
  </si>
  <si>
    <t>14</t>
  </si>
  <si>
    <t>165661967</t>
  </si>
  <si>
    <t>ÁJTK Kriminológiai Tanszék</t>
  </si>
  <si>
    <t>15</t>
  </si>
  <si>
    <t>165661968</t>
  </si>
  <si>
    <t>ÁJTK Magyar Állam- és Jogtörténeti Tanszék</t>
  </si>
  <si>
    <t>16</t>
  </si>
  <si>
    <t>165661969</t>
  </si>
  <si>
    <t>ÁJTK Munkajogi és Szociális Jogi Tanszék</t>
  </si>
  <si>
    <t>17</t>
  </si>
  <si>
    <t>165661970</t>
  </si>
  <si>
    <t>ÁJTK Nemzetközi Jogi Tanszék</t>
  </si>
  <si>
    <t>18</t>
  </si>
  <si>
    <t>165661971</t>
  </si>
  <si>
    <t>ÁJTK Nemzetközi Magánjogi és Európai Gazdasági Jogi Tanszék</t>
  </si>
  <si>
    <t>19</t>
  </si>
  <si>
    <t>165661973</t>
  </si>
  <si>
    <t>ÁJTK Polgári Eljárásjogi Tanszék</t>
  </si>
  <si>
    <t>20</t>
  </si>
  <si>
    <t>165661974</t>
  </si>
  <si>
    <t>ÁJTK Polgári Jogi Tanszék</t>
  </si>
  <si>
    <t>21</t>
  </si>
  <si>
    <t>165661975</t>
  </si>
  <si>
    <t>ÁJTK Politikatudományi Intézet</t>
  </si>
  <si>
    <t>22</t>
  </si>
  <si>
    <t>165661972</t>
  </si>
  <si>
    <t>ÁJTK Pénzügyi Jogi Tanszék</t>
  </si>
  <si>
    <t>23</t>
  </si>
  <si>
    <t>425610606</t>
  </si>
  <si>
    <t>ÁJTK Római Jogi és Összehasonlító Jogtörténeti Tanszék</t>
  </si>
  <si>
    <t>24</t>
  </si>
  <si>
    <t>165662249</t>
  </si>
  <si>
    <t>ÁJTK Tanulmányi Hivatal</t>
  </si>
  <si>
    <t>25</t>
  </si>
  <si>
    <t>165662097</t>
  </si>
  <si>
    <t>APÁCZAI</t>
  </si>
  <si>
    <t>ELTE Apáczai Csere János Gyakorló Gimnázium és Kollégium</t>
  </si>
  <si>
    <t>26</t>
  </si>
  <si>
    <t>165662105</t>
  </si>
  <si>
    <t>BÁRCZI-GYAKISK</t>
  </si>
  <si>
    <t>ELTE Bárczi Gusztáv Gyakorló Általános Iskola</t>
  </si>
  <si>
    <t>27</t>
  </si>
  <si>
    <t>801461467</t>
  </si>
  <si>
    <t>BDPK Angol Nyelv és Irodalom Tanszék</t>
  </si>
  <si>
    <t>944010222</t>
  </si>
  <si>
    <t>28</t>
  </si>
  <si>
    <t>801460199</t>
  </si>
  <si>
    <t>BDPK Biológiai Tanszék</t>
  </si>
  <si>
    <t>29</t>
  </si>
  <si>
    <t>801460328</t>
  </si>
  <si>
    <t>BDPK Fizikai Tanszék</t>
  </si>
  <si>
    <t>30</t>
  </si>
  <si>
    <t>801460384</t>
  </si>
  <si>
    <t>BDPK Földrajzi Tanszék</t>
  </si>
  <si>
    <t>31</t>
  </si>
  <si>
    <t>801464204</t>
  </si>
  <si>
    <t>BDPK Kémiai Tanszék</t>
  </si>
  <si>
    <t>32</t>
  </si>
  <si>
    <t>801461640</t>
  </si>
  <si>
    <t>BDPK Magyar Irodalomtudományi Tanszék</t>
  </si>
  <si>
    <t>33</t>
  </si>
  <si>
    <t>801461702</t>
  </si>
  <si>
    <t>BDPK Magyar Nyelvtudományi Tanszék</t>
  </si>
  <si>
    <t>34</t>
  </si>
  <si>
    <t>801460457</t>
  </si>
  <si>
    <t>BDPK Matematikai Tanszék</t>
  </si>
  <si>
    <t>35</t>
  </si>
  <si>
    <t>801461573</t>
  </si>
  <si>
    <t>BDPK Német Nyelv és Irodalom Tanszék</t>
  </si>
  <si>
    <t>36</t>
  </si>
  <si>
    <t>Berzsenyi Dániel Pedagógusképző Központ</t>
  </si>
  <si>
    <t>37</t>
  </si>
  <si>
    <t>972110287</t>
  </si>
  <si>
    <t>BDPK-SEK-IH</t>
  </si>
  <si>
    <t>BDPK-SEK Igazgatói Hivatal</t>
  </si>
  <si>
    <t>38</t>
  </si>
  <si>
    <t>761043105</t>
  </si>
  <si>
    <t>BDPK-SEK-TH</t>
  </si>
  <si>
    <t>BDPK-SEK Tanulmányi Hivatal</t>
  </si>
  <si>
    <t>39</t>
  </si>
  <si>
    <t>801461962</t>
  </si>
  <si>
    <t>BDPK Szlavisztika Tanszék</t>
  </si>
  <si>
    <t>40</t>
  </si>
  <si>
    <t>801462118</t>
  </si>
  <si>
    <t>BDPK Történelem Tanszék</t>
  </si>
  <si>
    <t>41</t>
  </si>
  <si>
    <t>801461820</t>
  </si>
  <si>
    <t>BDPK Vizuális Művészeti Tanszék</t>
  </si>
  <si>
    <t>42</t>
  </si>
  <si>
    <t>801462354</t>
  </si>
  <si>
    <t>BDPK Zenepedagógiai Tanszék</t>
  </si>
  <si>
    <t>43</t>
  </si>
  <si>
    <t>165661946</t>
  </si>
  <si>
    <t>44</t>
  </si>
  <si>
    <t>581534710</t>
  </si>
  <si>
    <t>BGGYK Általános Gyógypedagógiai Intézet</t>
  </si>
  <si>
    <t>45</t>
  </si>
  <si>
    <t>581535034</t>
  </si>
  <si>
    <t>BGGYK Atipikus Viselkedés és Kogníció Gyógypedagógiai Intézet</t>
  </si>
  <si>
    <t>46</t>
  </si>
  <si>
    <t>165662273</t>
  </si>
  <si>
    <t>47</t>
  </si>
  <si>
    <t>581535140</t>
  </si>
  <si>
    <t>BGGYK Fogyatékosság és Társadalmi Részvétel Intézet</t>
  </si>
  <si>
    <t>48</t>
  </si>
  <si>
    <t>165662277</t>
  </si>
  <si>
    <t>BGGYK-GH</t>
  </si>
  <si>
    <t>BGGYK Gazdasági Hivatal</t>
  </si>
  <si>
    <t>49</t>
  </si>
  <si>
    <t>581535298</t>
  </si>
  <si>
    <t>BGGYK Gyógypedagógiai Módszertani és Rehabilitációs Intézet</t>
  </si>
  <si>
    <t>50</t>
  </si>
  <si>
    <t>165662175</t>
  </si>
  <si>
    <t>BGGYK Gyógypedagógiai Pszichológiai Intézet</t>
  </si>
  <si>
    <t>51</t>
  </si>
  <si>
    <t>165662301</t>
  </si>
  <si>
    <t>BGGYK Gyógypedagógiai Továbbképző Központ</t>
  </si>
  <si>
    <t>52</t>
  </si>
  <si>
    <t>165662180</t>
  </si>
  <si>
    <t>BGGYK-ISK</t>
  </si>
  <si>
    <t>BGGYK Illyés Sándor Kutatóközpont</t>
  </si>
  <si>
    <t>53</t>
  </si>
  <si>
    <t>581536248</t>
  </si>
  <si>
    <t>BGGYK-KKGY</t>
  </si>
  <si>
    <t>BGGYK Kari Könyvtár és Gyógypedagógia-történeti Gyűjtemény</t>
  </si>
  <si>
    <t>54</t>
  </si>
  <si>
    <t>581536339</t>
  </si>
  <si>
    <t>BGGYK-SZSZK</t>
  </si>
  <si>
    <t>BGGYK Szakmai Szolgáltató Központ</t>
  </si>
  <si>
    <t>55</t>
  </si>
  <si>
    <t>677379756</t>
  </si>
  <si>
    <t>BGGYK-TH</t>
  </si>
  <si>
    <t>56</t>
  </si>
  <si>
    <t>165662122</t>
  </si>
  <si>
    <t>BISZK</t>
  </si>
  <si>
    <t>Bibó István Szakkollégium</t>
  </si>
  <si>
    <t>Kollégium</t>
  </si>
  <si>
    <t>57</t>
  </si>
  <si>
    <t>165662124</t>
  </si>
  <si>
    <t>BSZK</t>
  </si>
  <si>
    <t>Bolyai Szakkollégium</t>
  </si>
  <si>
    <t>58</t>
  </si>
  <si>
    <t>165661926</t>
  </si>
  <si>
    <t>59</t>
  </si>
  <si>
    <t>991254060</t>
  </si>
  <si>
    <t>BTK Alkalmazott Nyelvészeti és Fonetikai Tanszék</t>
  </si>
  <si>
    <t>Intézeti tanszék</t>
  </si>
  <si>
    <t>165662003</t>
  </si>
  <si>
    <t>60</t>
  </si>
  <si>
    <t>165662332</t>
  </si>
  <si>
    <t>BTK Általános Filozófia Tanszék</t>
  </si>
  <si>
    <t>165661985</t>
  </si>
  <si>
    <t>61</t>
  </si>
  <si>
    <t>165661982</t>
  </si>
  <si>
    <t>BTK-ANGOL-AM-I01</t>
  </si>
  <si>
    <t>BTK Angol-Amerikai Intézet</t>
  </si>
  <si>
    <t>62</t>
  </si>
  <si>
    <t>165661981</t>
  </si>
  <si>
    <t>BTK Angol Alkalmazott Nyelvészeti Tanszék</t>
  </si>
  <si>
    <t>63</t>
  </si>
  <si>
    <t>165661979</t>
  </si>
  <si>
    <t>BTK Amerikanisztika Tanszék</t>
  </si>
  <si>
    <t>64</t>
  </si>
  <si>
    <t>165661980</t>
  </si>
  <si>
    <t>BTK Anglisztika Tanszék</t>
  </si>
  <si>
    <t>65</t>
  </si>
  <si>
    <t>165661984</t>
  </si>
  <si>
    <t>BTK Angol Nyelvpedagógia Tanszék</t>
  </si>
  <si>
    <t>66</t>
  </si>
  <si>
    <t>165661983</t>
  </si>
  <si>
    <t>BTK Angol Nyelvészet Tanszék</t>
  </si>
  <si>
    <t>67</t>
  </si>
  <si>
    <t>165662338</t>
  </si>
  <si>
    <t>BTK Archeometria, Régészeti Örökség és Módszertan Tanszék</t>
  </si>
  <si>
    <t>165662021</t>
  </si>
  <si>
    <t>68</t>
  </si>
  <si>
    <t>165662073</t>
  </si>
  <si>
    <t>BTK Assziriológiai és Hebraisztikai Tanszék</t>
  </si>
  <si>
    <t>165662071</t>
  </si>
  <si>
    <t>69</t>
  </si>
  <si>
    <t>165662334</t>
  </si>
  <si>
    <t>BTK Atelier Interdiszciplináris Történeti Tanszék</t>
  </si>
  <si>
    <t>165662039</t>
  </si>
  <si>
    <t>70</t>
  </si>
  <si>
    <t>165662010</t>
  </si>
  <si>
    <t>BTK Mongol és Belső-ázsiai Tanszék</t>
  </si>
  <si>
    <t>165662218</t>
  </si>
  <si>
    <t>71</t>
  </si>
  <si>
    <t>676009413</t>
  </si>
  <si>
    <t>BTK-BUDDHIZ-T15</t>
  </si>
  <si>
    <t>BTK Buddhizmus-kutatás Központja (Budapest Center for Buddhist Studies)</t>
  </si>
  <si>
    <t>72</t>
  </si>
  <si>
    <t>947540460</t>
  </si>
  <si>
    <t>BTK Buddhológia és Tibetisztika Tanszék</t>
  </si>
  <si>
    <t>73</t>
  </si>
  <si>
    <t>165662256</t>
  </si>
  <si>
    <t>BTK-DÉKÁNHIV</t>
  </si>
  <si>
    <t>74</t>
  </si>
  <si>
    <t>1057036763</t>
  </si>
  <si>
    <t>BTK Digitális Bölcsészet Központ</t>
  </si>
  <si>
    <t>75</t>
  </si>
  <si>
    <t>165662612</t>
  </si>
  <si>
    <t>BTK Doktori Kiválósági Központ</t>
  </si>
  <si>
    <t>76</t>
  </si>
  <si>
    <t>165662075</t>
  </si>
  <si>
    <t>BTK Egyiptológiai Tanszék</t>
  </si>
  <si>
    <t>77</t>
  </si>
  <si>
    <t>165662090</t>
  </si>
  <si>
    <t>BTK Elméleti Nyelvészeti Központ</t>
  </si>
  <si>
    <t>78</t>
  </si>
  <si>
    <t>165662565</t>
  </si>
  <si>
    <t>BTK Esztétika Tanszék</t>
  </si>
  <si>
    <t>165662051</t>
  </si>
  <si>
    <t>79</t>
  </si>
  <si>
    <t>165662618</t>
  </si>
  <si>
    <t>BTK-FILMMEDL-K07</t>
  </si>
  <si>
    <t>BTK Film- és Médialaboratórium</t>
  </si>
  <si>
    <t>80</t>
  </si>
  <si>
    <t>165662566</t>
  </si>
  <si>
    <t>BTK Filmtudomány Tanszék</t>
  </si>
  <si>
    <t>81</t>
  </si>
  <si>
    <t>BTK Filozófia Intézet</t>
  </si>
  <si>
    <t>82</t>
  </si>
  <si>
    <t>165662004</t>
  </si>
  <si>
    <t>BTK-FINNUGOR-T06</t>
  </si>
  <si>
    <t>BTK Finnugor Tanszék</t>
  </si>
  <si>
    <t>83</t>
  </si>
  <si>
    <t>165662060</t>
  </si>
  <si>
    <t>BTK Folklore Tanszék</t>
  </si>
  <si>
    <t>165662058</t>
  </si>
  <si>
    <t>84</t>
  </si>
  <si>
    <t>165662096</t>
  </si>
  <si>
    <t>BTK Fordító- és Tolmácsképző Tanszék</t>
  </si>
  <si>
    <t>969005186</t>
  </si>
  <si>
    <t>85</t>
  </si>
  <si>
    <t>165662080</t>
  </si>
  <si>
    <t>BTK Francia Nyelvi és Irodalmi Tanszék</t>
  </si>
  <si>
    <t>165662079</t>
  </si>
  <si>
    <t>86</t>
  </si>
  <si>
    <t>165662263</t>
  </si>
  <si>
    <t>BTK Gazdasági Hivatal</t>
  </si>
  <si>
    <t>87</t>
  </si>
  <si>
    <t>165662040</t>
  </si>
  <si>
    <t>BTK Gazdaság- és Társadalomtörténeti Tanszék</t>
  </si>
  <si>
    <t>88</t>
  </si>
  <si>
    <t>165661990</t>
  </si>
  <si>
    <t>BTK Germanisztikai Intézet</t>
  </si>
  <si>
    <t>89</t>
  </si>
  <si>
    <t>165662076</t>
  </si>
  <si>
    <t>BTK Görög Tanszék</t>
  </si>
  <si>
    <t>90</t>
  </si>
  <si>
    <t>165662077</t>
  </si>
  <si>
    <t>BTK Indológia Tanszék</t>
  </si>
  <si>
    <t>165662008</t>
  </si>
  <si>
    <t>91</t>
  </si>
  <si>
    <t>165662014</t>
  </si>
  <si>
    <t>BTK Iranisztikai Tanszék</t>
  </si>
  <si>
    <t>92</t>
  </si>
  <si>
    <t>165662337</t>
  </si>
  <si>
    <t>BTK Japán Tanszék</t>
  </si>
  <si>
    <t>Csoport (okatási)</t>
  </si>
  <si>
    <t>93</t>
  </si>
  <si>
    <t>165662048</t>
  </si>
  <si>
    <t>BTK Új- és Jelenkori Egyetemes Történeti Tanszék</t>
  </si>
  <si>
    <t>94</t>
  </si>
  <si>
    <t>165662049</t>
  </si>
  <si>
    <t>BTK Új- és Jelenkori Magyar Történeti Tanszék</t>
  </si>
  <si>
    <t>95</t>
  </si>
  <si>
    <t>165662011</t>
  </si>
  <si>
    <t>BTK Kínai Tanszék</t>
  </si>
  <si>
    <t>96</t>
  </si>
  <si>
    <t>947936189</t>
  </si>
  <si>
    <t>BTK Kelet-, Közép-Európa Története és Történeti Ruszisztikai Tanszék</t>
  </si>
  <si>
    <t>97</t>
  </si>
  <si>
    <t>165662344</t>
  </si>
  <si>
    <t>BTK Könyvtár- és Információtudományi Intézet</t>
  </si>
  <si>
    <t>98</t>
  </si>
  <si>
    <t>165662345</t>
  </si>
  <si>
    <t>BTK Információtudományi Tanszék</t>
  </si>
  <si>
    <t>99</t>
  </si>
  <si>
    <t>165662099</t>
  </si>
  <si>
    <t>BTK Könyvtártudományi Tanszék</t>
  </si>
  <si>
    <t>100</t>
  </si>
  <si>
    <t>165662043</t>
  </si>
  <si>
    <t>BTK Kora Újkori Történeti Tanszék</t>
  </si>
  <si>
    <t>101</t>
  </si>
  <si>
    <t>165662557</t>
  </si>
  <si>
    <t>BTK Koreai Tanszék</t>
  </si>
  <si>
    <t>102</t>
  </si>
  <si>
    <t>165662042</t>
  </si>
  <si>
    <t>BTK Középkori Történeti Tanszék</t>
  </si>
  <si>
    <t>103</t>
  </si>
  <si>
    <t>165662260</t>
  </si>
  <si>
    <t>BTK-KÖNYVTÁR</t>
  </si>
  <si>
    <t>BTK Kari Könyvtár</t>
  </si>
  <si>
    <t>104</t>
  </si>
  <si>
    <t>1057044371</t>
  </si>
  <si>
    <t>BTK-KÖNYVTÁR-ANGGERM</t>
  </si>
  <si>
    <t>BTK Kari Könyvtár Angol-Amerikai és Germanisztikai Szakkönyvtár</t>
  </si>
  <si>
    <t>105</t>
  </si>
  <si>
    <t>1057041068</t>
  </si>
  <si>
    <t>BTK-KÖNYVTÁR-KP</t>
  </si>
  <si>
    <t>BTK Kari Könyvtár Központi Könyvtár</t>
  </si>
  <si>
    <t>106</t>
  </si>
  <si>
    <t>1057051175</t>
  </si>
  <si>
    <t>BTK-KÖNYVTÁR-MAGYFIL</t>
  </si>
  <si>
    <t>BTK Kari Könyvtár Magyar Nyelv- és Irodalomtudományi, Filozófiai Szakkönyvtár</t>
  </si>
  <si>
    <t>107</t>
  </si>
  <si>
    <t>1057048507</t>
  </si>
  <si>
    <t>BTK-KÖNYVTÁR-ORIENT</t>
  </si>
  <si>
    <t>BTK Kari Könyvtár Távol-keleti és Orientalisztikai Szakkönyvtár</t>
  </si>
  <si>
    <t>108</t>
  </si>
  <si>
    <t>1057047674</t>
  </si>
  <si>
    <t>BTK-KÖNYVTÁR-RÉGÓKOR</t>
  </si>
  <si>
    <t>BTK Kari Könyvtár Régészettudományi és Ókortudományi Szakkönyvtár</t>
  </si>
  <si>
    <t>109</t>
  </si>
  <si>
    <t>1057044598</t>
  </si>
  <si>
    <t>BTK-KÖNYVTÁR-ROMSLAV</t>
  </si>
  <si>
    <t>BTK Kari Könyvtár Romanisztikai, Szláv és Balti Filológiai Szakkönyvtár</t>
  </si>
  <si>
    <t>110</t>
  </si>
  <si>
    <t>1057042441</t>
  </si>
  <si>
    <t>BTK-KÖNYVTÁR-TÖRT</t>
  </si>
  <si>
    <t>BTK Kari Könyvtár Történeti, Művészettörténeti és Néprajzi Szakkönyvtár</t>
  </si>
  <si>
    <t>111</t>
  </si>
  <si>
    <t>165662078</t>
  </si>
  <si>
    <t>BTK Latin Tanszék</t>
  </si>
  <si>
    <t>112</t>
  </si>
  <si>
    <t>165662027</t>
  </si>
  <si>
    <t>BTK Lengyel Filológiai Tanszék</t>
  </si>
  <si>
    <t>165662025</t>
  </si>
  <si>
    <t>113</t>
  </si>
  <si>
    <t>165661986</t>
  </si>
  <si>
    <t>BTK Logika Tanszék</t>
  </si>
  <si>
    <t>114</t>
  </si>
  <si>
    <t>165662617</t>
  </si>
  <si>
    <t>BTK Magyar mint Idegen Nyelv Tanszék</t>
  </si>
  <si>
    <t>115</t>
  </si>
  <si>
    <t>165662009</t>
  </si>
  <si>
    <t>BTK Magyar Nyelvtörténeti, Szociolingvisztikai, Dialektológiai Tanszék</t>
  </si>
  <si>
    <t>116</t>
  </si>
  <si>
    <t>BTK Magyar Nyelvtudományi és Finnugor Intézet</t>
  </si>
  <si>
    <t>117</t>
  </si>
  <si>
    <t>165662567</t>
  </si>
  <si>
    <t>BTK Média és Kommunikáció Tanszék</t>
  </si>
  <si>
    <t>118</t>
  </si>
  <si>
    <t>165661997</t>
  </si>
  <si>
    <t>BTK Magyar Irodalom- és Kultúratudományi Intézet</t>
  </si>
  <si>
    <t>119</t>
  </si>
  <si>
    <t>165662006</t>
  </si>
  <si>
    <t>BTK Mai Magyar Nyelvi Tanszék</t>
  </si>
  <si>
    <t>120</t>
  </si>
  <si>
    <t>165661998</t>
  </si>
  <si>
    <t>BTK Modern Magyar Irodalomtörténeti Tanszék</t>
  </si>
  <si>
    <t>121</t>
  </si>
  <si>
    <t>687855176</t>
  </si>
  <si>
    <t>BTK-MONGOLISZT-T15</t>
  </si>
  <si>
    <t>BTK Mongolisztikai Központ (Research Centre for Mongol Studies)</t>
  </si>
  <si>
    <t>122</t>
  </si>
  <si>
    <t>165662044</t>
  </si>
  <si>
    <t>BTK Művelődéstörténeti Tanszék</t>
  </si>
  <si>
    <t>123</t>
  </si>
  <si>
    <t>165662227</t>
  </si>
  <si>
    <t>BTK Művészetközvetítő és Zenei Intézet</t>
  </si>
  <si>
    <t>124</t>
  </si>
  <si>
    <t>BTK Művészetelméleti és Médiakutatási Intézet</t>
  </si>
  <si>
    <t>125</t>
  </si>
  <si>
    <t>165662053</t>
  </si>
  <si>
    <t>BTK Művészettörténeti Intézet</t>
  </si>
  <si>
    <t>126</t>
  </si>
  <si>
    <t>1084415776</t>
  </si>
  <si>
    <t>BTK Középkori, Reneszánsz és Barokk Művészettörténeti Tanszék</t>
  </si>
  <si>
    <t>127</t>
  </si>
  <si>
    <t>1084415954</t>
  </si>
  <si>
    <t>BTK Modern és Jelenkori Művészettörténeti Tanszék</t>
  </si>
  <si>
    <t>128</t>
  </si>
  <si>
    <t>165661994</t>
  </si>
  <si>
    <t>BTK Néderlandisztikai Tanszék</t>
  </si>
  <si>
    <t>129</t>
  </si>
  <si>
    <t>165661992</t>
  </si>
  <si>
    <t>BTK Német Nyelvű Irodalmak Tanszéke</t>
  </si>
  <si>
    <t>130</t>
  </si>
  <si>
    <t>165661991</t>
  </si>
  <si>
    <t>BTK Német Nyelvészeti Tanszék</t>
  </si>
  <si>
    <t>131</t>
  </si>
  <si>
    <t>165661995</t>
  </si>
  <si>
    <t>BTK Német Nyelvoktató és Szakdidaktikai Tanszék</t>
  </si>
  <si>
    <t>132</t>
  </si>
  <si>
    <t>BTK Néprajzi Intézet</t>
  </si>
  <si>
    <t>133</t>
  </si>
  <si>
    <t>165662022</t>
  </si>
  <si>
    <t>BTK Népvándorlás kori és Középkori Régészeti Tanszék</t>
  </si>
  <si>
    <t>134</t>
  </si>
  <si>
    <t>BTK Nyelvi Közvetítés Intézete</t>
  </si>
  <si>
    <t>135</t>
  </si>
  <si>
    <t>165661999</t>
  </si>
  <si>
    <t>BTK Összehasonlító Irodalom- és Kultúratudományi Tanszék</t>
  </si>
  <si>
    <t>136</t>
  </si>
  <si>
    <t>165661987</t>
  </si>
  <si>
    <t>BTK Ókori és Középkori Filozófia Tanszék</t>
  </si>
  <si>
    <t>137</t>
  </si>
  <si>
    <t>165662045</t>
  </si>
  <si>
    <t>BTK Ókortörténeti Tanszék</t>
  </si>
  <si>
    <t>138</t>
  </si>
  <si>
    <t>BTK Ókortudományi Intézet</t>
  </si>
  <si>
    <t>139</t>
  </si>
  <si>
    <t>165662081</t>
  </si>
  <si>
    <t>BTK Olasz Nyelvi és Irodalmi Tanszék</t>
  </si>
  <si>
    <t>140</t>
  </si>
  <si>
    <t>165662023</t>
  </si>
  <si>
    <t>BTK Ókori Régészeti Tanszék</t>
  </si>
  <si>
    <t>141</t>
  </si>
  <si>
    <t>BTK Orientalisztikai Intézet</t>
  </si>
  <si>
    <t>142</t>
  </si>
  <si>
    <t>165662026</t>
  </si>
  <si>
    <t>BTK Orosz Nyelvi és Irodalmi Tanszék</t>
  </si>
  <si>
    <t>143</t>
  </si>
  <si>
    <t>165662024</t>
  </si>
  <si>
    <t>BTK Őskori és Elő-Ázsiai Régészeti Tanszék</t>
  </si>
  <si>
    <t>144</t>
  </si>
  <si>
    <t>165662082</t>
  </si>
  <si>
    <t>BTK Portugál Nyelvi és Irodalmi Tanszék</t>
  </si>
  <si>
    <t>145</t>
  </si>
  <si>
    <t>BTK Régészettudományi Intézet</t>
  </si>
  <si>
    <t>146</t>
  </si>
  <si>
    <t>165662000</t>
  </si>
  <si>
    <t>BTK Régi Magyar Irodalom Tanszék</t>
  </si>
  <si>
    <t>147</t>
  </si>
  <si>
    <t>BTK Romanisztikai Intézet</t>
  </si>
  <si>
    <t>148</t>
  </si>
  <si>
    <t>165662083</t>
  </si>
  <si>
    <t>BTK Román Filológiai Tanszék</t>
  </si>
  <si>
    <t>149</t>
  </si>
  <si>
    <t>165662614</t>
  </si>
  <si>
    <t>BTK-RUSZISZ-21</t>
  </si>
  <si>
    <t>BTK Ruszisztikai Kutatási és Módszertani Központ</t>
  </si>
  <si>
    <t>150</t>
  </si>
  <si>
    <t>165662012</t>
  </si>
  <si>
    <t>BTK Sémi Filológiai és Arab Tanszék</t>
  </si>
  <si>
    <t>151</t>
  </si>
  <si>
    <t>165661993</t>
  </si>
  <si>
    <t>BTK Skandináv Nyelvek és Irodalmak Tanszéke</t>
  </si>
  <si>
    <t>152</t>
  </si>
  <si>
    <t>165662086</t>
  </si>
  <si>
    <t>BTK Spanyol Nyelvi és Irodalmi Tanszék</t>
  </si>
  <si>
    <t>153</t>
  </si>
  <si>
    <t>165662552</t>
  </si>
  <si>
    <t>BTK-SZAKMOD-22</t>
  </si>
  <si>
    <t>BTK Szakmódszertani Központ</t>
  </si>
  <si>
    <t>154</t>
  </si>
  <si>
    <t>BTK Szláv és Balti Filológiai Intézet</t>
  </si>
  <si>
    <t>155</t>
  </si>
  <si>
    <t>165662028</t>
  </si>
  <si>
    <t>BTK Szláv Filológiai Tanszék</t>
  </si>
  <si>
    <t>156</t>
  </si>
  <si>
    <t>165662065</t>
  </si>
  <si>
    <t>BTK Tárgyi Néprajzi Tanszék</t>
  </si>
  <si>
    <t>157</t>
  </si>
  <si>
    <t>165662255</t>
  </si>
  <si>
    <t>BTK-TANHIV-33</t>
  </si>
  <si>
    <t>BTK Tanulmányi Hivatal</t>
  </si>
  <si>
    <t>158</t>
  </si>
  <si>
    <t>BTK Távol-keleti Intézet</t>
  </si>
  <si>
    <t>159</t>
  </si>
  <si>
    <t>165662013</t>
  </si>
  <si>
    <t>BTK Török Filológiai Tanszék</t>
  </si>
  <si>
    <t>160</t>
  </si>
  <si>
    <t>BTK Történeti Intézet</t>
  </si>
  <si>
    <t>161</t>
  </si>
  <si>
    <t>1084412007</t>
  </si>
  <si>
    <t>BTK-TORTENET-I16-DIG</t>
  </si>
  <si>
    <t>BTK Digitális Bölcsészet Tanszék</t>
  </si>
  <si>
    <t>162</t>
  </si>
  <si>
    <t>165662047</t>
  </si>
  <si>
    <t>BTK Történelem Segédtudományai Tanszék</t>
  </si>
  <si>
    <t>163</t>
  </si>
  <si>
    <t>165661989</t>
  </si>
  <si>
    <t>BTK Újkori és Jelenkori Filozófia Tanszék</t>
  </si>
  <si>
    <t>164</t>
  </si>
  <si>
    <t>165662029</t>
  </si>
  <si>
    <t>BTK Ukrán Filológiai Tanszék</t>
  </si>
  <si>
    <t>165</t>
  </si>
  <si>
    <t>834122698</t>
  </si>
  <si>
    <t>BTK Vallástudományi Tanszék</t>
  </si>
  <si>
    <t>166</t>
  </si>
  <si>
    <t>165662615</t>
  </si>
  <si>
    <t>BTK-VALLAST-25</t>
  </si>
  <si>
    <t>BTK Vallástudományi Központ (Centre for the Study of Religion)</t>
  </si>
  <si>
    <t>167</t>
  </si>
  <si>
    <t>969004877</t>
  </si>
  <si>
    <t>BTK Zenei Interpretáció Tanszék</t>
  </si>
  <si>
    <t>168</t>
  </si>
  <si>
    <t>969005024</t>
  </si>
  <si>
    <t>BTK Zenekultúra Tanszék</t>
  </si>
  <si>
    <t>169</t>
  </si>
  <si>
    <t>165662001</t>
  </si>
  <si>
    <t>BTK XVIII-XIX. Századi Magyar Irodalomtörténeti Tanszék</t>
  </si>
  <si>
    <t>170</t>
  </si>
  <si>
    <t>165662123</t>
  </si>
  <si>
    <t>171</t>
  </si>
  <si>
    <t>Eötvös Loránd Tudományegyetem</t>
  </si>
  <si>
    <t>Egyetem</t>
  </si>
  <si>
    <t>172</t>
  </si>
  <si>
    <t>761048883</t>
  </si>
  <si>
    <t>ELTE-BOLYAI-SEK</t>
  </si>
  <si>
    <t>ELTE-SEK Bolyai János Gyakorló Általános Iskola és Gimnázium</t>
  </si>
  <si>
    <t>173</t>
  </si>
  <si>
    <t>165661954</t>
  </si>
  <si>
    <t>ELTE-EFK</t>
  </si>
  <si>
    <t>ELTE Egyetemközi Francia Központ</t>
  </si>
  <si>
    <t>174</t>
  </si>
  <si>
    <t>165661950</t>
  </si>
  <si>
    <t>ELTE-EK</t>
  </si>
  <si>
    <t>ELTE Egyetemi Könyvtár és Levéltár</t>
  </si>
  <si>
    <t>175</t>
  </si>
  <si>
    <t>960536201</t>
  </si>
  <si>
    <t>ELTE-FIEK</t>
  </si>
  <si>
    <t>ELTE Biotechnológia Felsőoktatási és Ipari Együttműködési Központ</t>
  </si>
  <si>
    <t>Akadémiai kutatócsoport</t>
  </si>
  <si>
    <t>176</t>
  </si>
  <si>
    <t>165662115</t>
  </si>
  <si>
    <t>ELTE-FKERT</t>
  </si>
  <si>
    <t>ELTE Füvészkert</t>
  </si>
  <si>
    <t>177</t>
  </si>
  <si>
    <t>165662114</t>
  </si>
  <si>
    <t>ELTE-GOTHARD</t>
  </si>
  <si>
    <t>ELTE Gothard Asztrofizikai Obszervatórium és Multidiszciplináris Kutatóközpont</t>
  </si>
  <si>
    <t>178</t>
  </si>
  <si>
    <t>165662605</t>
  </si>
  <si>
    <t>ELTE-INNKP</t>
  </si>
  <si>
    <t>ELTE Innovációs Központ</t>
  </si>
  <si>
    <t>179</t>
  </si>
  <si>
    <t>620956370</t>
  </si>
  <si>
    <t>ELTE-KK</t>
  </si>
  <si>
    <t>ELTE Kancellária</t>
  </si>
  <si>
    <t>180</t>
  </si>
  <si>
    <t>165662634</t>
  </si>
  <si>
    <t>ELTE-KK-GFI</t>
  </si>
  <si>
    <t>ELTE Gazdasági Főigazgatóság</t>
  </si>
  <si>
    <t>181</t>
  </si>
  <si>
    <t>165662602</t>
  </si>
  <si>
    <t>ELTE-KK-JIKI</t>
  </si>
  <si>
    <t>ELTE Jogi, Humánszolgáltatási és Közbeszerzési Főigazgatóság</t>
  </si>
  <si>
    <t>182</t>
  </si>
  <si>
    <t>165662240</t>
  </si>
  <si>
    <t>ELTE-KK-MIFIG</t>
  </si>
  <si>
    <t>ELTE Műszaki és Informatikai Főigazgatóság</t>
  </si>
  <si>
    <t>183</t>
  </si>
  <si>
    <t>165662318</t>
  </si>
  <si>
    <t>ELTE-KK-PK</t>
  </si>
  <si>
    <t>ELTE Pályázati Központ</t>
  </si>
  <si>
    <t>184</t>
  </si>
  <si>
    <t>165662549</t>
  </si>
  <si>
    <t>ELTE-KONFUCIUSZ</t>
  </si>
  <si>
    <t>ELTE Konfuciusz Intézet</t>
  </si>
  <si>
    <t>185</t>
  </si>
  <si>
    <t>165662317</t>
  </si>
  <si>
    <t>ELTE-MI</t>
  </si>
  <si>
    <t>ELTE Minőségügyi Iroda</t>
  </si>
  <si>
    <t>186</t>
  </si>
  <si>
    <t>165661942</t>
  </si>
  <si>
    <t>ELTE-OI</t>
  </si>
  <si>
    <t>ELTE Oktatási Igazgatóság</t>
  </si>
  <si>
    <t>187</t>
  </si>
  <si>
    <t>672077129</t>
  </si>
  <si>
    <t>ELTE-PRKI</t>
  </si>
  <si>
    <t>ELTE Kommunikációs, Marketing és Rekrutációs Igazgatóság</t>
  </si>
  <si>
    <t>188</t>
  </si>
  <si>
    <t>761042080</t>
  </si>
  <si>
    <t>ELTE-REGPEDKP-SEK</t>
  </si>
  <si>
    <t>ELTE Savaria Regionális Pedagógiai Szolgáltató és Kutató Központ</t>
  </si>
  <si>
    <t>189</t>
  </si>
  <si>
    <t>165661941</t>
  </si>
  <si>
    <t>ELTE-RK</t>
  </si>
  <si>
    <t>ELTE Rektori Kabinet</t>
  </si>
  <si>
    <t>190</t>
  </si>
  <si>
    <t>165662633</t>
  </si>
  <si>
    <t>ELTE-RK-ASIKI</t>
  </si>
  <si>
    <t>ELTE Adatvédelmi és Stratégiai Adatkezelési Iroda</t>
  </si>
  <si>
    <t>191</t>
  </si>
  <si>
    <t>1062158054</t>
  </si>
  <si>
    <t>ELTE-RK-HARMMISSZSTR</t>
  </si>
  <si>
    <t>ELTE Harmadik Misszió Stratégiai Iroda</t>
  </si>
  <si>
    <t>192</t>
  </si>
  <si>
    <t>672077173</t>
  </si>
  <si>
    <t>ELTE-RKK</t>
  </si>
  <si>
    <t>ELTE Rektori Koordinációs Központ</t>
  </si>
  <si>
    <t>193</t>
  </si>
  <si>
    <t>165662155</t>
  </si>
  <si>
    <t>ELTE-RK-KI</t>
  </si>
  <si>
    <t>ELTE Kabinetiroda</t>
  </si>
  <si>
    <t>194</t>
  </si>
  <si>
    <t>165662132</t>
  </si>
  <si>
    <t>ELTE-RK-NI</t>
  </si>
  <si>
    <t>ELTE Nemzetközi Stratégiai Iroda</t>
  </si>
  <si>
    <t>195</t>
  </si>
  <si>
    <t>761047795</t>
  </si>
  <si>
    <t>ELTE-RK-SEK</t>
  </si>
  <si>
    <t>ELTE-SEK Savaria Campus Iroda</t>
  </si>
  <si>
    <t>196</t>
  </si>
  <si>
    <t>672076893</t>
  </si>
  <si>
    <t>ELTE-RK-TPI</t>
  </si>
  <si>
    <t>ELTE Tudománypolitikai Iroda</t>
  </si>
  <si>
    <t>197</t>
  </si>
  <si>
    <t>165662113</t>
  </si>
  <si>
    <t>ELTE-TATA</t>
  </si>
  <si>
    <t>ELTE Tatai Geológus Kert – Természetvédelmi Terület és Szabadtéri Geológiai Muzeális Közgyűjtemény</t>
  </si>
  <si>
    <t>198</t>
  </si>
  <si>
    <t>988637318</t>
  </si>
  <si>
    <t>ELTE-TTKKIVTUDKP</t>
  </si>
  <si>
    <t>TTK Kiválósági Tudásközpont</t>
  </si>
  <si>
    <t>199</t>
  </si>
  <si>
    <t>847799391</t>
  </si>
  <si>
    <t>Gazdálkodástudományi Intézet</t>
  </si>
  <si>
    <t>200</t>
  </si>
  <si>
    <t>866165595</t>
  </si>
  <si>
    <t>GTI Érveléselmélet és Marketing Tanszék</t>
  </si>
  <si>
    <t>201</t>
  </si>
  <si>
    <t>970405936</t>
  </si>
  <si>
    <t>GTI-GH</t>
  </si>
  <si>
    <t>GTI Gazdasági Hivatal</t>
  </si>
  <si>
    <t>202</t>
  </si>
  <si>
    <t>970405961</t>
  </si>
  <si>
    <t>GTI-IH</t>
  </si>
  <si>
    <t>GTI Igazgatói Hivatal</t>
  </si>
  <si>
    <t>203</t>
  </si>
  <si>
    <t>866165102</t>
  </si>
  <si>
    <t>GTI Menedzsment és Üzleti Jog Tanszék</t>
  </si>
  <si>
    <t>204</t>
  </si>
  <si>
    <t>866164721</t>
  </si>
  <si>
    <t>GTI Összehasonlító Gazdaságtan Tanszék</t>
  </si>
  <si>
    <t>205</t>
  </si>
  <si>
    <t>866163855</t>
  </si>
  <si>
    <t>GTI Pénzügy és Számvitel Tanszék</t>
  </si>
  <si>
    <t>206</t>
  </si>
  <si>
    <t>970405955</t>
  </si>
  <si>
    <t>GTI-TH</t>
  </si>
  <si>
    <t>GTI Tanulmányi Hivatal</t>
  </si>
  <si>
    <t>207</t>
  </si>
  <si>
    <t>165662101</t>
  </si>
  <si>
    <t>GYAKISK</t>
  </si>
  <si>
    <t>ELTE Gyertyánffy István Gyakorló Általános Iskola</t>
  </si>
  <si>
    <t>208</t>
  </si>
  <si>
    <t>165662102</t>
  </si>
  <si>
    <t>GYAKÓVODA</t>
  </si>
  <si>
    <t>209</t>
  </si>
  <si>
    <t>165662324</t>
  </si>
  <si>
    <t>GYOPSZ</t>
  </si>
  <si>
    <t>ELTE Gyakorló Országos Pedagógiai Szakszolgálat</t>
  </si>
  <si>
    <t>210</t>
  </si>
  <si>
    <t>165661932</t>
  </si>
  <si>
    <t>211</t>
  </si>
  <si>
    <t>735662769</t>
  </si>
  <si>
    <t>IK Adattudományi és Adattechnológiai Tanszék</t>
  </si>
  <si>
    <t>1115785024</t>
  </si>
  <si>
    <t>212</t>
  </si>
  <si>
    <t>165662321</t>
  </si>
  <si>
    <t>IK Algoritmusok és Alkalmazásaik Tanszék</t>
  </si>
  <si>
    <t>1115785030</t>
  </si>
  <si>
    <t>213</t>
  </si>
  <si>
    <t>960551175</t>
  </si>
  <si>
    <t>IK Akadémiai-ipari Együttműködési Központ</t>
  </si>
  <si>
    <t>214</t>
  </si>
  <si>
    <t>165662648</t>
  </si>
  <si>
    <t>215</t>
  </si>
  <si>
    <t>1115785098</t>
  </si>
  <si>
    <t>IK-DIÁKTÁMKP</t>
  </si>
  <si>
    <t>IK Diáktámogató Központ</t>
  </si>
  <si>
    <t>216</t>
  </si>
  <si>
    <t>IK Egyetemi-Vállalati Együttműködési Intézet</t>
  </si>
  <si>
    <t>217</t>
  </si>
  <si>
    <t>165662350</t>
  </si>
  <si>
    <t>IK-GH</t>
  </si>
  <si>
    <t>218</t>
  </si>
  <si>
    <t>165661940</t>
  </si>
  <si>
    <t>IK Informatikai Csoport</t>
  </si>
  <si>
    <t>219</t>
  </si>
  <si>
    <t>165662585</t>
  </si>
  <si>
    <t>IK-IKKK</t>
  </si>
  <si>
    <t>IK Informatikai Kooperációs Kutatási és Oktatási Központ</t>
  </si>
  <si>
    <t>220</t>
  </si>
  <si>
    <t>IK Informatikatudományi Intézet</t>
  </si>
  <si>
    <t>221</t>
  </si>
  <si>
    <t>165662310</t>
  </si>
  <si>
    <t>IK Információs Rendszerek Tanszék</t>
  </si>
  <si>
    <t>222</t>
  </si>
  <si>
    <t>165662650</t>
  </si>
  <si>
    <t>IK-ITT</t>
  </si>
  <si>
    <t>IK Az MTA SZTAKI-ba kihelyezett Információtudományi Tanszék</t>
  </si>
  <si>
    <t>223</t>
  </si>
  <si>
    <t>165661939</t>
  </si>
  <si>
    <t>IK Komputeralgebra Tanszék</t>
  </si>
  <si>
    <t>224</t>
  </si>
  <si>
    <t>165662649</t>
  </si>
  <si>
    <t>IK-KÖNYVTÁR</t>
  </si>
  <si>
    <t>225</t>
  </si>
  <si>
    <t>165661937</t>
  </si>
  <si>
    <t>IK Média- és Oktatásinformatika Tanszék</t>
  </si>
  <si>
    <t>226</t>
  </si>
  <si>
    <t>970336108</t>
  </si>
  <si>
    <t>IK Mesterséges Intelligencia Tanszék</t>
  </si>
  <si>
    <t>227</t>
  </si>
  <si>
    <t>165661938</t>
  </si>
  <si>
    <t>IK Numerikus Analízis Tanszék</t>
  </si>
  <si>
    <t>228</t>
  </si>
  <si>
    <t>165662322</t>
  </si>
  <si>
    <t>IK Programozáselmélet és Szoftvertechnológiai Tanszék</t>
  </si>
  <si>
    <t>229</t>
  </si>
  <si>
    <t>165662323</t>
  </si>
  <si>
    <t>IK Programozási Nyelvek és Fordítóprogramok Tanszék</t>
  </si>
  <si>
    <t>230</t>
  </si>
  <si>
    <t>761020314</t>
  </si>
  <si>
    <t>IK-SEK Savaria Műszaki Intézet</t>
  </si>
  <si>
    <t>231</t>
  </si>
  <si>
    <t>1115785089</t>
  </si>
  <si>
    <t>IK-SZOFTADATKOMPKP</t>
  </si>
  <si>
    <t>IK Szoftver- és Adatintenzív Szolgáltatások Kompetencia Központ</t>
  </si>
  <si>
    <t>232</t>
  </si>
  <si>
    <t>165661935</t>
  </si>
  <si>
    <t>IK Térképtudományi és Geoinformatikai Intézet</t>
  </si>
  <si>
    <t>233</t>
  </si>
  <si>
    <t>165662351</t>
  </si>
  <si>
    <t>IK-TH</t>
  </si>
  <si>
    <t>IK Tanulmányi Hivatal</t>
  </si>
  <si>
    <t>Hivatal</t>
  </si>
  <si>
    <t>234</t>
  </si>
  <si>
    <t>1115785126</t>
  </si>
  <si>
    <t>IK-TUDNEMZCSOP</t>
  </si>
  <si>
    <t>IK Tudományos és Nemzetközi Kapcsolatok Csoportja</t>
  </si>
  <si>
    <t>235</t>
  </si>
  <si>
    <t>165662546</t>
  </si>
  <si>
    <t>ISSZK</t>
  </si>
  <si>
    <t>Illyés Sándor Szakkollégium</t>
  </si>
  <si>
    <t>236</t>
  </si>
  <si>
    <t>827725696</t>
  </si>
  <si>
    <t>MÁSZ</t>
  </si>
  <si>
    <t>Márton Áron Szakkollégium</t>
  </si>
  <si>
    <t>Szakkollégium</t>
  </si>
  <si>
    <t>237</t>
  </si>
  <si>
    <t>165662312</t>
  </si>
  <si>
    <t>238</t>
  </si>
  <si>
    <t>165662458</t>
  </si>
  <si>
    <t>PPK-APITSZ</t>
  </si>
  <si>
    <t>PPK Affektív Pszichológia Tanszék</t>
  </si>
  <si>
    <t>165662015</t>
  </si>
  <si>
    <t>239</t>
  </si>
  <si>
    <t>165662353</t>
  </si>
  <si>
    <t>PPK Dékáni Hivatal</t>
  </si>
  <si>
    <t>240</t>
  </si>
  <si>
    <t>1075322603</t>
  </si>
  <si>
    <t>PPK Ember–Környezet Tranzakció Intézet</t>
  </si>
  <si>
    <t>241</t>
  </si>
  <si>
    <t>165662460</t>
  </si>
  <si>
    <t>PPK Életvezetési Tanácsadó</t>
  </si>
  <si>
    <t>242</t>
  </si>
  <si>
    <t>165662364</t>
  </si>
  <si>
    <t>PPK Egészségfejlesztési és Sporttudományi Intézet</t>
  </si>
  <si>
    <t>243</t>
  </si>
  <si>
    <t>165662658</t>
  </si>
  <si>
    <t>PPK-FEJLPSZITSZ</t>
  </si>
  <si>
    <t>PPK Fejlődés- és Klinikai Gyermekpszichológia Tanszék</t>
  </si>
  <si>
    <t>244</t>
  </si>
  <si>
    <t>165662217</t>
  </si>
  <si>
    <t>PPK Felnőttképzés-kutatási és Tudásmenedzsment Intézet</t>
  </si>
  <si>
    <t>245</t>
  </si>
  <si>
    <t>165662659</t>
  </si>
  <si>
    <t>PPK-GAZDPSZITSZ</t>
  </si>
  <si>
    <t>PPK Szervezet- és Vezetéspszichológia Tanszék</t>
  </si>
  <si>
    <t>246</t>
  </si>
  <si>
    <t>165662290</t>
  </si>
  <si>
    <t>PPK-GH</t>
  </si>
  <si>
    <t>PPK Gazdasági Hivatal</t>
  </si>
  <si>
    <t>247</t>
  </si>
  <si>
    <t>165662459</t>
  </si>
  <si>
    <t>PPK Interkulturális Pszichológiai és Pedagógiai Intézet</t>
  </si>
  <si>
    <t>248</t>
  </si>
  <si>
    <t>165662660</t>
  </si>
  <si>
    <t>PPK-KLINPSZITSZ</t>
  </si>
  <si>
    <t>PPK Klinikai Pszichológia és Addiktológia Tanszék</t>
  </si>
  <si>
    <t>249</t>
  </si>
  <si>
    <t>165662462</t>
  </si>
  <si>
    <t>PPK-KOGPSZITSZ</t>
  </si>
  <si>
    <t>PPK Kognitív Pszichológia Tanszék</t>
  </si>
  <si>
    <t>250</t>
  </si>
  <si>
    <t>165662461</t>
  </si>
  <si>
    <t>PPK-KÖNYVTÁR</t>
  </si>
  <si>
    <t>PPK Kari Könyvtár</t>
  </si>
  <si>
    <t>251</t>
  </si>
  <si>
    <t>165662056</t>
  </si>
  <si>
    <t>PPK Neveléstudományi Intézet</t>
  </si>
  <si>
    <t>252</t>
  </si>
  <si>
    <t>PPK Pszichológiai Intézet</t>
  </si>
  <si>
    <t>253</t>
  </si>
  <si>
    <t>1075323597</t>
  </si>
  <si>
    <t>PPK-PI-TANISKTSZ</t>
  </si>
  <si>
    <t>PPK Tanácsadás- és Iskolapszichológia Tanszék</t>
  </si>
  <si>
    <t>254</t>
  </si>
  <si>
    <t>165662654</t>
  </si>
  <si>
    <t>PPK-PSZIKÖNYVTÁR</t>
  </si>
  <si>
    <t>PPK Történeti Szociálpszichológiai Szakgyűjtemény</t>
  </si>
  <si>
    <t>255</t>
  </si>
  <si>
    <t>761022068</t>
  </si>
  <si>
    <t>PPK-SEK Pedagógiai és Pszichológiai Intézet - Szombathely</t>
  </si>
  <si>
    <t>256</t>
  </si>
  <si>
    <t>761023317</t>
  </si>
  <si>
    <t>PPK-SEK Sporttudományi Intézet - Szombathely</t>
  </si>
  <si>
    <t>257</t>
  </si>
  <si>
    <t>165662017</t>
  </si>
  <si>
    <t>PPK-SZEMEGPSZITSZ</t>
  </si>
  <si>
    <t>PPK Személyiség- és Egészségpszichológia Tanszék</t>
  </si>
  <si>
    <t>258</t>
  </si>
  <si>
    <t>165662018</t>
  </si>
  <si>
    <t>PPK-SZOCPSZITSZ</t>
  </si>
  <si>
    <t>PPK Szociálpszichológia Tanszék</t>
  </si>
  <si>
    <t>259</t>
  </si>
  <si>
    <t>677380382</t>
  </si>
  <si>
    <t>PPK Tanulmányi Hivatal</t>
  </si>
  <si>
    <t>260</t>
  </si>
  <si>
    <t>165662100</t>
  </si>
  <si>
    <t>RADNÓTI</t>
  </si>
  <si>
    <t>ELTE Radnóti Miklós Gyakorló Általános Iskola és Gyakorló Gimnázium</t>
  </si>
  <si>
    <t>261</t>
  </si>
  <si>
    <t>165662104</t>
  </si>
  <si>
    <t>SPECÓVODA</t>
  </si>
  <si>
    <t>ELTE Gyakorló Óvoda és Egységes Gyógypedagógiai Módszertani Intézmény</t>
  </si>
  <si>
    <t>262</t>
  </si>
  <si>
    <t>165661928</t>
  </si>
  <si>
    <t>263</t>
  </si>
  <si>
    <t>165662370</t>
  </si>
  <si>
    <t>TÁTK-DH</t>
  </si>
  <si>
    <t>TÁTK Dékáni Hivatal</t>
  </si>
  <si>
    <t>264</t>
  </si>
  <si>
    <t>165662533</t>
  </si>
  <si>
    <t>TÁTK Egészségpolitika és Egészség-gazdaságtan Tanszék</t>
  </si>
  <si>
    <t>165662664</t>
  </si>
  <si>
    <t>265</t>
  </si>
  <si>
    <t>165662031</t>
  </si>
  <si>
    <t>TÁTK Társadalomelmélet Tanszék</t>
  </si>
  <si>
    <t>165662377</t>
  </si>
  <si>
    <t>TÁTK-SZOC-INT</t>
  </si>
  <si>
    <t>266</t>
  </si>
  <si>
    <t>165662375</t>
  </si>
  <si>
    <t>TÁTK-EMPT-INT</t>
  </si>
  <si>
    <t>TÁTK Empirikus Tanulmányok Intézete</t>
  </si>
  <si>
    <t>267</t>
  </si>
  <si>
    <t>165662380</t>
  </si>
  <si>
    <t>TÁTK Nemzetközi és Európai Tanulmányok Tanszék</t>
  </si>
  <si>
    <t>165662379</t>
  </si>
  <si>
    <t>TÁTK-POLNT-INT</t>
  </si>
  <si>
    <t>268</t>
  </si>
  <si>
    <t>165662372</t>
  </si>
  <si>
    <t>TÁTK-GH</t>
  </si>
  <si>
    <t>TÁTK Gazdasági Hivatal</t>
  </si>
  <si>
    <t>269</t>
  </si>
  <si>
    <t>761186967</t>
  </si>
  <si>
    <t>TÁTK-SEK Savaria Gazdálkodástudományi Tanszék</t>
  </si>
  <si>
    <t>270</t>
  </si>
  <si>
    <t>165662037</t>
  </si>
  <si>
    <t>TÁTK Kisebbségszociológia Tanszék</t>
  </si>
  <si>
    <t>165662378</t>
  </si>
  <si>
    <t>TÁTK-TARS-INT</t>
  </si>
  <si>
    <t>271</t>
  </si>
  <si>
    <t>165662532</t>
  </si>
  <si>
    <t>TÁTK Közgazdaságtudományi Tanszék</t>
  </si>
  <si>
    <t>272</t>
  </si>
  <si>
    <t>TÁTK Közgazdaságtudományi Intézet</t>
  </si>
  <si>
    <t>273</t>
  </si>
  <si>
    <t>165662112</t>
  </si>
  <si>
    <t>TÁTK Kulturális Antropológia Tanszék</t>
  </si>
  <si>
    <t>274</t>
  </si>
  <si>
    <t>165662374</t>
  </si>
  <si>
    <t>TÁTK-KVT</t>
  </si>
  <si>
    <t>TÁTK Némedi Dénes Kari Könyvtár</t>
  </si>
  <si>
    <t>275</t>
  </si>
  <si>
    <t>165662035</t>
  </si>
  <si>
    <t>TÁTK Társadalomkutatások Módszertana Tanszék</t>
  </si>
  <si>
    <t>276</t>
  </si>
  <si>
    <t>TÁTK Politikai és Nemzetközi Tanulmányok Intézete</t>
  </si>
  <si>
    <t>277</t>
  </si>
  <si>
    <t>165662046</t>
  </si>
  <si>
    <t>TÁTK Emberi Jogi és Politikatudományi Tanszék</t>
  </si>
  <si>
    <t>278</t>
  </si>
  <si>
    <t>165662033</t>
  </si>
  <si>
    <t>TÁTK Szociálpszichológia Tanszék</t>
  </si>
  <si>
    <t>279</t>
  </si>
  <si>
    <t>165662038</t>
  </si>
  <si>
    <t>TÁTK Statisztika Tanszék</t>
  </si>
  <si>
    <t>280</t>
  </si>
  <si>
    <t>165662376</t>
  </si>
  <si>
    <t>TÁTK Szociális Tanulmányok Intézete</t>
  </si>
  <si>
    <t>281</t>
  </si>
  <si>
    <t>TÁTK Szociológia Intézet</t>
  </si>
  <si>
    <t>282</t>
  </si>
  <si>
    <t>614485810</t>
  </si>
  <si>
    <t>TÁTK Szociális Munka Tanszék</t>
  </si>
  <si>
    <t>283</t>
  </si>
  <si>
    <t>614486048</t>
  </si>
  <si>
    <t>TÁTK Szociálpolitika Tanszék</t>
  </si>
  <si>
    <t>284</t>
  </si>
  <si>
    <t>165662034</t>
  </si>
  <si>
    <t>TÁTK Szociológia Tanszék</t>
  </si>
  <si>
    <t>285</t>
  </si>
  <si>
    <t>TÁTK Társadalmi Kapcsolatok Intézete</t>
  </si>
  <si>
    <t>286</t>
  </si>
  <si>
    <t>970405692</t>
  </si>
  <si>
    <t>TÁTK-TÁRSKONFL-KUTKP</t>
  </si>
  <si>
    <t>TÁTK Társadalmi Konfliktusok Kutatóközpont</t>
  </si>
  <si>
    <t>287</t>
  </si>
  <si>
    <t>165662371</t>
  </si>
  <si>
    <t>TÁTK-TH</t>
  </si>
  <si>
    <t>TÁTK Tanulmányi Hivatal</t>
  </si>
  <si>
    <t>288</t>
  </si>
  <si>
    <t>165662036</t>
  </si>
  <si>
    <t>TÁTK Összehasonlító Történeti Szociológia Tanszék</t>
  </si>
  <si>
    <t>289</t>
  </si>
  <si>
    <t>466409177</t>
  </si>
  <si>
    <t>290</t>
  </si>
  <si>
    <t>165661944</t>
  </si>
  <si>
    <t>291</t>
  </si>
  <si>
    <t>165662283</t>
  </si>
  <si>
    <t>TÓK-DH</t>
  </si>
  <si>
    <t>292</t>
  </si>
  <si>
    <t>698054534</t>
  </si>
  <si>
    <t>TÓK Digitális Pedagógiai Tanszék</t>
  </si>
  <si>
    <t>293</t>
  </si>
  <si>
    <t>165662228</t>
  </si>
  <si>
    <t>TÓK Ének-zenei Tanszék</t>
  </si>
  <si>
    <t>294</t>
  </si>
  <si>
    <t>165662286</t>
  </si>
  <si>
    <t>TÓK-GH</t>
  </si>
  <si>
    <t>295</t>
  </si>
  <si>
    <t>165662229</t>
  </si>
  <si>
    <t>TÓK Idegen Nyelvi és Irodalmi Tanszék</t>
  </si>
  <si>
    <t>296</t>
  </si>
  <si>
    <t>165662666</t>
  </si>
  <si>
    <t>TÓK-KISGYERMKUTKP</t>
  </si>
  <si>
    <t>TÓK Kisgyermek-nevelési Kutatóközpont és Módszertani Laboratórium</t>
  </si>
  <si>
    <t>297</t>
  </si>
  <si>
    <t>165662287</t>
  </si>
  <si>
    <t>TÓK-KÖNYVTÁR</t>
  </si>
  <si>
    <t>298</t>
  </si>
  <si>
    <t>165662231</t>
  </si>
  <si>
    <t>TÓK Magyar Nyelvi és Irodalmi Tanszék</t>
  </si>
  <si>
    <t>299</t>
  </si>
  <si>
    <t>165662089</t>
  </si>
  <si>
    <t>TÓK Matematika Tanszék</t>
  </si>
  <si>
    <t>300</t>
  </si>
  <si>
    <t>165662091</t>
  </si>
  <si>
    <t>TÓK Neveléstudományi Tanszék</t>
  </si>
  <si>
    <t>301</t>
  </si>
  <si>
    <t>165662092</t>
  </si>
  <si>
    <t>TÓK Társadalomtudományi Tanszék</t>
  </si>
  <si>
    <t>302</t>
  </si>
  <si>
    <t>165662093</t>
  </si>
  <si>
    <t>TÓK Természettudományi Tanszék</t>
  </si>
  <si>
    <t>303</t>
  </si>
  <si>
    <t>165662094</t>
  </si>
  <si>
    <t>TÓK Testnevelési Tanszék</t>
  </si>
  <si>
    <t>304</t>
  </si>
  <si>
    <t>677381667</t>
  </si>
  <si>
    <t>TÓK-TH</t>
  </si>
  <si>
    <t>305</t>
  </si>
  <si>
    <t>165662095</t>
  </si>
  <si>
    <t>TÓK Vizuális Nevelési Tanszék</t>
  </si>
  <si>
    <t>306</t>
  </si>
  <si>
    <t>165662098</t>
  </si>
  <si>
    <t>TREFORT</t>
  </si>
  <si>
    <t>ELTE Trefort Ágoston Gyakorló Gimnázium</t>
  </si>
  <si>
    <t>307</t>
  </si>
  <si>
    <t>165661930</t>
  </si>
  <si>
    <t>308</t>
  </si>
  <si>
    <t>165662133</t>
  </si>
  <si>
    <t>TTK Állatrendszertani és Ökológiai Tanszék</t>
  </si>
  <si>
    <t>165662061</t>
  </si>
  <si>
    <t>309</t>
  </si>
  <si>
    <t>165662131</t>
  </si>
  <si>
    <t>TTK Anatómiai, Sejt- és Fejlődésbiológiai Tanszék</t>
  </si>
  <si>
    <t>310</t>
  </si>
  <si>
    <t>165662135</t>
  </si>
  <si>
    <t>TTK Biokémiai Tanszék</t>
  </si>
  <si>
    <t>311</t>
  </si>
  <si>
    <t>165662146</t>
  </si>
  <si>
    <t>TTK Élettani és Neurobiológiai Tanszék</t>
  </si>
  <si>
    <t>312</t>
  </si>
  <si>
    <t>165662137</t>
  </si>
  <si>
    <t>TTK Embertani Tanszék</t>
  </si>
  <si>
    <t>313</t>
  </si>
  <si>
    <t>165662139</t>
  </si>
  <si>
    <t>TTK Biológiai Szakmódszertani Csoport</t>
  </si>
  <si>
    <t>314</t>
  </si>
  <si>
    <t>165662147</t>
  </si>
  <si>
    <t>TTK Etológiai Tanszék</t>
  </si>
  <si>
    <t>315</t>
  </si>
  <si>
    <t>165662141</t>
  </si>
  <si>
    <t>TTK Genetika Tanszék</t>
  </si>
  <si>
    <t>316</t>
  </si>
  <si>
    <t>165662148</t>
  </si>
  <si>
    <t>TTK Immunológiai Tanszék</t>
  </si>
  <si>
    <t>317</t>
  </si>
  <si>
    <t>165662143</t>
  </si>
  <si>
    <t>TTK Mikrobiológiai Tanszék</t>
  </si>
  <si>
    <t>318</t>
  </si>
  <si>
    <t>165662144</t>
  </si>
  <si>
    <t>TTK Növényélettani és Molekuláris Növénybiológiai Tanszék</t>
  </si>
  <si>
    <t>319</t>
  </si>
  <si>
    <t>165662145</t>
  </si>
  <si>
    <t>TTK Növényrendszertani, Ökológiai és Elméleti Biológiai Tanszék</t>
  </si>
  <si>
    <t>320</t>
  </si>
  <si>
    <t>165662304</t>
  </si>
  <si>
    <t>TTK Növényszervezettani Tanszék</t>
  </si>
  <si>
    <t>321</t>
  </si>
  <si>
    <t>TTK Biológiai Intézet</t>
  </si>
  <si>
    <t>322</t>
  </si>
  <si>
    <t>165662054</t>
  </si>
  <si>
    <t>TTK Földrajz- és Földtudományi Intézet</t>
  </si>
  <si>
    <t>323</t>
  </si>
  <si>
    <t>165662584</t>
  </si>
  <si>
    <t>TTK Általános és Alkalmazott Földtani Tanszék</t>
  </si>
  <si>
    <t>165662062</t>
  </si>
  <si>
    <t>324</t>
  </si>
  <si>
    <t>165662179</t>
  </si>
  <si>
    <t>TTK Ásványtani Tanszék</t>
  </si>
  <si>
    <t>325</t>
  </si>
  <si>
    <t>165662085</t>
  </si>
  <si>
    <t>TTK Csillagászati Tanszék</t>
  </si>
  <si>
    <t>326</t>
  </si>
  <si>
    <t>165662402</t>
  </si>
  <si>
    <t>TTK-FFI-FÖLD-KIHELY</t>
  </si>
  <si>
    <t>MTA Magyar Tudományos Akadémia Földrajztudományi Kutató Intézetébe kihelyezett tanszéki csoport</t>
  </si>
  <si>
    <t>165662064</t>
  </si>
  <si>
    <t>TTK-FFI-FÖLDRAJZ-KP</t>
  </si>
  <si>
    <t>327</t>
  </si>
  <si>
    <t>TTK Földrajztudományi Központ</t>
  </si>
  <si>
    <t>328</t>
  </si>
  <si>
    <t>TTK Földtudományi Központ</t>
  </si>
  <si>
    <t>329</t>
  </si>
  <si>
    <t>165662030</t>
  </si>
  <si>
    <t>TTK Geofizikai és Űrtudományi Tanszék</t>
  </si>
  <si>
    <t>330</t>
  </si>
  <si>
    <t>165662210</t>
  </si>
  <si>
    <t>TTK Környezet- és Tájföldrajzi Tanszék</t>
  </si>
  <si>
    <t>331</t>
  </si>
  <si>
    <t>165662181</t>
  </si>
  <si>
    <t>TTK Kőzettan-Geokémiai Tanszék</t>
  </si>
  <si>
    <t>332</t>
  </si>
  <si>
    <t>165662400</t>
  </si>
  <si>
    <t>TTK-FFIMÁFIREGFÖLDT</t>
  </si>
  <si>
    <t>TTK Magyar Állami Földtani Intézetbe kihelyezett Regionális Földtani Tanszék</t>
  </si>
  <si>
    <t>333</t>
  </si>
  <si>
    <t>165662125</t>
  </si>
  <si>
    <t>TTK Meteorológiai Tanszék</t>
  </si>
  <si>
    <t>334</t>
  </si>
  <si>
    <t>165662406</t>
  </si>
  <si>
    <t>TTK-FFIMTAASZTRLAB</t>
  </si>
  <si>
    <t>MTA Csillagászati Kutató Intézetébe kihelyezett Asztrofizikai Laboratórium</t>
  </si>
  <si>
    <t>335</t>
  </si>
  <si>
    <t>165662407</t>
  </si>
  <si>
    <t>TTK-FFIOMSZ</t>
  </si>
  <si>
    <t>TTK Országos Meteorológiai Szolgálathoz kihelyezett Tanszéki Csoport</t>
  </si>
  <si>
    <t>336</t>
  </si>
  <si>
    <t>165662183</t>
  </si>
  <si>
    <t>TTK Őslénytani Tanszék</t>
  </si>
  <si>
    <t>337</t>
  </si>
  <si>
    <t>165662168</t>
  </si>
  <si>
    <t>TTK Regionális Tudományi Tanszék</t>
  </si>
  <si>
    <t>338</t>
  </si>
  <si>
    <t>165662174</t>
  </si>
  <si>
    <t>TTK Természetföldrajzi Tanszék</t>
  </si>
  <si>
    <t>339</t>
  </si>
  <si>
    <t>165662173</t>
  </si>
  <si>
    <t>TTK Társadalom- és Gazdaságföldrajzi Tanszék</t>
  </si>
  <si>
    <t>340</t>
  </si>
  <si>
    <t>165662272</t>
  </si>
  <si>
    <t>TTK Űrkutató Csoport</t>
  </si>
  <si>
    <t>341</t>
  </si>
  <si>
    <t>165662164</t>
  </si>
  <si>
    <t>TTK Anyagfizikai Tanszék</t>
  </si>
  <si>
    <t>165662059</t>
  </si>
  <si>
    <t>342</t>
  </si>
  <si>
    <t>165662149</t>
  </si>
  <si>
    <t>TTK Atomfizikai Tanszék</t>
  </si>
  <si>
    <t>343</t>
  </si>
  <si>
    <t>165662160</t>
  </si>
  <si>
    <t>TTK Biológiai Fizika Tanszék</t>
  </si>
  <si>
    <t>344</t>
  </si>
  <si>
    <t>165662158</t>
  </si>
  <si>
    <t>TTK Elméleti Fizikai Tanszék</t>
  </si>
  <si>
    <t>345</t>
  </si>
  <si>
    <t>165662162</t>
  </si>
  <si>
    <t>TTK Komplex Rendszerek Fizikája Tanszék</t>
  </si>
  <si>
    <t>346</t>
  </si>
  <si>
    <t>TTK Fizikai Intézet</t>
  </si>
  <si>
    <t>347</t>
  </si>
  <si>
    <t>165662268</t>
  </si>
  <si>
    <t>TTK-GH</t>
  </si>
  <si>
    <t>TTK Gazdasági Hivatal</t>
  </si>
  <si>
    <t>348</t>
  </si>
  <si>
    <t>165662265</t>
  </si>
  <si>
    <t>TTK-KARI</t>
  </si>
  <si>
    <t>TTK Dékáni Hivatal</t>
  </si>
  <si>
    <t>349</t>
  </si>
  <si>
    <t>165662271</t>
  </si>
  <si>
    <t>TTK-KARIKÖNYVTÁR</t>
  </si>
  <si>
    <t>TTK Kari Könyvtár</t>
  </si>
  <si>
    <t>350</t>
  </si>
  <si>
    <t>165662487</t>
  </si>
  <si>
    <t>351</t>
  </si>
  <si>
    <t>165662052</t>
  </si>
  <si>
    <t>TTK Kémiai Intézet</t>
  </si>
  <si>
    <t>352</t>
  </si>
  <si>
    <t>165662072</t>
  </si>
  <si>
    <t>TTK Analitikai Kémiai Tanszék</t>
  </si>
  <si>
    <t>353</t>
  </si>
  <si>
    <t>165662067</t>
  </si>
  <si>
    <t>TTK Fizikai Kémiai Tanszék</t>
  </si>
  <si>
    <t>354</t>
  </si>
  <si>
    <t>165662070</t>
  </si>
  <si>
    <t>TTK Szerves Kémiai Tanszék</t>
  </si>
  <si>
    <t>355</t>
  </si>
  <si>
    <t>165662066</t>
  </si>
  <si>
    <t>TTK Szervetlen Kémiai Tanszék</t>
  </si>
  <si>
    <t>356</t>
  </si>
  <si>
    <t>165662667</t>
  </si>
  <si>
    <t>TTK-KOZPKUTMUSZ</t>
  </si>
  <si>
    <t>Központi Kutató és Ipari Kapcsolatok Centrum</t>
  </si>
  <si>
    <t>357</t>
  </si>
  <si>
    <t>165662316</t>
  </si>
  <si>
    <t>TTK Környezettudományi Centrum</t>
  </si>
  <si>
    <t>358</t>
  </si>
  <si>
    <t>165662134</t>
  </si>
  <si>
    <t>TTK Matematikai Intézet</t>
  </si>
  <si>
    <t>359</t>
  </si>
  <si>
    <t>165662127</t>
  </si>
  <si>
    <t>TTK Algebra és Számelmélet Tanszék</t>
  </si>
  <si>
    <t>360</t>
  </si>
  <si>
    <t>165662136</t>
  </si>
  <si>
    <t>TTK Alkalmazott Analízis és Számításmatematikai Tanszék</t>
  </si>
  <si>
    <t>361</t>
  </si>
  <si>
    <t>165662128</t>
  </si>
  <si>
    <t>TTK Analízis Tanszék</t>
  </si>
  <si>
    <t>362</t>
  </si>
  <si>
    <t>165662138</t>
  </si>
  <si>
    <t>TTK Geometriai Tanszék</t>
  </si>
  <si>
    <t>363</t>
  </si>
  <si>
    <t>165662142</t>
  </si>
  <si>
    <t>TTK Matematikatanítási és Módszertani Központ</t>
  </si>
  <si>
    <t>364</t>
  </si>
  <si>
    <t>165662129</t>
  </si>
  <si>
    <t>TTK Operációkutatási Tanszék</t>
  </si>
  <si>
    <t>365</t>
  </si>
  <si>
    <t>165662130</t>
  </si>
  <si>
    <t>TTK Számítógéptudományi Tanszék</t>
  </si>
  <si>
    <t>366</t>
  </si>
  <si>
    <t>165662140</t>
  </si>
  <si>
    <t>TTK Valószínűségelméleti és Statisztika Tanszék</t>
  </si>
  <si>
    <t>367</t>
  </si>
  <si>
    <t>165662408</t>
  </si>
  <si>
    <t>TTK-OKTKUTSEGÍT-CS</t>
  </si>
  <si>
    <t>TTK A Tanszéken belül oktatást, kutatást segítő Alkalmazott Statisztikai Szolgáltató Csoport</t>
  </si>
  <si>
    <t>368</t>
  </si>
  <si>
    <t>165662267</t>
  </si>
  <si>
    <t>TTK Tanulmányi Hivatal</t>
  </si>
  <si>
    <t>369</t>
  </si>
  <si>
    <t>165662547</t>
  </si>
  <si>
    <t>TTSZK</t>
  </si>
  <si>
    <t>Angelusz Róbert Társadalomtudományi Szakkollégium</t>
  </si>
  <si>
    <t>370</t>
  </si>
  <si>
    <t>Büntetőjogi Tanszék</t>
  </si>
  <si>
    <t>Idegennyelvi Oktatásszervezési Központ</t>
  </si>
  <si>
    <t>Közgazdaságtan és Statisztika Tanszék</t>
  </si>
  <si>
    <t>Kuncz Ödön Jogi Tudásközpont</t>
  </si>
  <si>
    <t>Kriminológiai Tanszék</t>
  </si>
  <si>
    <t>Munkajogi és Szociális Jogi Tanszék</t>
  </si>
  <si>
    <t>Nemzetközi Magánjogi és Európai Gazdasági Jogi Tanszék</t>
  </si>
  <si>
    <t>Polgári Eljárásjogi Tanszék</t>
  </si>
  <si>
    <t>Politikatudományi Intézet</t>
  </si>
  <si>
    <t>Átoktatás átvétel, támogatás</t>
  </si>
  <si>
    <t>Átoktatás átvétel, támogatás felosztása általános munkaszámról intézetekre / tanszékekre</t>
  </si>
  <si>
    <t>Átoktatással csökkentett képzési támogatás áthozatala képzési munkaszámokról intézetekre / tanszékekre, általános munkaszámra, hivatalokra</t>
  </si>
  <si>
    <t>Átoktatás átvétel, önköltséges bevétel</t>
  </si>
  <si>
    <t>Átoktatás átvétel, önköltséges bevétel felosztása általános munkaszámról intézetekre / tanszékekre</t>
  </si>
  <si>
    <t>Egyéb finanszírozású képzési bevétel tervezése képzési munkaszámokra</t>
  </si>
  <si>
    <t>Önköltséges képzési bevétel tervezése képzési munkaszámokra</t>
  </si>
  <si>
    <t>Önköltséges képzési bevétel felosztása általános munkaszámról intézetekre / tanszékekre</t>
  </si>
  <si>
    <t>Átoktatással csökkentett önköltséges képzési bevétel áthozatala képzési munkaszámokról intézetekre / tanszékekre, általános munkaszámra, hivatalokra</t>
  </si>
  <si>
    <t>Átoktatással csökkentett egyéb finanszírozású képzési bevétel áthozatala képzési munkaszámokról intézetekre / tanszékekre, általános munkaszámra, hivatalokra</t>
  </si>
  <si>
    <t>Egyéb finanszírozású képzési bevétel felosztása általános munkaszámról intézetekre / tanszékekre</t>
  </si>
  <si>
    <t>Átoktatás átvétel, egyéb finanszírozású bevétel</t>
  </si>
  <si>
    <t>Átoktatás átadás, egyéb finanszírozású bevétel</t>
  </si>
  <si>
    <t>Átoktatás átadás, Stipendium Hungaricum</t>
  </si>
  <si>
    <t>Átoktatással csökkentett Stipendium Hungaricum képzési támogatás áthozatala képzési munkaszámokról intézetekre / tanszékekre, általános munkaszámra, hivatalokra</t>
  </si>
  <si>
    <t>Átoktatás átvétel, Stipendium Hungaricum</t>
  </si>
  <si>
    <t>Átoktatás átvétel, Stipendium Hungaricum támogatás felosztása általános munkaszámról intézetekre / tanszékekre</t>
  </si>
  <si>
    <t>Közterületesítés</t>
  </si>
  <si>
    <t>Dologi kiadások</t>
  </si>
  <si>
    <t>MARADVÁNY</t>
  </si>
  <si>
    <t>Személyi kiadások (kari kiválósági nélkül)</t>
  </si>
  <si>
    <t>Kari kiválósági személyi kiadások</t>
  </si>
  <si>
    <t>Keresztfinanszírozás utáni egyenleg</t>
  </si>
  <si>
    <t>Stipendium Hungaricum képzési támogatás átvétele stipendium munkaszámról / tervezése képzési munkaszámokra</t>
  </si>
  <si>
    <t>2020. évi %-os megoszlás</t>
  </si>
  <si>
    <t>Rezsi 40%</t>
  </si>
  <si>
    <t>ÁKTH 19%</t>
  </si>
  <si>
    <t>KIVÁLÓSÁGI ALAP 5%</t>
  </si>
  <si>
    <t>KIVÁLÓSÁGI ALAP 0,5%</t>
  </si>
  <si>
    <t>KARON MARADÓ 15,5%</t>
  </si>
  <si>
    <t>Összesen</t>
  </si>
  <si>
    <t>CTEKP2019</t>
  </si>
  <si>
    <t>DTEKP2019</t>
  </si>
  <si>
    <t>ETEKP2019</t>
  </si>
  <si>
    <t>ÁJK</t>
  </si>
  <si>
    <t>TáTK</t>
  </si>
  <si>
    <t>Radnóti Gyakorló Iskola</t>
  </si>
  <si>
    <t>SEK-BDPK</t>
  </si>
  <si>
    <t>GOTTHARD</t>
  </si>
  <si>
    <t>Mindösszesen*</t>
  </si>
  <si>
    <t>OTKA</t>
  </si>
  <si>
    <t>Nem OTKA</t>
  </si>
  <si>
    <t>* A kalkuláció nem tartalmazza a PÁK által lebonyolított pályázatok tervezett kiadásait.</t>
  </si>
  <si>
    <t>** Az NVKP, NKP, VKE, FIEK, VEKOP, GINOP, H2020, EFOP pályázatok tervezett kiadásai kerültek összeszámításra a Pályázati Központ által</t>
  </si>
  <si>
    <t>Összeg / Eltérés</t>
  </si>
  <si>
    <t>RR9704/14</t>
  </si>
  <si>
    <t>EISZ</t>
  </si>
  <si>
    <t>ÖSSZEGZŐ SOR</t>
  </si>
  <si>
    <t>ÖSSZESEN: töltendő, ha nincs alábontás</t>
  </si>
  <si>
    <t>TERVEZÉS ÖSSZESEN (karon kívülre átadásnál 0)</t>
  </si>
  <si>
    <t>idei forrás ÖSSZESEN: töltendő, ha nincs alábontás</t>
  </si>
  <si>
    <t>Összesen:</t>
  </si>
  <si>
    <t>7.sz.melléklet szerint külön tervezendő</t>
  </si>
  <si>
    <t>12.sz.melléklet szerint külön tervezendő</t>
  </si>
  <si>
    <t>Informatikai kiadások, maradvány</t>
  </si>
  <si>
    <t>KARI főcsoport ÖSSZESEN</t>
  </si>
  <si>
    <t>Üzemeltetési kiadások, maradvány</t>
  </si>
  <si>
    <t>Funkcióterület neve</t>
  </si>
  <si>
    <t>Igen, Budapest</t>
  </si>
  <si>
    <t>B0000</t>
  </si>
  <si>
    <t>C0000</t>
  </si>
  <si>
    <t>D0000</t>
  </si>
  <si>
    <t>E0000</t>
  </si>
  <si>
    <t>F0000</t>
  </si>
  <si>
    <t>G0000</t>
  </si>
  <si>
    <t>H0000</t>
  </si>
  <si>
    <t>Igen, Szombathely</t>
  </si>
  <si>
    <t>B0400</t>
  </si>
  <si>
    <t>E0500</t>
  </si>
  <si>
    <t>F0400</t>
  </si>
  <si>
    <t>S0000</t>
  </si>
  <si>
    <t>Használt bruttó terület m2</t>
  </si>
  <si>
    <t>%</t>
  </si>
  <si>
    <t>Kötelező üzemeltetés fajlagos
kiadása
Ft/m2</t>
  </si>
  <si>
    <t>Kizárólagos terület
m2</t>
  </si>
  <si>
    <t>Kizárólagos terület aránya</t>
  </si>
  <si>
    <t>Közterületre eső kötelező üzemeltetési kiadás
Ft</t>
  </si>
  <si>
    <t>5.=3./1.</t>
  </si>
  <si>
    <t>8.=6./1.</t>
  </si>
  <si>
    <t>Kizárólagos területre eső kötelező üzemeltetési kiadás Ft</t>
  </si>
  <si>
    <t>Létszám-egyenértékes
(hallgatók +
2 x alkalmazottak)</t>
  </si>
  <si>
    <t>Közterületre eső üzemeltetési kiadás újraosztása</t>
  </si>
  <si>
    <t>9.=8.*3.</t>
  </si>
  <si>
    <t>12.=3.-9.</t>
  </si>
  <si>
    <t>14.=9.+13.</t>
  </si>
  <si>
    <t>Telefonköltség, maradvány</t>
  </si>
  <si>
    <t>Telefonköltség, idei forrás</t>
  </si>
  <si>
    <t>Személyi kiadások (kari kiválósági nélkül), maradvány</t>
  </si>
  <si>
    <t>Személyi kiadások (kari kiválósági nélkül), idei forrás</t>
  </si>
  <si>
    <t>Dologi kiadások, idei forrás</t>
  </si>
  <si>
    <t>Dologi kiadások, maradvány</t>
  </si>
  <si>
    <t>Bevételátadás belső működésre</t>
  </si>
  <si>
    <t>Bevételátadás belső működésre, maradvány</t>
  </si>
  <si>
    <t>MARADVÁNY ÖSSZEGZŐ SOR</t>
  </si>
  <si>
    <t>Bevételátadás belső működésre, idei forrás</t>
  </si>
  <si>
    <t>Bevételátadás belső működésre, idei forrás, saját bevétel</t>
  </si>
  <si>
    <t>Bevételátadás belső működésre, idei forrás, támogatás</t>
  </si>
  <si>
    <t>U-s munkaszámokon átfordult maradvány</t>
  </si>
  <si>
    <t>FIKP</t>
  </si>
  <si>
    <t>TEKP</t>
  </si>
  <si>
    <t>Átoktatás átvétel, egyéb finanszírozású bevétel felosztása általános munkaszámról intézetekre / tanszékekre</t>
  </si>
  <si>
    <t>NEM TERVEZENDŐ</t>
  </si>
  <si>
    <t>Átoktatás átvétel, Stipendium Hungaricum támogatás felosztása hivatalokról intézetekre / tanszékekre</t>
  </si>
  <si>
    <t>Savaria Egyetemi Központ Könyvtár</t>
  </si>
  <si>
    <t>Trefort Ágoston Gyakorlóiskola</t>
  </si>
  <si>
    <t>SEK</t>
  </si>
  <si>
    <t>Összeg / KARI főcsoport ÖSSZESEN</t>
  </si>
  <si>
    <t>Összeg / TERVEZÉS ÖSSZESEN (karon kívülre átadásnál 0)</t>
  </si>
  <si>
    <t>18. a)</t>
  </si>
  <si>
    <t>18. b)</t>
  </si>
  <si>
    <t>18. c)</t>
  </si>
  <si>
    <t>Belföldi és külföldi folyóiratra átrendezés</t>
  </si>
  <si>
    <t>EISZ kari részre átrendezés</t>
  </si>
  <si>
    <t>Tárgyévi közterületesítés miatti átrendezés</t>
  </si>
  <si>
    <t>Finanszírozás helyi ÁKTH-ból</t>
  </si>
  <si>
    <t>Korrigált egyenleg</t>
  </si>
  <si>
    <t>Kötelezően tervezendő műszak, energia, üzemeltetés (közterületesítés nélkül)</t>
  </si>
  <si>
    <t>IK SZH</t>
  </si>
  <si>
    <t>PPK SZH</t>
  </si>
  <si>
    <t>TÁTK SZH</t>
  </si>
  <si>
    <t>TÓK SZH</t>
  </si>
  <si>
    <t>Stipendium Hungaricum képzési támogatás felosztása hivatalokról intézetekre / tanszékekre</t>
  </si>
  <si>
    <t>Stipendium Hungaricum képzési támogatás felosztása általános munkaszámról intézetekre / tanszékekre</t>
  </si>
  <si>
    <t>Kiadás 2.a) összesen</t>
  </si>
  <si>
    <t>Keresztfinanszírozás előtti egyenleg, maradvány</t>
  </si>
  <si>
    <t>Keresztfinanszírozás előtti egyenleg, összesen</t>
  </si>
  <si>
    <t>Bevételátadás üzemeltetési kiadásokra, összesen</t>
  </si>
  <si>
    <t>Bevételátadás üzemeltetési kiadásokra, saját bevétel</t>
  </si>
  <si>
    <t>Bevételátadás üzemeltetési kiadásokra, támogatás</t>
  </si>
  <si>
    <t>2.A ÖSSZEGEI</t>
  </si>
  <si>
    <t>K2A</t>
  </si>
  <si>
    <t>B2A</t>
  </si>
  <si>
    <t>BKÉ</t>
  </si>
  <si>
    <t>Maradvány forrás összesen</t>
  </si>
  <si>
    <t>B + űrlapsorszámos B2A</t>
  </si>
  <si>
    <t>Bevételátadás informatikai kiadásokra, összesen</t>
  </si>
  <si>
    <t>Bevételátadás informatikai kiadásokra, saját bevétel</t>
  </si>
  <si>
    <t>Bevételátadás informatikai kiadásokra, támogatás</t>
  </si>
  <si>
    <t>Informatikai kiadások, idei forrás, összesen</t>
  </si>
  <si>
    <t>Informatikai kiadások, idei forrás, személyi</t>
  </si>
  <si>
    <t>Informatikai kiadások, idei forrás, dologi</t>
  </si>
  <si>
    <t>Üzemeltetési kiadások, idei forrás, összesen</t>
  </si>
  <si>
    <t>Üzemeltetési kiadások, idei forrás, dologi</t>
  </si>
  <si>
    <t>Üzemeltetési kiadások, idei forrás, személyi</t>
  </si>
  <si>
    <t>Kari kiválósági dologi kiadások</t>
  </si>
  <si>
    <t>Kari kiválósági kiadások, idei forrás összesen</t>
  </si>
  <si>
    <t>Tervezett kiadás maradványból összesen</t>
  </si>
  <si>
    <t>Tervezett kiadás mindösszesen</t>
  </si>
  <si>
    <t>TERVEZETT</t>
  </si>
  <si>
    <t>Kari kiválósági -1,5 %, saját bevétel</t>
  </si>
  <si>
    <t>Kari kiválósági -1,5 %, támogatás</t>
  </si>
  <si>
    <t>Bevételátadás EISZ kari rész, saját bevétel</t>
  </si>
  <si>
    <t>Bevételátadás EISZ kari rész, támogatás</t>
  </si>
  <si>
    <t>Tárgyévi közterületesítés miatti átrendezés, saját bevétel</t>
  </si>
  <si>
    <t>Tárgyévi közterületesítés miatti átrendezés, támogatás</t>
  </si>
  <si>
    <t>Üzemeltetési dologi kiadások</t>
  </si>
  <si>
    <t>Üzemeltetési személyi kiadások</t>
  </si>
  <si>
    <t>Informatikai dologi kiadások</t>
  </si>
  <si>
    <t>Informatikai személyi kiadások</t>
  </si>
  <si>
    <t>Kari kiválósági kiadások, maradvány</t>
  </si>
  <si>
    <t>Kari kiválósági személyi kiadások, maradvány</t>
  </si>
  <si>
    <t>Kari kiválósági dologi kiadások, maradvány</t>
  </si>
  <si>
    <t>Kari kiválósági dologi kiadások, idei forrás</t>
  </si>
  <si>
    <t>Kari kiválósági személyi kiadások, idei forrás</t>
  </si>
  <si>
    <t>Kari Tanács B/K</t>
  </si>
  <si>
    <t>Dologi kiadások (üzemeltetetés és informatika nélkül)</t>
  </si>
  <si>
    <t>Belső keresztfinanszírozás, támogatás</t>
  </si>
  <si>
    <t>Ö</t>
  </si>
  <si>
    <t>31. Belső keresztfinanszírozás összesen</t>
  </si>
  <si>
    <t>2.a melléklet sorszáma</t>
  </si>
  <si>
    <t>Kari Tanács sorszám</t>
  </si>
  <si>
    <t>Személyi kiadások (üzemeltetetés és informatika nélkül)</t>
  </si>
  <si>
    <t>41. a)</t>
  </si>
  <si>
    <t>41. b)</t>
  </si>
  <si>
    <t>42. a)</t>
  </si>
  <si>
    <t>42. b)</t>
  </si>
  <si>
    <t>Központi ÁKTH elvonás nem ittlévő bevételekből -19 % TÁRGYÉVI FORRÁSBÓL</t>
  </si>
  <si>
    <t>Központi ÁKTH elvonás nem ittlévő bevételekből -19 % MARADVÁNY FORRÁSBÓL</t>
  </si>
  <si>
    <t>Szombathelyi működésre ÁKTH elvonás nem ittlévő bevételekből -19 % TÁRGYÉVI FORRÁSBÓL</t>
  </si>
  <si>
    <t>Szombathelyi működésre ÁKTH elvonás nem ittlévő bevételekből -19 % MARADVÁNY FORRÁSBÓL</t>
  </si>
  <si>
    <t>43. a)</t>
  </si>
  <si>
    <t>43. b)</t>
  </si>
  <si>
    <t>44. a)</t>
  </si>
  <si>
    <t>44. b)</t>
  </si>
  <si>
    <t>Kari kiválósági elvonás még nem ittlévő bevételekből -1,5 % TÁRGYÉVI FORRÁSBÓL</t>
  </si>
  <si>
    <t>Kari kiválósági elvonás még nem ittlévő bevételekből -1,5 % MARADVÁNY FORRÁSBÓL</t>
  </si>
  <si>
    <t>Karnál kiválósági visszahagyás +1,5 % TÁRGYÉVI FORRÁSBÓL</t>
  </si>
  <si>
    <t>Karnál kiválósági visszahagyás +1,5 % MARADVÁNY FORRÁSBÓL</t>
  </si>
  <si>
    <t>Kari kiválósági elvonás még nem ittlévő bevételekből -1,5 %, idei forrás</t>
  </si>
  <si>
    <t>Kari kiválósági elvonás még "nem ittlévő" bevételekből -1,5 %, maradvány</t>
  </si>
  <si>
    <t>Karnál kiválósági visszahagyás még nem ittlévő bevételekből +1,5 %, idei forrás</t>
  </si>
  <si>
    <t>Karnál kiválósági visszahagyás még "nem ittlévő" bevételekből +1,5 %, maradvány</t>
  </si>
  <si>
    <t>Kari kiválósági elvonás nem ittlévő bevételekből -1,5 %</t>
  </si>
  <si>
    <t>Karnál kiválósági visszahagyás nem ittlévő bevételekből +1,5 %</t>
  </si>
  <si>
    <t>Szakmai gyakorlatok és terepgyakorlatok kiadásai, idei forrás, összesen</t>
  </si>
  <si>
    <t>Szakmai gyakorlatok és terepgyakorlatok kiadásai, idei forrás, személyi</t>
  </si>
  <si>
    <t>Szakmai gyakorlatok és terepgyakorlatok kiadásai, idei forrás, dologi</t>
  </si>
  <si>
    <t>űrlapsor szerinti bontás külön tervezendő</t>
  </si>
  <si>
    <t>Szakmai gyakorlatok és terepgyakorlatok kiadásai, maradvány, összesen</t>
  </si>
  <si>
    <t>Szakmai gyakorlatok és terepgyakorlatok kiadásai, maradvány, személyi</t>
  </si>
  <si>
    <t>Szakmai gyakorlatok és terepgyakorlatok kiadásai, maradvány, dologi</t>
  </si>
  <si>
    <t>Kiadások célfeladatokra (átfutó), maradvány, összesen</t>
  </si>
  <si>
    <t>Kiadások célfeladatokra (átfutó), maradvány, személyi</t>
  </si>
  <si>
    <t>Kiadások célfeladatokra (átfutó), maradvány, dologi</t>
  </si>
  <si>
    <t>Kiadások célfeladatokra (átfutó), idei forrás, összesen</t>
  </si>
  <si>
    <t>Kiadások célfeladatokra (átfutó), idei forrás, személyi</t>
  </si>
  <si>
    <t>Kiadások célfeladatokra (átfutó), idei forrás, dologi</t>
  </si>
  <si>
    <t>PALYREZSI</t>
  </si>
  <si>
    <t xml:space="preserve">SZOCHO átadás </t>
  </si>
  <si>
    <t>ÁKTH SZH</t>
  </si>
  <si>
    <t>Általános Gyógypedagógiai Intézet</t>
  </si>
  <si>
    <t>Atipikus Viselkedés és Kogníció Gyógypedagógiai Intézet</t>
  </si>
  <si>
    <t>Fogyatékosság és Társadalmi Részvétel Intézet</t>
  </si>
  <si>
    <t>Gyógypedagógiai Módszertani és Rehabilitációs Intézet</t>
  </si>
  <si>
    <t>Gyógypedagógiai Pszichológiai Intézet</t>
  </si>
  <si>
    <t>Gyógypedagógiai Továbbképző Központ</t>
  </si>
  <si>
    <t>Illyés Sándor Kutatóközpont</t>
  </si>
  <si>
    <t>Kari Könyvtár és Gyógypedagógia-történeti Gyűjtemény</t>
  </si>
  <si>
    <t>Szakmai Szolgáltató Központ</t>
  </si>
  <si>
    <t>Kötelezően tervezendő informatikai kiadások - IIG</t>
  </si>
  <si>
    <t>Trefort kert - MÜFIG</t>
  </si>
  <si>
    <t>Angol-Amerikai Intézet</t>
  </si>
  <si>
    <t>Filozófia Intézet</t>
  </si>
  <si>
    <t>Germanisztikai Intézet</t>
  </si>
  <si>
    <t>Könyvtár- és Információtudományi Intézet</t>
  </si>
  <si>
    <t>Magyar Irodalom- és Kultúratudományi Intézet</t>
  </si>
  <si>
    <t>Magyar Nyelvtudományi és Finnugor Intézet</t>
  </si>
  <si>
    <t>Művészetelméleti és Médiakutatási Intézet</t>
  </si>
  <si>
    <t>Művészettörténeti Intézet</t>
  </si>
  <si>
    <t>Néprajzi Intézet</t>
  </si>
  <si>
    <t>Orientalisztikai Intézet</t>
  </si>
  <si>
    <t>Ókortudományi Intézet</t>
  </si>
  <si>
    <t>Régészettudományi Intézet</t>
  </si>
  <si>
    <t>Romanisztikai Intézet</t>
  </si>
  <si>
    <t>2020 évi terv létszám</t>
  </si>
  <si>
    <t>Szláv és Balti Filológiai Intézet</t>
  </si>
  <si>
    <t>Távol-keleti Intézet</t>
  </si>
  <si>
    <t>Történeti Intézet</t>
  </si>
  <si>
    <t>Nyelvi Közvetítés Intézete</t>
  </si>
  <si>
    <t>Művészetközvetítő és Zenei Intézet</t>
  </si>
  <si>
    <t>Doktori Iroda</t>
  </si>
  <si>
    <t>Nk-i Kapcsolatok Irodája</t>
  </si>
  <si>
    <t>2020 évi terv bértömeg</t>
  </si>
  <si>
    <t>Tervezési egység 2020</t>
  </si>
  <si>
    <t>BTK általános munkaszám</t>
  </si>
  <si>
    <t>Szervezet</t>
  </si>
  <si>
    <t>Bevételi egyenleg II. (Bevételi egyenleg I. + maradvány és korrekciói)</t>
  </si>
  <si>
    <t>KIADÁSOK ÖSSZESEN</t>
  </si>
  <si>
    <t>Oktatási egységek összesen</t>
  </si>
  <si>
    <t>Bevétel átrendezések</t>
  </si>
  <si>
    <t>negatív esetén forrásátadás</t>
  </si>
  <si>
    <t>Bevételátadás informatikai kiadásokra - visszahagyás</t>
  </si>
  <si>
    <t>Bevételátadás üzemeltetési kiadásokra - visszahagyás</t>
  </si>
  <si>
    <t>(Több tétel)</t>
  </si>
  <si>
    <t>I.</t>
  </si>
  <si>
    <t>II.</t>
  </si>
  <si>
    <t>III.</t>
  </si>
  <si>
    <t>IV.</t>
  </si>
  <si>
    <t>V.</t>
  </si>
  <si>
    <t>B1.b.</t>
  </si>
  <si>
    <t xml:space="preserve">B2.a. </t>
  </si>
  <si>
    <t xml:space="preserve">B2.b. </t>
  </si>
  <si>
    <t xml:space="preserve">B5. </t>
  </si>
  <si>
    <t xml:space="preserve">B3.a. </t>
  </si>
  <si>
    <t xml:space="preserve">B3.b. </t>
  </si>
  <si>
    <t>B.I.</t>
  </si>
  <si>
    <t xml:space="preserve">B8. </t>
  </si>
  <si>
    <t xml:space="preserve">B9. </t>
  </si>
  <si>
    <t xml:space="preserve">B10. </t>
  </si>
  <si>
    <t xml:space="preserve">B11. </t>
  </si>
  <si>
    <t xml:space="preserve">B12. </t>
  </si>
  <si>
    <t xml:space="preserve">B15. </t>
  </si>
  <si>
    <t xml:space="preserve">B16. </t>
  </si>
  <si>
    <t xml:space="preserve">B17. </t>
  </si>
  <si>
    <t xml:space="preserve">B18. </t>
  </si>
  <si>
    <t xml:space="preserve">B19. </t>
  </si>
  <si>
    <t>B.II.</t>
  </si>
  <si>
    <t xml:space="preserve">B20. </t>
  </si>
  <si>
    <t>B.III.</t>
  </si>
  <si>
    <t xml:space="preserve">B26. </t>
  </si>
  <si>
    <t xml:space="preserve">B27. </t>
  </si>
  <si>
    <t xml:space="preserve">B28. </t>
  </si>
  <si>
    <t>B.IV.</t>
  </si>
  <si>
    <t xml:space="preserve">B29. </t>
  </si>
  <si>
    <t>K1.a.</t>
  </si>
  <si>
    <t xml:space="preserve">K2.a. </t>
  </si>
  <si>
    <t>K2.b.</t>
  </si>
  <si>
    <t>K1.b.</t>
  </si>
  <si>
    <t>K2.d.</t>
  </si>
  <si>
    <t>K1.c.</t>
  </si>
  <si>
    <t>K2.e.</t>
  </si>
  <si>
    <t xml:space="preserve">K1.d. </t>
  </si>
  <si>
    <t>K2.f.</t>
  </si>
  <si>
    <t>K.V.</t>
  </si>
  <si>
    <t>Ö1.</t>
  </si>
  <si>
    <t>Ö2.</t>
  </si>
  <si>
    <t>Ö5.</t>
  </si>
  <si>
    <t>Ö3.</t>
  </si>
  <si>
    <t>Ö4.</t>
  </si>
  <si>
    <t>Ö6.</t>
  </si>
  <si>
    <t>Ö7.</t>
  </si>
  <si>
    <t>Átoktatással csökkentett képzési támogatás</t>
  </si>
  <si>
    <t>Átoktatással csökkentett önköltséges képzési bevétel</t>
  </si>
  <si>
    <t>B1a.</t>
  </si>
  <si>
    <t>Átoktatással csökkentett Stipendium Hungaricum képzési támogatás</t>
  </si>
  <si>
    <t>Átoktatással csökkentett egyéb finanszírozású képzési bevétel</t>
  </si>
  <si>
    <t>Stipendium Hungaricum képzési támogatás</t>
  </si>
  <si>
    <t>Képzési támogatás</t>
  </si>
  <si>
    <t>Önköltséges képzési bevétel</t>
  </si>
  <si>
    <t>Egyéb finanszírozású képzési bevétel</t>
  </si>
  <si>
    <t>B32.</t>
  </si>
  <si>
    <t>Angol Nyelv és Irodalom Tanszék</t>
  </si>
  <si>
    <t>Fizikai Tanszék</t>
  </si>
  <si>
    <t>Földrajzi Tanszék</t>
  </si>
  <si>
    <t>Kémiai Tanszék</t>
  </si>
  <si>
    <t>Magyar Irodalomtudományi Tanszék</t>
  </si>
  <si>
    <t>Magyar Nyelvtudományi Tanszék</t>
  </si>
  <si>
    <t>Matematikai Tanszék</t>
  </si>
  <si>
    <t>Német Nyelv és Irodalom Tanszék</t>
  </si>
  <si>
    <t>Szlavisztika Tanszék</t>
  </si>
  <si>
    <t>Történelem Tanszék</t>
  </si>
  <si>
    <t>Vizuális Művészeti Tanszék</t>
  </si>
  <si>
    <t>Zenepedagógiai Tanszék</t>
  </si>
  <si>
    <t>Igazgatói Hivatal</t>
  </si>
  <si>
    <t>16.=14.-3.</t>
  </si>
  <si>
    <t>8-as Szombathely</t>
  </si>
  <si>
    <t>S0001</t>
  </si>
  <si>
    <t>Kiegészítés 8-asból</t>
  </si>
  <si>
    <t>T0100</t>
  </si>
  <si>
    <t>RPSZKK</t>
  </si>
  <si>
    <t>SEK Üzemeltetési és Gondn</t>
  </si>
  <si>
    <t>Állami támogatás</t>
  </si>
  <si>
    <t>B13.</t>
  </si>
  <si>
    <t>Kiválósági ösztöndíj</t>
  </si>
  <si>
    <t>K16601/17</t>
  </si>
  <si>
    <t>KOZTERSZH</t>
  </si>
  <si>
    <t>Egyéb  célfeladataok</t>
  </si>
  <si>
    <t>Pedagógiai és Pszichológiai Intézet</t>
  </si>
  <si>
    <t>B131SSZPI</t>
  </si>
  <si>
    <t>B0390</t>
  </si>
  <si>
    <t>Sporttudományi Intézet</t>
  </si>
  <si>
    <t>B131SSZSI</t>
  </si>
  <si>
    <t>B13101/17</t>
  </si>
  <si>
    <t>Affektív Pszichológia Tanszék</t>
  </si>
  <si>
    <t>Ember–Környezet Tranzakció Intézet</t>
  </si>
  <si>
    <t>Életvezetési Tanácsadó</t>
  </si>
  <si>
    <t>Egészségfejlesztési és Sporttudományi Intézet</t>
  </si>
  <si>
    <t>Fejlődés- és Klinikai Gyermekpszichológia Tanszék</t>
  </si>
  <si>
    <t>Felnőttképzés-kutatási és Tudásmenedzsment Intézet</t>
  </si>
  <si>
    <t>Szervezet- és Vezetéspszichológia Tanszék</t>
  </si>
  <si>
    <t>Interkulturális Pszichológiai és Pedagógiai Intézet</t>
  </si>
  <si>
    <t>Klinikai Pszichológia és Addiktológia Tanszék</t>
  </si>
  <si>
    <t>Kognitív Pszichológia Tanszék</t>
  </si>
  <si>
    <t>Neveléstudományi Intézet</t>
  </si>
  <si>
    <t>Pszichológiai Intézet</t>
  </si>
  <si>
    <t>Tanácsadás- és Iskolapszichológia Tanszék</t>
  </si>
  <si>
    <t>Történeti Szociálpszichológiai Szakgyűjtemény</t>
  </si>
  <si>
    <t>Személyiség- és Egészségpszichológia Tanszék</t>
  </si>
  <si>
    <t>Szociálpszichológia Tanszék</t>
  </si>
  <si>
    <t>BDPK KERESZTFINANSZÍROZÁS</t>
  </si>
  <si>
    <t>KORRIGÁLT EGYENLEG 2</t>
  </si>
  <si>
    <t>T BDPK keresztfinanszírozás</t>
  </si>
  <si>
    <t>SB BDPK keresztfinanszírozás</t>
  </si>
  <si>
    <t>B0001</t>
  </si>
  <si>
    <t>USZKAROPPK</t>
  </si>
  <si>
    <t>B39019/19</t>
  </si>
  <si>
    <t>SEK Keresztfinansz.</t>
  </si>
  <si>
    <t>K07101/18</t>
  </si>
  <si>
    <t>B33</t>
  </si>
  <si>
    <t>B.VI.</t>
  </si>
  <si>
    <t>VI.</t>
  </si>
  <si>
    <t>VII.</t>
  </si>
  <si>
    <t>B.VII.</t>
  </si>
  <si>
    <t>Bevétel</t>
  </si>
  <si>
    <t>ÖSSZESEN</t>
  </si>
  <si>
    <t>Ellenőrzés Főtábláról</t>
  </si>
  <si>
    <t xml:space="preserve"> </t>
  </si>
  <si>
    <t>Budapest összesen</t>
  </si>
  <si>
    <t>Oktatási-kutatási egységek összesen</t>
  </si>
  <si>
    <t>UIZABELLA</t>
  </si>
  <si>
    <t>UDAMPPK</t>
  </si>
  <si>
    <t>UBOG10APPK</t>
  </si>
  <si>
    <t>UBOG10BPPK</t>
  </si>
  <si>
    <t>UMERNOKPPK</t>
  </si>
  <si>
    <t>UTUSKECS</t>
  </si>
  <si>
    <t>Összeg / Pedagógiai és Pszichológiai Intézet</t>
  </si>
  <si>
    <t>Összeg / Sporttudományi Intézet</t>
  </si>
  <si>
    <t>Összeg / PPK Általános</t>
  </si>
  <si>
    <t>Értékek</t>
  </si>
  <si>
    <t>Összeg / Képzési munkaszámok</t>
  </si>
  <si>
    <t>Összeg / Üzemeltetés</t>
  </si>
  <si>
    <t>Összeg / Kari kiválósági munkaszám</t>
  </si>
  <si>
    <t>Összeg / Közterületesítés különbözet</t>
  </si>
  <si>
    <t>Összeg / ÁKTH SZH</t>
  </si>
  <si>
    <t xml:space="preserve">Összeg / SZOCHO átadás </t>
  </si>
  <si>
    <t>Összeg / Kiválósági Alap 0,5%</t>
  </si>
  <si>
    <t>Összeg / Kiválósági Alap 5%</t>
  </si>
  <si>
    <t>Összeg / Szhely. tanárképzés gyakorlat</t>
  </si>
  <si>
    <t>Összeg / Átoktatás bevételből</t>
  </si>
  <si>
    <t>Összeg / Átoktatás támogatásból</t>
  </si>
  <si>
    <t>Összeg / Átoktatás stipendiumból</t>
  </si>
  <si>
    <t>Összeg / Átoktatás egyéb</t>
  </si>
  <si>
    <t>Összeg / Kiválósági ösztöndíj</t>
  </si>
  <si>
    <t>Összeg / SEK Keresztfinansz.</t>
  </si>
  <si>
    <t>MINDÖSSZESEN</t>
  </si>
  <si>
    <t>bizonylatok sorszáma: 8560, 8561, 8602</t>
  </si>
  <si>
    <t>bizonylat sorszáma: 8655</t>
  </si>
  <si>
    <t>bizonylatok sorszáma: 8562, 8563, 8564, 8567, 8568, 8571, 8572</t>
  </si>
  <si>
    <t>Épületkód</t>
  </si>
  <si>
    <t>EA100</t>
  </si>
  <si>
    <t>EA200</t>
  </si>
  <si>
    <t>EA300</t>
  </si>
  <si>
    <t>EA350</t>
  </si>
  <si>
    <t>EA400</t>
  </si>
  <si>
    <t>EA500</t>
  </si>
  <si>
    <t>EA600</t>
  </si>
  <si>
    <t>EA700</t>
  </si>
  <si>
    <t>EA900</t>
  </si>
  <si>
    <t>EB100</t>
  </si>
  <si>
    <t>EB100P</t>
  </si>
  <si>
    <t>EB160</t>
  </si>
  <si>
    <t>EB200</t>
  </si>
  <si>
    <t>EB300</t>
  </si>
  <si>
    <t>EB400</t>
  </si>
  <si>
    <t>EB950</t>
  </si>
  <si>
    <t>EC200</t>
  </si>
  <si>
    <t>EC400</t>
  </si>
  <si>
    <t>EC500</t>
  </si>
  <si>
    <t>ED100</t>
  </si>
  <si>
    <t>ED200</t>
  </si>
  <si>
    <t>ED300</t>
  </si>
  <si>
    <t>ED500</t>
  </si>
  <si>
    <t>ED600</t>
  </si>
  <si>
    <t>EE100</t>
  </si>
  <si>
    <t>EE200</t>
  </si>
  <si>
    <t>EE300</t>
  </si>
  <si>
    <t>EE400</t>
  </si>
  <si>
    <t>EE500</t>
  </si>
  <si>
    <t>EE710</t>
  </si>
  <si>
    <t>EE720</t>
  </si>
  <si>
    <t>EE730</t>
  </si>
  <si>
    <t>EE740</t>
  </si>
  <si>
    <t>EF100</t>
  </si>
  <si>
    <t>EF200</t>
  </si>
  <si>
    <t>EF300</t>
  </si>
  <si>
    <t>EF400</t>
  </si>
  <si>
    <t>EF500</t>
  </si>
  <si>
    <t>EF600</t>
  </si>
  <si>
    <t>EF700</t>
  </si>
  <si>
    <t>EF800</t>
  </si>
  <si>
    <t>EF900</t>
  </si>
  <si>
    <t>EFA00</t>
  </si>
  <si>
    <t>EFB00</t>
  </si>
  <si>
    <t>EG100</t>
  </si>
  <si>
    <t>EG200</t>
  </si>
  <si>
    <t>EH110</t>
  </si>
  <si>
    <t>EH120</t>
  </si>
  <si>
    <t>EH140</t>
  </si>
  <si>
    <t>EH320</t>
  </si>
  <si>
    <t>EI210</t>
  </si>
  <si>
    <t>EI220</t>
  </si>
  <si>
    <t>EI230</t>
  </si>
  <si>
    <t>EI300</t>
  </si>
  <si>
    <t>EI400</t>
  </si>
  <si>
    <t>EI500</t>
  </si>
  <si>
    <t>EJ100</t>
  </si>
  <si>
    <t>ES100</t>
  </si>
  <si>
    <t>ES140</t>
  </si>
  <si>
    <t>ES160</t>
  </si>
  <si>
    <t>ES170</t>
  </si>
  <si>
    <t>ES200</t>
  </si>
  <si>
    <t>ES310</t>
  </si>
  <si>
    <t>ES320</t>
  </si>
  <si>
    <t>ES330</t>
  </si>
  <si>
    <t>USZERB21KP</t>
  </si>
  <si>
    <t>UKECSKEAJK</t>
  </si>
  <si>
    <t>UKECSKEKP</t>
  </si>
  <si>
    <t>UKECSKEKOZ</t>
  </si>
  <si>
    <t>UKECSKEIN</t>
  </si>
  <si>
    <t>UEGYET1KP</t>
  </si>
  <si>
    <t>UEGYET1AJK</t>
  </si>
  <si>
    <t>UEGYET5</t>
  </si>
  <si>
    <t>UFERENCIKP</t>
  </si>
  <si>
    <t>UFERENCIKO</t>
  </si>
  <si>
    <t>USZERB3</t>
  </si>
  <si>
    <t>UPAPN458</t>
  </si>
  <si>
    <t>UPAPN4GIMI</t>
  </si>
  <si>
    <t>UPAPN4KOLL</t>
  </si>
  <si>
    <t>UTREFOBTK</t>
  </si>
  <si>
    <t>UTREFOKONF</t>
  </si>
  <si>
    <t>UTREFOFRAN</t>
  </si>
  <si>
    <t>UTREFOKP</t>
  </si>
  <si>
    <t>UTREFOGTI</t>
  </si>
  <si>
    <t>UTREFOEH</t>
  </si>
  <si>
    <t>UTREFOPPP</t>
  </si>
  <si>
    <t>UPUSKIN9</t>
  </si>
  <si>
    <t>UTREF858</t>
  </si>
  <si>
    <t>UTREF8GI</t>
  </si>
  <si>
    <t>UBAROSS62</t>
  </si>
  <si>
    <t>URAKOCZI7</t>
  </si>
  <si>
    <t>UAJTOSI</t>
  </si>
  <si>
    <t>UCHAZAR14</t>
  </si>
  <si>
    <t>UCHAZAR58</t>
  </si>
  <si>
    <t>UCHAZARGI</t>
  </si>
  <si>
    <t>UVEZER</t>
  </si>
  <si>
    <t>UPAZMTTK</t>
  </si>
  <si>
    <t>UPAZMIK</t>
  </si>
  <si>
    <t>UPAZMTATK</t>
  </si>
  <si>
    <t>UBOG10AKP</t>
  </si>
  <si>
    <t>UBOG10AIK</t>
  </si>
  <si>
    <t>UMERNOKKP</t>
  </si>
  <si>
    <t>UBOG10BKP</t>
  </si>
  <si>
    <t>UMEN12</t>
  </si>
  <si>
    <t>UMEN11TKK</t>
  </si>
  <si>
    <t>UMEN11KP</t>
  </si>
  <si>
    <t>UMEN11BTK</t>
  </si>
  <si>
    <t>UDAYKA</t>
  </si>
  <si>
    <t>UNAGYTET</t>
  </si>
  <si>
    <t>UNANDKOLL</t>
  </si>
  <si>
    <t>UNANDILLYE</t>
  </si>
  <si>
    <t>UNANDBOLYA</t>
  </si>
  <si>
    <t>UNANDANGEL</t>
  </si>
  <si>
    <t>UPECSMASZ</t>
  </si>
  <si>
    <t>USZEGMASZ</t>
  </si>
  <si>
    <t>UILLESFUV</t>
  </si>
  <si>
    <t>UGODFUV</t>
  </si>
  <si>
    <t>USZSZIHGAO</t>
  </si>
  <si>
    <t>UVISEGRAD</t>
  </si>
  <si>
    <t>UBKENESE</t>
  </si>
  <si>
    <t>UMVASAR</t>
  </si>
  <si>
    <t>UMAGLODKP</t>
  </si>
  <si>
    <t>UMAGLODKO</t>
  </si>
  <si>
    <t>UMAGLODLEV</t>
  </si>
  <si>
    <t>UKEREKES</t>
  </si>
  <si>
    <t>UVIZISPORT</t>
  </si>
  <si>
    <t>UBFURED</t>
  </si>
  <si>
    <t>UTATA</t>
  </si>
  <si>
    <t>UECSERI</t>
  </si>
  <si>
    <t>UDAMBGGYK</t>
  </si>
  <si>
    <t>UDAMKOLL</t>
  </si>
  <si>
    <t>UDAMKP</t>
  </si>
  <si>
    <t>UDAMALT14</t>
  </si>
  <si>
    <t>UDAMALT58</t>
  </si>
  <si>
    <t>UDAMGYOV</t>
  </si>
  <si>
    <t>UDAMGYOVKF</t>
  </si>
  <si>
    <t>UDAMGYOPSZ</t>
  </si>
  <si>
    <t>UKISSJ4214</t>
  </si>
  <si>
    <t>UKISSJ29</t>
  </si>
  <si>
    <t>UBEETHOVEN</t>
  </si>
  <si>
    <t>UHUSZT1</t>
  </si>
  <si>
    <t>UHUSZT2</t>
  </si>
  <si>
    <t>UHUSZT3</t>
  </si>
  <si>
    <t>USZEREMI</t>
  </si>
  <si>
    <t>UHAMZSABEG</t>
  </si>
  <si>
    <t>UREGIPOSTA</t>
  </si>
  <si>
    <t>USZEPU2</t>
  </si>
  <si>
    <t>USZKAROKON</t>
  </si>
  <si>
    <t>USZKAROLEV</t>
  </si>
  <si>
    <t>USZKAROBDP</t>
  </si>
  <si>
    <t>USZKAROKP</t>
  </si>
  <si>
    <t>USZKAROIK</t>
  </si>
  <si>
    <t>USZKAROTAT</t>
  </si>
  <si>
    <t>USZKARORPF</t>
  </si>
  <si>
    <t>USZKARORPS</t>
  </si>
  <si>
    <t>USZKARORPM</t>
  </si>
  <si>
    <t>USZBERZSEK</t>
  </si>
  <si>
    <t>USZGEFIN28</t>
  </si>
  <si>
    <t>USZGEFIN22</t>
  </si>
  <si>
    <t>USZBOLYA14</t>
  </si>
  <si>
    <t>USZBOLYA58</t>
  </si>
  <si>
    <t>USZBOLYAGI</t>
  </si>
  <si>
    <t>USZMAGYAR</t>
  </si>
  <si>
    <t>USZADY</t>
  </si>
  <si>
    <t>USZDEAK</t>
  </si>
  <si>
    <t>UKOZPONT</t>
  </si>
  <si>
    <t>N0000</t>
  </si>
  <si>
    <t>R0500</t>
  </si>
  <si>
    <t>S0150</t>
  </si>
  <si>
    <t>R0800</t>
  </si>
  <si>
    <t>N0680</t>
  </si>
  <si>
    <t>R0700</t>
  </si>
  <si>
    <t>T0010</t>
  </si>
  <si>
    <t>S0050</t>
  </si>
  <si>
    <t>T0400</t>
  </si>
  <si>
    <t>T0030</t>
  </si>
  <si>
    <t>N0731</t>
  </si>
  <si>
    <t>T0020</t>
  </si>
  <si>
    <t>N0730</t>
  </si>
  <si>
    <t>R0270</t>
  </si>
  <si>
    <t>R0900</t>
  </si>
  <si>
    <t>R0260</t>
  </si>
  <si>
    <t>N0720</t>
  </si>
  <si>
    <t>N0721</t>
  </si>
  <si>
    <t>R0181</t>
  </si>
  <si>
    <t>R0280</t>
  </si>
  <si>
    <t>R0286</t>
  </si>
  <si>
    <t>N0735</t>
  </si>
  <si>
    <t>N0736</t>
  </si>
  <si>
    <t>N0737</t>
  </si>
  <si>
    <t>S0010</t>
  </si>
  <si>
    <t>S0020</t>
  </si>
  <si>
    <t>N0732</t>
  </si>
  <si>
    <t>N0733</t>
  </si>
  <si>
    <t>T0060</t>
  </si>
  <si>
    <t>T0070</t>
  </si>
  <si>
    <t>T0080</t>
  </si>
  <si>
    <t>T0040</t>
  </si>
  <si>
    <t>T0050</t>
  </si>
  <si>
    <t>T0090</t>
  </si>
  <si>
    <t>N0738</t>
  </si>
  <si>
    <t>A*-Z*</t>
  </si>
  <si>
    <t>Trefort továbbsz. Bevétel</t>
  </si>
  <si>
    <t>288/350, 258/332</t>
  </si>
  <si>
    <t>Áfa</t>
  </si>
  <si>
    <t>bizonylat sorszáma: 8666</t>
  </si>
  <si>
    <t>1. KARI GAZDÁN BEVÉTELEK</t>
  </si>
  <si>
    <t>1.1. KÉPZÉSI BEVÉTELEK</t>
  </si>
  <si>
    <t>Képzés típusa</t>
  </si>
  <si>
    <t>Összesen (Analitika munkalapon megadottak szerint)</t>
  </si>
  <si>
    <t>Megjegyzés</t>
  </si>
  <si>
    <t>1.2. EGYÉB BEVÉTELEK</t>
  </si>
  <si>
    <t>Kari bevételek mindösszesen</t>
  </si>
  <si>
    <t>2. NEM KARI KÖLTSÉGGAZDÁN KEZELT BEVÉTELEK</t>
  </si>
  <si>
    <t>2.1. ÁLLAMHÁZTARTÁSON BELÜLRŐL</t>
  </si>
  <si>
    <t>Támogató, projekt</t>
  </si>
  <si>
    <t>Működési célú támogatás</t>
  </si>
  <si>
    <t>Felhalmozási célú támogatás</t>
  </si>
  <si>
    <t>Nem kari költséggazdán kezelt bevételek mindösszesen</t>
  </si>
  <si>
    <t>1.1. KÉPZÉSI BEVÉTELEK ANALITIKÁJA</t>
  </si>
  <si>
    <t>Képzés (szak) megnevezése</t>
  </si>
  <si>
    <t>Képzés rendje (tagozat)</t>
  </si>
  <si>
    <t>Tavaszi félév</t>
  </si>
  <si>
    <t>Őszi félév</t>
  </si>
  <si>
    <t>Hallgatói létszám</t>
  </si>
  <si>
    <t>Önköltség/félév/fő</t>
  </si>
  <si>
    <t>Nyitó létszám január 1-jén</t>
  </si>
  <si>
    <t xml:space="preserve">Személyi kör </t>
  </si>
  <si>
    <t xml:space="preserve">Oktató </t>
  </si>
  <si>
    <t xml:space="preserve">Kutató </t>
  </si>
  <si>
    <t>Tanár</t>
  </si>
  <si>
    <t xml:space="preserve">Közoktv. Tv. alá tartozó </t>
  </si>
  <si>
    <t xml:space="preserve">Közgyűjteményes és közalkalmazott </t>
  </si>
  <si>
    <t xml:space="preserve">Hallgatói jogviszonnyal ill. MT hatálya alá tartozó </t>
  </si>
  <si>
    <t>Megbízási jogviszonyban foglalkoztatott</t>
  </si>
  <si>
    <t xml:space="preserve">Önkéntes </t>
  </si>
  <si>
    <t>Mindösszesen</t>
  </si>
  <si>
    <t>A1</t>
  </si>
  <si>
    <t>A2</t>
  </si>
  <si>
    <t>A3</t>
  </si>
  <si>
    <t>A4</t>
  </si>
  <si>
    <t>A5 - A6</t>
  </si>
  <si>
    <t>A7 - A8</t>
  </si>
  <si>
    <t>M8</t>
  </si>
  <si>
    <t>Költségek tervezési egységek</t>
  </si>
  <si>
    <t>Fő</t>
  </si>
  <si>
    <t>FTE</t>
  </si>
  <si>
    <t>Oktatási-kutatási egységek</t>
  </si>
  <si>
    <t>Képzési utalványkódok</t>
  </si>
  <si>
    <t>Kari hivatalok</t>
  </si>
  <si>
    <t>Elszámolásköteles források</t>
  </si>
  <si>
    <t>Költségvetési tervezési egységek</t>
  </si>
  <si>
    <t>Munkaszám besorolás 
(funkcióterület alapján szűrendő)</t>
  </si>
  <si>
    <t>Bevétel elvonások karon kívülre</t>
  </si>
  <si>
    <t>Karon felhasználható bevétel összesen</t>
  </si>
  <si>
    <t>Kiadások</t>
  </si>
  <si>
    <t>Kari kiadások összesen</t>
  </si>
  <si>
    <t>Maradvány a következő évre</t>
  </si>
  <si>
    <t>Tárgyévi várható források</t>
  </si>
  <si>
    <t>Belső átcsoportosítások karon belül</t>
  </si>
  <si>
    <t>Tárgyévi forrás terhére kiadások</t>
  </si>
  <si>
    <t>Maradvány forrás terhére kiadások</t>
  </si>
  <si>
    <t>céltámogatás / pályázat</t>
  </si>
  <si>
    <t>Költhető + kötváll</t>
  </si>
  <si>
    <t>Személyi juttatások járulékkal</t>
  </si>
  <si>
    <t>Nem személyi jellegű kifizetés</t>
  </si>
  <si>
    <t>Szabad keret</t>
  </si>
  <si>
    <t>Munkaszám/ utalványkód</t>
  </si>
  <si>
    <t>Funkcióterület / körzet</t>
  </si>
  <si>
    <t>6. = 1.+..+5.</t>
  </si>
  <si>
    <t>7. a)</t>
  </si>
  <si>
    <t>7. b)</t>
  </si>
  <si>
    <t>7. c)</t>
  </si>
  <si>
    <t>7. d)</t>
  </si>
  <si>
    <t xml:space="preserve">7. </t>
  </si>
  <si>
    <t>8. = 7.-6.</t>
  </si>
  <si>
    <t>Pályázatok tételesen</t>
  </si>
  <si>
    <t>Pályázatok összesen</t>
  </si>
  <si>
    <t>Évközi várható céltámogatások tételesen</t>
  </si>
  <si>
    <t>Céltámogatás összesen</t>
  </si>
  <si>
    <t>Átfordult maradvány az előző évről
(SAP szabad keret)</t>
  </si>
  <si>
    <t>Alapilletmény</t>
  </si>
  <si>
    <t>Kompenzáció</t>
  </si>
  <si>
    <t>Kereset-, illetmény kiegészítés</t>
  </si>
  <si>
    <t>Pótlékok, helyettesítési díjak</t>
  </si>
  <si>
    <t>Munkábajárás költségtérítése</t>
  </si>
  <si>
    <t>Megbízási díjak</t>
  </si>
  <si>
    <t>Hallgatói, doktoranduszi, munkadíj</t>
  </si>
  <si>
    <t>Jutalom</t>
  </si>
  <si>
    <t>Jogviszony megszűnésével összefüggő juttatások</t>
  </si>
  <si>
    <t>Munkáltatót terhelő közterhek</t>
  </si>
  <si>
    <t>Bérek és közterhek  mindösszesen</t>
  </si>
  <si>
    <t>KORRIGÁLT EGYENLEG (KARI BELSŐ POZÍCIÓ)</t>
  </si>
  <si>
    <t>Idei forrás</t>
  </si>
  <si>
    <t xml:space="preserve">K </t>
  </si>
  <si>
    <t>Tervezett létszámbővülés</t>
  </si>
  <si>
    <t>Tervezett létszámcsökkenés</t>
  </si>
  <si>
    <t>Legfőbb kockázati tényezők
felsorolása</t>
  </si>
  <si>
    <t>Súlyozás indoka a lehetséges hatás mértéke alapján</t>
  </si>
  <si>
    <t>Alacsony
1</t>
  </si>
  <si>
    <t xml:space="preserve">
2</t>
  </si>
  <si>
    <t>Közepes
3</t>
  </si>
  <si>
    <t xml:space="preserve">
4</t>
  </si>
  <si>
    <t>Magas
5</t>
  </si>
  <si>
    <t>Mentorálási feladatai</t>
  </si>
  <si>
    <t>3. a) melléklet szerint</t>
  </si>
  <si>
    <t>Ittlévő források a 2022. évi költségvetésben</t>
  </si>
  <si>
    <t>Egyéb finanszírozású képzési költségvetés allokáció célszervezetre</t>
  </si>
  <si>
    <t>10. melléklet szerint</t>
  </si>
  <si>
    <t>14. d) melléklet szerint</t>
  </si>
  <si>
    <t>Béremelés 2021-2022 itt lévő része</t>
  </si>
  <si>
    <t>Egyetemi kiválósági alap elvonás -1%</t>
  </si>
  <si>
    <t>szükséglet 3. b) melléklet szerint</t>
  </si>
  <si>
    <t>Kiválósági ösztöndíjhoz hozzájárulás (-6,84mFt maradvány, 2021/22 II. félév  és 2022/23 I. félév tanév becsült adatai alapján</t>
  </si>
  <si>
    <t>14. a) melléklet</t>
  </si>
  <si>
    <t>12. c) melléklet</t>
  </si>
  <si>
    <t>12. c) mellékletben</t>
  </si>
  <si>
    <t>11. melléklet 16. oszlop ellentétes előjellel</t>
  </si>
  <si>
    <t>16. melléklet</t>
  </si>
  <si>
    <t>2021. év végi maradvány (kari gazda) szabad keret (S*ITTNEMEI, *PALYREZSI, kari kiválósági, függő bevétel kizárásával)</t>
  </si>
  <si>
    <t>2021. év végi maradvány (kari gazda) átfordult kötelezettségvállalás</t>
  </si>
  <si>
    <t>Kari kiválósági keretek 2021. év végi költhető maradványa</t>
  </si>
  <si>
    <t>Elszámolás 1. melléklet szerint</t>
  </si>
  <si>
    <t>Elszámolás 3. b) melléklet szerint</t>
  </si>
  <si>
    <t xml:space="preserve">2020 évi Stipendium Hungaricum képzési költség és szervezési keret végelszámolás - bruttó </t>
  </si>
  <si>
    <t>Elszámolás 2. a) melléklet szerint</t>
  </si>
  <si>
    <t>Elszámolás 3. C) melléklet</t>
  </si>
  <si>
    <t>Belföldi-külföldi folyóirat és EISZ  elszámolás</t>
  </si>
  <si>
    <t>28. a)</t>
  </si>
  <si>
    <t>2021 évi Stipendium Hungaricum képzési költség és szervezési keret előelszámolás - bruttó - tervezett összeg (előzetes)</t>
  </si>
  <si>
    <t>Elszámolás 3. a) melléklet "előelszámolás és végl korrekció" munkalap</t>
  </si>
  <si>
    <t>28. b)</t>
  </si>
  <si>
    <t>2021 évben végrehajtott  SH, saját és egyéb képzési bevétel korrekciók 2021.12.04-i és 2022.02.25-i állapot közötti különbözete</t>
  </si>
  <si>
    <t>25. és 28. oszlopok után</t>
  </si>
  <si>
    <t>29. a)</t>
  </si>
  <si>
    <t>Elszámolások utáni ÁKTH -19% maradványban elszámolva</t>
  </si>
  <si>
    <t>29. b)</t>
  </si>
  <si>
    <t>Elszámolások utáni kari -1,5% maradványban elszámolva</t>
  </si>
  <si>
    <t>29. c)</t>
  </si>
  <si>
    <t>Karnál kari kiválósági +1,5% visszahagyás</t>
  </si>
  <si>
    <t>29. d)</t>
  </si>
  <si>
    <t>Elszámolások utáni egyetemi kiválósági -1% maradványban elszámolva</t>
  </si>
  <si>
    <t>2021. évi TMA elszámolás (kifutó)</t>
  </si>
  <si>
    <t>Elszámolás 3 d) melléklet</t>
  </si>
  <si>
    <t xml:space="preserve">2021. 3-4. negyedévi telefon költség elszámolás </t>
  </si>
  <si>
    <t>2021. évi telefon kötváll felszabadítás</t>
  </si>
  <si>
    <t>Elszámolás 3. a) melléklet szerint</t>
  </si>
  <si>
    <t>2021. évi képzési támogatás elszámolás - bruttó - minisztérium által  visszaigazolt összeg 2021.12.04-i "bérelő" arányban (visszafizetés maradványból)</t>
  </si>
  <si>
    <t>2022. évi garantált bérminimum finanszírozás felmérés alapján</t>
  </si>
  <si>
    <t>Lektorok elszámolás 2021 év után</t>
  </si>
  <si>
    <t>37. a)</t>
  </si>
  <si>
    <t>Alaptámogatás alulfinanszírozás miatti kiegészítése 2021/22 őszi félév 1,885 szorzó figyelembe vételével</t>
  </si>
  <si>
    <t>37. b)</t>
  </si>
  <si>
    <t>GTK felfutás hatás - 2022. tavaszán és őszén felvételre kerülő hallgatók becslésének 80%-a</t>
  </si>
  <si>
    <t>Stipendium Hungaricum költségtérítés célszervezetre (átoktatás után) - 2021 évi tény 85%-a</t>
  </si>
  <si>
    <t>Stipendium Hungaricum szervezési keret 2022 - 2021 évi tény 85%-a</t>
  </si>
  <si>
    <t>Egyetemi kiválósági alap elvonás nem ittlévő bevételekből -1% TÁRGYÉVI FORRÁSBÓL</t>
  </si>
  <si>
    <t>Egyetemi kiválósági alap elvonás nem ittlévő bevételekből -1% MARADVÁNY FORRÁSBÓL</t>
  </si>
  <si>
    <t>Egyetemi kiválósági alap elvonás nem ittlévő bevételekből -1%</t>
  </si>
  <si>
    <t>20. melléklet szerint</t>
  </si>
  <si>
    <t>Közterületesítés eddigi és normatívával súlyozott létszámmal kalkulált módszertana közötti eltérés</t>
  </si>
  <si>
    <t>Kar módosított belső pozíciója</t>
  </si>
  <si>
    <t>Finanszírozás helyi ÁKTH-ból 2.</t>
  </si>
  <si>
    <t>Korrigált egyenleg 2</t>
  </si>
  <si>
    <t>BDPK keresztfinanszírozás</t>
  </si>
  <si>
    <t xml:space="preserve">Személyi juttatások 2021. évi tény bázison 2022. évi korrekciókkal (kari főcsoport - kivéve elszámolásköteles) </t>
  </si>
  <si>
    <t>2021-2022. évi béremelés miatti többletkiadás (ÁKTH-val és EKA 0,5%-kal csökkentett bevétel)</t>
  </si>
  <si>
    <t>Kötelezően tervezendő informatika (funkcionális része lesz 2021. évben)</t>
  </si>
  <si>
    <t>Kötelezően tervezendő telefon költség (2021. évi elszámolás összege alapján)</t>
  </si>
  <si>
    <t>Kari oktatási-kutatási gazda K3-K5 2021. évi tény (ITTNEMEI, kari kiválósági és üzemeltetés nélkül)</t>
  </si>
  <si>
    <t>Szakmai gyakorlatok és terepgyakorlatok (2021. évi igény alapján)</t>
  </si>
  <si>
    <t>Karnál kiválósági (2021. évi költhető maradvánnyal együtt)</t>
  </si>
  <si>
    <t>Kifizetői 13 %-os SZOCHO</t>
  </si>
  <si>
    <t>ÁFA mentes számlázott(okt.kut.)szellemi tev.kiad.</t>
  </si>
  <si>
    <t>ÁFA-s számlázott(okt.kut.)szellemi tev.kiad.</t>
  </si>
  <si>
    <t>Szakmai szolg. tanfolyamok, továbbképzések</t>
  </si>
  <si>
    <t>E.műk.c.tám. KIVÁLÓSÁGI</t>
  </si>
  <si>
    <t>E.felhalm.tám. KIVÁLÓSÁGI</t>
  </si>
  <si>
    <t>SB Kiválósági átadása</t>
  </si>
  <si>
    <t>T Nemzetköziesítési feladatok</t>
  </si>
  <si>
    <t>R981632312</t>
  </si>
  <si>
    <t>332+333+334+335+336+337+338+339+340+341+342+343+344+345+346+347+348+349+350</t>
  </si>
  <si>
    <t>GTK</t>
  </si>
  <si>
    <t>Egyéb finanszírozású képzési költségvetési bevétel allokáció célszervezetre</t>
  </si>
  <si>
    <t>2021. év végi maradvány (kari 01-05 gazda) kötelezettségvállalás (*ITTNEMEI és *PALYREZSI kizárásával)</t>
  </si>
  <si>
    <t>Kari kiválósági keretek 2021. év végi költhető maradványa **</t>
  </si>
  <si>
    <t>Keresztfinanszírozás központi ÁKTH-ból</t>
  </si>
  <si>
    <t>Teljes forrás</t>
  </si>
  <si>
    <t>ell 2.a tervezendő idei forrés</t>
  </si>
  <si>
    <t xml:space="preserve">ell tervetendő maradvány </t>
  </si>
  <si>
    <t>ell tervetendő kiadás</t>
  </si>
  <si>
    <t>11. melléklet 3. oszlop</t>
  </si>
  <si>
    <t>Egyeztetett épület beruházás</t>
  </si>
  <si>
    <t>12. a) melléklet</t>
  </si>
  <si>
    <t>Kötelezően tervezendő informatikai kiadások (tárgyévi és maradvány forrásra összesen)</t>
  </si>
  <si>
    <t>12. b) melléklet</t>
  </si>
  <si>
    <t>Kötelezően tervezendő telefon költség (2021. évi tény összege alapján)</t>
  </si>
  <si>
    <t>Kari oktatási-kutatási gazda K3-K5 2021. évi tény (01-05 gazda, *153 utkód nélkül, U* nélkül)</t>
  </si>
  <si>
    <t>B6. a</t>
  </si>
  <si>
    <t>B6.b</t>
  </si>
  <si>
    <t>B24.</t>
  </si>
  <si>
    <t xml:space="preserve">B25.a. </t>
  </si>
  <si>
    <t xml:space="preserve">B25.b. </t>
  </si>
  <si>
    <t xml:space="preserve">B30. </t>
  </si>
  <si>
    <t xml:space="preserve">B31. </t>
  </si>
  <si>
    <t>kitöltés esetén át kell adni bizonylattal</t>
  </si>
  <si>
    <t>Belső működési átadás xy3</t>
  </si>
  <si>
    <t>Egyetemi kiválósági alap elvonás -1%, saját bevétel</t>
  </si>
  <si>
    <t>Egyetemi kiválósági alap elvonás -1%, támogatás</t>
  </si>
  <si>
    <t>Bevételátadás folyóiratra, saját bevétel</t>
  </si>
  <si>
    <t>Bevételátadás folyóiratra, támogatás</t>
  </si>
  <si>
    <t>SH 2021/2022. tanév II. (tavaszi) félév</t>
  </si>
  <si>
    <t>SH itt nem lévő 2022/2023. tanév I. (őszi) félév</t>
  </si>
  <si>
    <t xml:space="preserve">K04901/22 </t>
  </si>
  <si>
    <t>K04902/22</t>
  </si>
  <si>
    <t>Egyetemi kiválósági alap elvonás -0,5%</t>
  </si>
  <si>
    <t>2021 évben végrehajtott  SH, saját és egyéb képzési bevétel korrekciók 2021.12.04-i és 2022.03.24-i állapot közötti különbözete ÉS a képzési allokáció felülvizsgálat eredménye</t>
  </si>
  <si>
    <t>Elszámolások utáni egyetemi kiválósági -0,5% maradványban elszámolva</t>
  </si>
  <si>
    <t>Egyetemi kiválósági alap elvonás nem ittlévő bevételekből -0,5% TÁRGYÉVI FORRÁSBÓL</t>
  </si>
  <si>
    <t>Egyetemi kiválósági alap elvonás nem ittlévő bevételekből -0,5% MARADVÁNY FORRÁSBÓL</t>
  </si>
  <si>
    <t>Egyetemi kiválósági alap elvonás nem ittlévő bevételekből -0,5%</t>
  </si>
  <si>
    <t>Mentorálási feladatok</t>
  </si>
  <si>
    <t>2021. év végi maradvány (kari 01-05 gazda) szabad keret (*ITTNEMEI, *PALYREZSI, függő bevétel kizárásával) ** - kari kiválósági korrekcióval (+5,5%-3%)</t>
  </si>
  <si>
    <t>14. b) melléklet garantált bérminimum allokáció 2022</t>
  </si>
  <si>
    <t>Összeg / FTE szerinti Garantált bérminimum és 0100  Alapilletmény összesen különbözete (kimutatásban csak a negatívosokat szerepeltetjük)  (itt már  beszámítva a 2095 15% fenntartói illetmény emelés összege ) BR-BM</t>
  </si>
  <si>
    <t>2022 évi felmérés adatai (még itt nem lévő)</t>
  </si>
  <si>
    <t>2021 évi tény elszámolás</t>
  </si>
  <si>
    <t>2021 évi költségvetés allokáció (előző évek alapján)</t>
  </si>
  <si>
    <t>2022 évi forrás összesen</t>
  </si>
  <si>
    <t>2022 évben itt lévő előirányzat allokációja</t>
  </si>
  <si>
    <t>Pénzügyi központ</t>
  </si>
  <si>
    <t>Garantált bérminimumos</t>
  </si>
  <si>
    <t>Minimálbéres - "A"</t>
  </si>
  <si>
    <t>NOKS</t>
  </si>
  <si>
    <t>Garantált bérminimum</t>
  </si>
  <si>
    <t>Minimálbér</t>
  </si>
  <si>
    <t>A111SALKJ</t>
  </si>
  <si>
    <t>A111SBUNT</t>
  </si>
  <si>
    <t>A111SINYO</t>
  </si>
  <si>
    <t>A111SKOZJ</t>
  </si>
  <si>
    <t>A111SKRIM</t>
  </si>
  <si>
    <t>A111SPOLI</t>
  </si>
  <si>
    <t>A111SRJOJ</t>
  </si>
  <si>
    <t>A111SPEJT</t>
  </si>
  <si>
    <t>B111SBESI</t>
  </si>
  <si>
    <t>B111SFKTI</t>
  </si>
  <si>
    <t>B111SNEVT</t>
  </si>
  <si>
    <t>B111SPSZI</t>
  </si>
  <si>
    <t>AC4201/14</t>
  </si>
  <si>
    <t>AC9201/94</t>
  </si>
  <si>
    <t>C10902/21</t>
  </si>
  <si>
    <t>C111SANAM</t>
  </si>
  <si>
    <t>C111SFTKT</t>
  </si>
  <si>
    <t>C111SGERM</t>
  </si>
  <si>
    <t>C111SKOIN</t>
  </si>
  <si>
    <t>C111SLEKT</t>
  </si>
  <si>
    <t>C111SMANY</t>
  </si>
  <si>
    <t>C111SMIKI</t>
  </si>
  <si>
    <t>C111SMUMI</t>
  </si>
  <si>
    <t>C111SMUVT</t>
  </si>
  <si>
    <t>C111SNEPR</t>
  </si>
  <si>
    <t>C111SNKKI</t>
  </si>
  <si>
    <t>C111SOKOR</t>
  </si>
  <si>
    <t>C111SORIE</t>
  </si>
  <si>
    <t>C111SREGE</t>
  </si>
  <si>
    <t>C111STAV</t>
  </si>
  <si>
    <t>C111STORT</t>
  </si>
  <si>
    <t>C111SZENE</t>
  </si>
  <si>
    <t>C111SSZLA</t>
  </si>
  <si>
    <t>lektorok</t>
  </si>
  <si>
    <t>AC09</t>
  </si>
  <si>
    <t>C19011/21</t>
  </si>
  <si>
    <t>AC09 Összeg</t>
  </si>
  <si>
    <t>D11001/16</t>
  </si>
  <si>
    <t>D111SBIOL</t>
  </si>
  <si>
    <t>D111SFIZI</t>
  </si>
  <si>
    <t>D111SKTCE</t>
  </si>
  <si>
    <t>D111SMATE</t>
  </si>
  <si>
    <t>D151PITTK</t>
  </si>
  <si>
    <t>AD09</t>
  </si>
  <si>
    <t>D10901/17</t>
  </si>
  <si>
    <t>AD09 Összeg</t>
  </si>
  <si>
    <t>AE09</t>
  </si>
  <si>
    <t>E10902/16</t>
  </si>
  <si>
    <t>AE09 Összeg</t>
  </si>
  <si>
    <t>F111SEJPO</t>
  </si>
  <si>
    <t>F111SKANT</t>
  </si>
  <si>
    <t>F111SNTEU</t>
  </si>
  <si>
    <t>F111SSTAT</t>
  </si>
  <si>
    <t>F111STMOD</t>
  </si>
  <si>
    <t>F111SSZMU</t>
  </si>
  <si>
    <t>G111SATIV</t>
  </si>
  <si>
    <t>H10801/18</t>
  </si>
  <si>
    <t>H111SDIGI</t>
  </si>
  <si>
    <t>H111SNEVT</t>
  </si>
  <si>
    <t>H111STARS</t>
  </si>
  <si>
    <t>ES05</t>
  </si>
  <si>
    <t>S15101/16</t>
  </si>
  <si>
    <t>ES05 Összeg</t>
  </si>
  <si>
    <t>KK01</t>
  </si>
  <si>
    <t>KK01 Összeg</t>
  </si>
  <si>
    <t>K05003/20</t>
  </si>
  <si>
    <t>K05007/18</t>
  </si>
  <si>
    <t>KK07</t>
  </si>
  <si>
    <t>K07101/17</t>
  </si>
  <si>
    <t>KK07 Összeg</t>
  </si>
  <si>
    <t>KK08</t>
  </si>
  <si>
    <t>KK08 Összeg</t>
  </si>
  <si>
    <t>KK10</t>
  </si>
  <si>
    <t>K10401/21</t>
  </si>
  <si>
    <t>KK10 Összeg</t>
  </si>
  <si>
    <t>T11103/16</t>
  </si>
  <si>
    <t>T12103/16</t>
  </si>
  <si>
    <t>T12105/16</t>
  </si>
  <si>
    <t>T13101/16</t>
  </si>
  <si>
    <t>T13103/16</t>
  </si>
  <si>
    <t>T14103/16</t>
  </si>
  <si>
    <t>T16102/16</t>
  </si>
  <si>
    <t>T17102/16</t>
  </si>
  <si>
    <t>MT08</t>
  </si>
  <si>
    <t>T18101/16</t>
  </si>
  <si>
    <t>MT08 Összeg</t>
  </si>
  <si>
    <t>T19105/17</t>
  </si>
  <si>
    <t>T19107/17</t>
  </si>
  <si>
    <t>PH01</t>
  </si>
  <si>
    <t>PH1112/18</t>
  </si>
  <si>
    <t>PH1402/20</t>
  </si>
  <si>
    <t>PH01 Összeg</t>
  </si>
  <si>
    <t>PN01</t>
  </si>
  <si>
    <t>PH3333/94</t>
  </si>
  <si>
    <t>PN1106/17</t>
  </si>
  <si>
    <t>PNM003114</t>
  </si>
  <si>
    <t>PN1605/20</t>
  </si>
  <si>
    <t>PNM083809</t>
  </si>
  <si>
    <t>PN01 Összeg</t>
  </si>
  <si>
    <t>PN05</t>
  </si>
  <si>
    <t>PN5201/17</t>
  </si>
  <si>
    <t>PN6101/17</t>
  </si>
  <si>
    <t>PN6001/17</t>
  </si>
  <si>
    <t>PN05 Összeg</t>
  </si>
  <si>
    <t>PZ01</t>
  </si>
  <si>
    <t>PZ1102/20</t>
  </si>
  <si>
    <t>PZ1107/20</t>
  </si>
  <si>
    <t>PZ1123/18</t>
  </si>
  <si>
    <t>PZ1208/19</t>
  </si>
  <si>
    <t>PZ1211/20</t>
  </si>
  <si>
    <t>PZ1216/21</t>
  </si>
  <si>
    <t>PZ1217/18</t>
  </si>
  <si>
    <t>PZ1218/17</t>
  </si>
  <si>
    <t>PZ1218/19</t>
  </si>
  <si>
    <t>PZ1218/20</t>
  </si>
  <si>
    <t>PZ1219/19</t>
  </si>
  <si>
    <t>PZ1220/19</t>
  </si>
  <si>
    <t>PZ1221/21</t>
  </si>
  <si>
    <t>PZ1225/18</t>
  </si>
  <si>
    <t>PZ1232/18</t>
  </si>
  <si>
    <t>PZ01 Összeg</t>
  </si>
  <si>
    <t>RR02</t>
  </si>
  <si>
    <t>RR02 Összeg</t>
  </si>
  <si>
    <t>SB01</t>
  </si>
  <si>
    <t>SB01 Összeg</t>
  </si>
  <si>
    <t>SE01</t>
  </si>
  <si>
    <t>E13101/17</t>
  </si>
  <si>
    <t>E12901/17</t>
  </si>
  <si>
    <t>SE01 Összeg</t>
  </si>
  <si>
    <t>C131SNNYI</t>
  </si>
  <si>
    <t>Központi kezelés, ki nem osztott</t>
  </si>
  <si>
    <t>Az allokáció során nem kötelező a megjelölt, jogosult munkaszámra tenni az összeget</t>
  </si>
  <si>
    <t>14. c) melléklet - kulturális illetménypótlék allokáció 2022 *</t>
  </si>
  <si>
    <t>I. funkcionális költségvetésben biztosított összeg</t>
  </si>
  <si>
    <t>AKTH besorolás</t>
  </si>
  <si>
    <t>Kombó segéd</t>
  </si>
  <si>
    <t>2022. január havi könyvelés alapján / 12 hónapra kalkulált összeg</t>
  </si>
  <si>
    <t>Járulékkal (13,0%) növelt összeg</t>
  </si>
  <si>
    <t>Kulturális illetménypótlékAJTK</t>
  </si>
  <si>
    <t>B111KKPPKB014043,5</t>
  </si>
  <si>
    <t>Kulturális illetménypótlékPPK</t>
  </si>
  <si>
    <t>Kulturális illetménypótlékBTK</t>
  </si>
  <si>
    <t>Kulturális illetménypótlékTTK</t>
  </si>
  <si>
    <t>Kulturális illetménypótlékIK</t>
  </si>
  <si>
    <t>Kulturális illetménypótlékTÁTK</t>
  </si>
  <si>
    <t>Kulturális illetménypótlékBGGYK</t>
  </si>
  <si>
    <t>H111KKTOKH0090130,5</t>
  </si>
  <si>
    <t>Kulturális illetménypótlékTÓK</t>
  </si>
  <si>
    <t>Gazdálkodástudományi Kar</t>
  </si>
  <si>
    <t>Kulturális illetménypótlékGTK</t>
  </si>
  <si>
    <t>R14401/16R026087</t>
  </si>
  <si>
    <t>II. évközi módosításként 20 %-os emelésre biztosított összeg</t>
  </si>
  <si>
    <t>SAP gazda</t>
  </si>
  <si>
    <t>SAP utalványkód</t>
  </si>
  <si>
    <t>Funkció-terület</t>
  </si>
  <si>
    <t>2021 novemberi könyvelt összeg (finanszírozás alapja)</t>
  </si>
  <si>
    <t>15 % átrendezés központi munkaszámról</t>
  </si>
  <si>
    <t>Kulturális emelés összege 11 hónapra 13% járulékkal</t>
  </si>
  <si>
    <t>C190</t>
  </si>
  <si>
    <t>C19019/19</t>
  </si>
  <si>
    <t>AI01</t>
  </si>
  <si>
    <t>I111</t>
  </si>
  <si>
    <t>KK06</t>
  </si>
  <si>
    <t>K063</t>
  </si>
  <si>
    <t>R0520</t>
  </si>
  <si>
    <t>K072</t>
  </si>
  <si>
    <t>K07201/21</t>
  </si>
  <si>
    <t>Z0000</t>
  </si>
  <si>
    <t>KK09</t>
  </si>
  <si>
    <t>K092</t>
  </si>
  <si>
    <t>K09218/21</t>
  </si>
  <si>
    <t>K104</t>
  </si>
  <si>
    <t>K10402/20</t>
  </si>
  <si>
    <t>K10403/21</t>
  </si>
  <si>
    <t>E0600</t>
  </si>
  <si>
    <t>K10404/21</t>
  </si>
  <si>
    <t>E0230</t>
  </si>
  <si>
    <t>R181</t>
  </si>
  <si>
    <t>PN13</t>
  </si>
  <si>
    <t>PN1301/21</t>
  </si>
  <si>
    <t>R0550</t>
  </si>
  <si>
    <t>PN52</t>
  </si>
  <si>
    <t>N0830</t>
  </si>
  <si>
    <t>PZ12</t>
  </si>
  <si>
    <t>PZ1209/20</t>
  </si>
  <si>
    <t>C0320</t>
  </si>
  <si>
    <t>R125</t>
  </si>
  <si>
    <t>10. melléklet speciális támogatások felosztása szervezetek között 2022 évben</t>
  </si>
  <si>
    <t>BP</t>
  </si>
  <si>
    <t>SZHELY</t>
  </si>
  <si>
    <t>MENTES</t>
  </si>
  <si>
    <t>9 MELL</t>
  </si>
  <si>
    <t>MÜFIG</t>
  </si>
  <si>
    <t>Pályázatok és kiválósági</t>
  </si>
  <si>
    <t>EHÖK</t>
  </si>
  <si>
    <t>ÁKTH Budapest</t>
  </si>
  <si>
    <t>ÁKTH Szombathely</t>
  </si>
  <si>
    <t>Kötelező minimálbér, garantált bérminimum kiegészítés - 2022 évi felmérés, még itt nem lévő)</t>
  </si>
  <si>
    <t>Anyanyelvi lektorok</t>
  </si>
  <si>
    <t>Kulturális emelés fedezete (évközi módosítás)</t>
  </si>
  <si>
    <t>Szervezetnél kezelt oktatói béremelés és még nem itt lévő garantált bérminimum nélkül</t>
  </si>
  <si>
    <t>ÁKTH BP</t>
  </si>
  <si>
    <t>ÁKTH SZHELY</t>
  </si>
  <si>
    <t>3. a) melléklet -2022. évi képzési allokáció levezetése</t>
  </si>
  <si>
    <t>Egyéb képzési</t>
  </si>
  <si>
    <t>célszervezet szerint ITT LÉVŐ ELŐIRÁNYZAT</t>
  </si>
  <si>
    <t>célszervezet szerint MÉG ITT NEM LÉVŐ ELŐIRÁNYZAT</t>
  </si>
  <si>
    <t>BudapestEJC</t>
  </si>
  <si>
    <t>BudapestGTK</t>
  </si>
  <si>
    <t>NyíregyházaTTK</t>
  </si>
  <si>
    <t>Szeged</t>
  </si>
  <si>
    <t>SzegedBGGYK</t>
  </si>
  <si>
    <t>Admin kar szerint</t>
  </si>
  <si>
    <t>SZINT</t>
  </si>
  <si>
    <t>(mind)</t>
  </si>
  <si>
    <t>TANAR</t>
  </si>
  <si>
    <t>FINANSZIROZAS</t>
  </si>
  <si>
    <t>FINANSZIROZAS2</t>
  </si>
  <si>
    <t>Stipendium Hungaricum</t>
  </si>
  <si>
    <t>SZERVEZÉSI KERET</t>
  </si>
  <si>
    <t>K04901/22</t>
  </si>
  <si>
    <t>MÁR ITT LÉVŐ</t>
  </si>
  <si>
    <t>ITTNEMEI</t>
  </si>
  <si>
    <t>Összeg / BEVETEL</t>
  </si>
  <si>
    <t>Oszlopcímkék</t>
  </si>
  <si>
    <t>85 % tény</t>
  </si>
  <si>
    <t>2.a alapján</t>
  </si>
  <si>
    <t>Sorcímkék</t>
  </si>
  <si>
    <t>2020/21/2</t>
  </si>
  <si>
    <t>2021/22/1</t>
  </si>
  <si>
    <t>2021/22/2</t>
  </si>
  <si>
    <t>2022/23/1</t>
  </si>
  <si>
    <t>Költségtérítés</t>
  </si>
  <si>
    <t>Szervezési keret</t>
  </si>
  <si>
    <t>2.a. Bp</t>
  </si>
  <si>
    <t>2.a. Szh</t>
  </si>
  <si>
    <t>2.a összesen</t>
  </si>
  <si>
    <t>Szervezeti egység megnevezése</t>
  </si>
  <si>
    <t>GTK-MENÜZLJOG</t>
  </si>
  <si>
    <t>GTK-ÉRVMARK</t>
  </si>
  <si>
    <t>GTK-PÜSZÁMV</t>
  </si>
  <si>
    <t>GTK-ÖGAZDTAN</t>
  </si>
  <si>
    <t>GTK Összeg</t>
  </si>
  <si>
    <t>IK-PHD-INF-DI</t>
  </si>
  <si>
    <t>7. a-b melléklet - üzemeltetési kiadások tervezése a 2022. évi költségvetéshez</t>
  </si>
  <si>
    <t>Kar megjelölése</t>
  </si>
  <si>
    <t>Funkció
terület</t>
  </si>
  <si>
    <t>Összeg / Üzemeltetés + PPP maradvánnyal</t>
  </si>
  <si>
    <t>Összeg / Üzemeltetés bér maradvánnyal</t>
  </si>
  <si>
    <t>Összeg / Energia maradvánnyal</t>
  </si>
  <si>
    <t>Összeg / Személyi maradvány</t>
  </si>
  <si>
    <t>Összeg / Nem személyi maradvány</t>
  </si>
  <si>
    <t>Összeg / Maradvány összesen</t>
  </si>
  <si>
    <t>Összeg / Maradvány többlet - nincs tervezés</t>
  </si>
  <si>
    <t>Tervezendő teljes összeg</t>
  </si>
  <si>
    <t>Maradvány összesen</t>
  </si>
  <si>
    <t>Tervezendő + maradvány</t>
  </si>
  <si>
    <t>2.a</t>
  </si>
  <si>
    <t>8-as Szombathely Összeg</t>
  </si>
  <si>
    <t xml:space="preserve">Állam- és Jogtudományi Kar </t>
  </si>
  <si>
    <t xml:space="preserve">Pedagógiai és Pszichológiai Kar </t>
  </si>
  <si>
    <t xml:space="preserve">Bölcsészettudományi Kar </t>
  </si>
  <si>
    <t xml:space="preserve">Természettudományi Kar </t>
  </si>
  <si>
    <t xml:space="preserve">Informatikai Kar </t>
  </si>
  <si>
    <t xml:space="preserve">Társadalomtudományi Kar </t>
  </si>
  <si>
    <t xml:space="preserve">Bárczi Gusztáv Gyógypedaógiai Kar </t>
  </si>
  <si>
    <t xml:space="preserve">TÓK Tanító- és Óvóképző Kar </t>
  </si>
  <si>
    <t>Igen, Budapest Összeg</t>
  </si>
  <si>
    <t>TÁTK- SEK Gazd.tud. Tsz.</t>
  </si>
  <si>
    <t>Berzsenyi Dániel Pedagógiai Központ</t>
  </si>
  <si>
    <t>Sporttud.I.-Szombathely</t>
  </si>
  <si>
    <t>SEK IK Műszaki Intézet</t>
  </si>
  <si>
    <t>Igen, Szombathely Összeg</t>
  </si>
  <si>
    <t>KSZO - Erdős Pál Ta</t>
  </si>
  <si>
    <t>KSZO - Kerekes úti Koll.</t>
  </si>
  <si>
    <t>MÁSZ -Debreceni Kollégium</t>
  </si>
  <si>
    <t>MÁSZ -Pécsi Kolllégium</t>
  </si>
  <si>
    <t>MÁSZ -Szögedi Kollégium</t>
  </si>
  <si>
    <t>SEK Pável Ágoston Kollégi</t>
  </si>
  <si>
    <t>N0756</t>
  </si>
  <si>
    <t>Illyés Sándor Szakkollégi</t>
  </si>
  <si>
    <t>Angelusz Róbert Társadalo</t>
  </si>
  <si>
    <t>R0290</t>
  </si>
  <si>
    <t>Navratil Ákos Szakkollégium</t>
  </si>
  <si>
    <t>Kollégium Összeg</t>
  </si>
  <si>
    <t>Köznevelés</t>
  </si>
  <si>
    <t>Trefort Á.Gyak.Gimn.</t>
  </si>
  <si>
    <t>ELTE Gyak.Gyógyped.</t>
  </si>
  <si>
    <t>Bolyai Gyak. Gimn.</t>
  </si>
  <si>
    <t>Köznevelés Összeg</t>
  </si>
  <si>
    <t>Nem</t>
  </si>
  <si>
    <t>Nem Összeg</t>
  </si>
  <si>
    <t>8-as Budapest</t>
  </si>
  <si>
    <t>Központi üzemeltetés (UKOZPONT)</t>
  </si>
  <si>
    <t xml:space="preserve">KANCELLÁRIA </t>
  </si>
  <si>
    <t>SZOLGÁLTATÓ KÖZPONT</t>
  </si>
  <si>
    <t>Rektori Koordinációs Közp</t>
  </si>
  <si>
    <t>Gothard Asztrofizikai Obs</t>
  </si>
  <si>
    <t>Konfuciusz Intézet</t>
  </si>
  <si>
    <t>Közalkalmazotti Tanács</t>
  </si>
  <si>
    <t>Egyetemi Hallgatói Inform</t>
  </si>
  <si>
    <t>8-as Budapest Összeg</t>
  </si>
  <si>
    <t>EA001</t>
  </si>
  <si>
    <t>EB960</t>
  </si>
  <si>
    <t>EE900</t>
  </si>
  <si>
    <t>UKIRALYIKP</t>
  </si>
  <si>
    <t>UPAPN7KP</t>
  </si>
  <si>
    <t>URAKOCZI17</t>
  </si>
  <si>
    <t>UPAZMPPK</t>
  </si>
  <si>
    <t>UZAGRAB</t>
  </si>
  <si>
    <t>Ell.</t>
  </si>
  <si>
    <t>Tervűrlapsor megnevezése</t>
  </si>
  <si>
    <t>Forrás megjelölése</t>
  </si>
  <si>
    <t>Tervezendő összesen</t>
  </si>
  <si>
    <t>Ell.:</t>
  </si>
  <si>
    <t>Garantált bérminimum forrás</t>
  </si>
  <si>
    <t>15% emelés fedezete</t>
  </si>
  <si>
    <t>Üzemeltetésre átadandó</t>
  </si>
  <si>
    <t>Bevételek összesen</t>
  </si>
  <si>
    <t>12. a) melléklet - kari informatikai tervezett kiadások finanszírozása</t>
  </si>
  <si>
    <t>Személyi juttatások és járulékok</t>
  </si>
  <si>
    <t>Dologi kiadások bruttóban</t>
  </si>
  <si>
    <t>Beruházások bruttóban</t>
  </si>
  <si>
    <t>2021 évi végi költhető munkaszámon</t>
  </si>
  <si>
    <t>Összesen tervezendő *</t>
  </si>
  <si>
    <t>A15301/17</t>
  </si>
  <si>
    <t>B15301/17</t>
  </si>
  <si>
    <t>C15301/17</t>
  </si>
  <si>
    <t>D15301/17</t>
  </si>
  <si>
    <t>F15301/17</t>
  </si>
  <si>
    <t>G15301/17</t>
  </si>
  <si>
    <t>BGGyK</t>
  </si>
  <si>
    <t>H15301/17</t>
  </si>
  <si>
    <t xml:space="preserve"> e</t>
  </si>
  <si>
    <t>Dami</t>
  </si>
  <si>
    <t>* egy része finanszírozható a 14. d) mellékletben juttatott emelési forrásból</t>
  </si>
  <si>
    <t>Belföldi folyóirat rendelés</t>
  </si>
  <si>
    <t>Külföldi folyóirat rendelés</t>
  </si>
  <si>
    <t>Kar/Szervezeti egység</t>
  </si>
  <si>
    <t>Bruttó összeg 2022-re</t>
  </si>
  <si>
    <t>Nettó összeg 2022-re</t>
  </si>
  <si>
    <t>Bruttó összeg Ft-ban</t>
  </si>
  <si>
    <t>Bárczi Gusztáv Gyakorlóiskola</t>
  </si>
  <si>
    <t>Gyertyánffy István Gyakorlóiskola</t>
  </si>
  <si>
    <t>Kőrösi Kollégium</t>
  </si>
  <si>
    <t>Bibó Kollégium</t>
  </si>
  <si>
    <t>Kalkulációban használt euro árfolyam 375 Ft / EUR</t>
  </si>
  <si>
    <t>Radnóti Miklós Gyakorlóiskola</t>
  </si>
  <si>
    <t>Bolyai János Gyak.Ált.Isk. és Gimn.</t>
  </si>
  <si>
    <t>EISZ árak 2022 tárgyévre</t>
  </si>
  <si>
    <t>Megrendelési javaslat</t>
  </si>
  <si>
    <t>Önrész</t>
  </si>
  <si>
    <t>Adatbázis neve</t>
  </si>
  <si>
    <t>Önrész devizában nettó</t>
  </si>
  <si>
    <t>devizanem</t>
  </si>
  <si>
    <t>várható önrész nettó</t>
  </si>
  <si>
    <t>ÁFA (27%)</t>
  </si>
  <si>
    <t>EISZtámogatás (%)</t>
  </si>
  <si>
    <t>MEGJEGYZÉS</t>
  </si>
  <si>
    <t>Rendelési tény 2021</t>
  </si>
  <si>
    <t>Rendelési javaslat 2022</t>
  </si>
  <si>
    <t>Központi</t>
  </si>
  <si>
    <t>AJK</t>
  </si>
  <si>
    <t xml:space="preserve">ACM Digital Library </t>
  </si>
  <si>
    <t>USD</t>
  </si>
  <si>
    <t xml:space="preserve">Akadémiai Kiadó Folyóiratcsomag </t>
  </si>
  <si>
    <t>HUF</t>
  </si>
  <si>
    <t>30; 70</t>
  </si>
  <si>
    <t>open ACCESS</t>
  </si>
  <si>
    <t>Akadémiai Kiadó Magyar Elektronikus Referenciamű Szolgáltatás (MeRSZ)</t>
  </si>
  <si>
    <t xml:space="preserve">Akadémiai Kiadó Szótárai </t>
  </si>
  <si>
    <t xml:space="preserve">Cambridge Full Collection </t>
  </si>
  <si>
    <t>GBP</t>
  </si>
  <si>
    <t>OPEN ACCESS</t>
  </si>
  <si>
    <t>Clarivate Analytics – Web of Science Core Collection</t>
  </si>
  <si>
    <t>Clarivate Analytics – Journal and Highly Cited Data (JHCD)</t>
  </si>
  <si>
    <t>Központi (Tud.pol. Kérése)</t>
  </si>
  <si>
    <t>Clarivate Analytics – InCites</t>
  </si>
  <si>
    <t>a JHCD előfizetés előfeltétel</t>
  </si>
  <si>
    <t xml:space="preserve">De Gruyter Complete Package (344 cím) </t>
  </si>
  <si>
    <t>EUR</t>
  </si>
  <si>
    <t>Open ACCESS</t>
  </si>
  <si>
    <t>EBSCO – Academic Search Complete</t>
  </si>
  <si>
    <t>EBSCO – Legal Source</t>
  </si>
  <si>
    <t>Elsevier – ScienceDirect</t>
  </si>
  <si>
    <t>open access publikálás lehetőségét. A 2022-es Science Direct előfizetés tartalmazza az Elsevier Kiadó több mint 7000 kötetes Freedom Collection Books e-könyv csomagját is.</t>
  </si>
  <si>
    <t>Elsevier – Scopus</t>
  </si>
  <si>
    <t>nem rendelt</t>
  </si>
  <si>
    <t>Elsevier – SciVal</t>
  </si>
  <si>
    <t xml:space="preserve">The Case Journal Ismertető </t>
  </si>
  <si>
    <t xml:space="preserve">IEEE </t>
  </si>
  <si>
    <t>JSTOR Essential Collection</t>
  </si>
  <si>
    <t>BTK, TÁTK</t>
  </si>
  <si>
    <t xml:space="preserve">Kossuth Kiadó </t>
  </si>
  <si>
    <t xml:space="preserve">L’Harmattan Digitális Adatbázis </t>
  </si>
  <si>
    <t xml:space="preserve">MathSciNet </t>
  </si>
  <si>
    <t xml:space="preserve">OUP Arts &amp; Humanities Collection </t>
  </si>
  <si>
    <t xml:space="preserve">OUP Social Sciences Collection </t>
  </si>
  <si>
    <t xml:space="preserve">Sage Premier Package Címlista </t>
  </si>
  <si>
    <t xml:space="preserve">SciFinder-n </t>
  </si>
  <si>
    <t>Springer Nature – Springer Journals (SpringerLink) + Nature Journals</t>
  </si>
  <si>
    <t>az Intézmény vállalta, hogy az adatbázis előfizetője marad a szolgáltatói szerződés teljes időtartamára.</t>
  </si>
  <si>
    <t>BGGYK, GTK, IK, PPK, TÁTK, TTK</t>
  </si>
  <si>
    <t>BGGYK, GTK, IK, PPK, TÁTK, TTK, Központi</t>
  </si>
  <si>
    <t>SZAKTÁRS – Attraktor Kiadó</t>
  </si>
  <si>
    <t>SZAKTÁRS – Balassi Kiadó</t>
  </si>
  <si>
    <t>SZAKTÁRS – Gondolat Kiadó</t>
  </si>
  <si>
    <t>SZAKTÁRS – Kalligram Kiadó</t>
  </si>
  <si>
    <t>SZAKTÁRS – Kortárs Kiadó</t>
  </si>
  <si>
    <t>SZAKTÁRS – Kriterion Kiadó</t>
  </si>
  <si>
    <t>SZAKTÁRS – Kronosz Kiadó</t>
  </si>
  <si>
    <t>SZAKTÁRS – Mentor Könyvek Kiadó</t>
  </si>
  <si>
    <t>SZAKTÁRS – Múlt és Jövő Kiadó</t>
  </si>
  <si>
    <t>SZAKTÁRS – Napvilág Kiadó</t>
  </si>
  <si>
    <t>SZAKTÁRS – Osiris Kiadó</t>
  </si>
  <si>
    <t>SZAKTÁRS – Szaktudás Kiadó</t>
  </si>
  <si>
    <t>SZAKTÁRS – Szent István Társulat</t>
  </si>
  <si>
    <t>SZAKTÁRS – Tinta Könyvkiadó – SzakKönyvTár</t>
  </si>
  <si>
    <t>Typotex – Interkönyv</t>
  </si>
  <si>
    <t xml:space="preserve">Wiley Online Library Full Collection </t>
  </si>
  <si>
    <t>Open Access, +50% 2021-hez képest</t>
  </si>
  <si>
    <t>Központi (bruttó)</t>
  </si>
  <si>
    <t>Tervezett ITM céltámogatás</t>
  </si>
  <si>
    <t>Tervezett ELTE központi támogatás</t>
  </si>
  <si>
    <t>Tervezett kari önrész (bruttó)</t>
  </si>
  <si>
    <t>Szerződés szerinti nettó összeg:</t>
  </si>
  <si>
    <t>2.a TÁTK</t>
  </si>
  <si>
    <t>3.a</t>
  </si>
  <si>
    <t>20. melléklet - kiválósági támogatások kalkulációja 2022. évben</t>
  </si>
  <si>
    <r>
      <t xml:space="preserve">2021. évi TKP-NKA 1,7 Mrd második 50 %-os része (850mFt) - </t>
    </r>
    <r>
      <rPr>
        <b/>
        <sz val="11"/>
        <color rgb="FFFF0000"/>
        <rFont val="Calibri"/>
        <family val="2"/>
        <charset val="238"/>
        <scheme val="minor"/>
      </rPr>
      <t>MARADVÁNYBAN ELŐIRÁNYZATOSÍTVA, NEM KELL TERVEZNI</t>
    </r>
  </si>
  <si>
    <t>Támogatás 100%</t>
  </si>
  <si>
    <r>
      <t xml:space="preserve">2022.-2023. évi TKP - beérkezett 2021. év végén (250mFt + 916mFt) - </t>
    </r>
    <r>
      <rPr>
        <b/>
        <sz val="11"/>
        <color rgb="FFFF0000"/>
        <rFont val="Calibri"/>
        <family val="2"/>
        <charset val="238"/>
        <scheme val="minor"/>
      </rPr>
      <t>MARADVÁNYBAN ELŐIRÁNYZATOSÍTVA, NEM KELL TERVEZNI</t>
    </r>
  </si>
  <si>
    <t>KARON MARADÓ 21%</t>
  </si>
  <si>
    <t>Kiválósági Alap hozzájárulás összegyetemi források után 3% kari általános munkaszámról</t>
  </si>
  <si>
    <t>DTEKP2021</t>
  </si>
  <si>
    <t>2022. évi rész</t>
  </si>
  <si>
    <t>2023. évi rész</t>
  </si>
  <si>
    <r>
      <t xml:space="preserve">2022. évi TKP - beérkezett 2022. év elején (237,665mFt) - </t>
    </r>
    <r>
      <rPr>
        <b/>
        <sz val="11"/>
        <color rgb="FFFF0000"/>
        <rFont val="Calibri"/>
        <family val="2"/>
        <charset val="238"/>
        <scheme val="minor"/>
      </rPr>
      <t>2022. ÉVBEN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rgb="FFFF0000"/>
        <rFont val="Calibri"/>
        <family val="2"/>
        <charset val="238"/>
        <scheme val="minor"/>
      </rPr>
      <t>BEÉRKEZETT, ELŐIRÁNYZATOSÍTVA, NEM KELL TERVEZNI *</t>
    </r>
  </si>
  <si>
    <t>ETEKP2021</t>
  </si>
  <si>
    <t>ATEKP2021</t>
  </si>
  <si>
    <t>2021. évi új TKP összesen</t>
  </si>
  <si>
    <t>2022. évi új TKP összesen</t>
  </si>
  <si>
    <t>2023. évi új TKP összesen</t>
  </si>
  <si>
    <t>* 2. a) melléklet szerinti pozícióba csak ezen összegek számítanak be, a többi már a maradvány része</t>
  </si>
  <si>
    <t>Üzemeltetési kiadások Ft</t>
  </si>
  <si>
    <t>Közterületre eső kiadás újraosztásával kiadás összesen
Ft</t>
  </si>
  <si>
    <t>Közterületesítés nélkül és közterületesítéssel számolt eredmények közti eltérés, Ft</t>
  </si>
  <si>
    <t>11. a) melléklet - 2022. évi közterületesítés terv, Budapest</t>
  </si>
  <si>
    <t>11. b) melléklet - 2021. évi elszámolás, Szombathely</t>
  </si>
  <si>
    <t>IK Szh</t>
  </si>
  <si>
    <t>PPK Szh</t>
  </si>
  <si>
    <t>TáTK Szh</t>
  </si>
  <si>
    <t>19. melléklet - tervezett pályázati kiadások 2022 évre</t>
  </si>
  <si>
    <t>Tervezett pályázati kiadások és kalkulált ÁKTH hozzájárulás 2022 évben</t>
  </si>
  <si>
    <t>2022 évre becsült pályázati kiadások*</t>
  </si>
  <si>
    <t>2022. évi tervezett ÁKTH befizetés a pályázati kiadások alapján</t>
  </si>
  <si>
    <t>2022. évi tervezett Egyetemi Kiválósági Alap befizetés a pályázati kiadások alapján</t>
  </si>
  <si>
    <t>* szervezetektől bekért adatok alapján PÁK összesítés</t>
  </si>
  <si>
    <t>PPK összesen</t>
  </si>
  <si>
    <t>Pedagógiai és Pszichológiai Intézet összesen</t>
  </si>
  <si>
    <t>Sporttudományi Intézet összesen</t>
  </si>
  <si>
    <t>SZOCHÓ (13%)</t>
  </si>
  <si>
    <t>15,5%-os szocho, manuálisan töltendő 2021 decemberre</t>
  </si>
  <si>
    <t>EKHO (13%)</t>
  </si>
  <si>
    <t>2022. évi forrás összesen 2.a alapján</t>
  </si>
  <si>
    <t>Tervezett 2022. évi forrás összesen</t>
  </si>
  <si>
    <t>ebből: 2022 évi támogatás</t>
  </si>
  <si>
    <t>ebből: 2022 évi saját bevétel</t>
  </si>
  <si>
    <t>Tervezett 2022. évi forrás + maradvány összesen</t>
  </si>
  <si>
    <t>Tervezett kiadás 2022. évi forrásból összesen</t>
  </si>
  <si>
    <t>Keresztfinanszírozás előtti egyenleg, 2022. évi forrás</t>
  </si>
  <si>
    <t>B21.a</t>
  </si>
  <si>
    <t>B22</t>
  </si>
  <si>
    <t>B21.b</t>
  </si>
  <si>
    <t>B23.b.</t>
  </si>
  <si>
    <t>B23.c</t>
  </si>
  <si>
    <t>B23a.</t>
  </si>
  <si>
    <t>Külön NEM TERVEZENDŐ (előző sor tartalmazza)</t>
  </si>
  <si>
    <t>Teljes személyi kiadásból 2021-2022. évi béremelés miatti többletkiadás (ÁKTH-val és EKA 0,5%-kal csökkentett bevétel)</t>
  </si>
  <si>
    <t>Kiválósági Alap</t>
  </si>
  <si>
    <t>Béremelés 2021-2022 még itt nem lévő része</t>
  </si>
  <si>
    <t>C131SANYI</t>
  </si>
  <si>
    <t>D131SFIZT</t>
  </si>
  <si>
    <t>D131SFOLD</t>
  </si>
  <si>
    <t>D131SKEMT</t>
  </si>
  <si>
    <t>C131SMIRT</t>
  </si>
  <si>
    <t>C131SMNYT</t>
  </si>
  <si>
    <t>D131SMATT</t>
  </si>
  <si>
    <t>C131SVIZM</t>
  </si>
  <si>
    <t>C131SSZLA</t>
  </si>
  <si>
    <t>C131STORT</t>
  </si>
  <si>
    <t>C131SZENE</t>
  </si>
  <si>
    <t>C1201</t>
  </si>
  <si>
    <t>D0671</t>
  </si>
  <si>
    <t>D0674</t>
  </si>
  <si>
    <t>D0673</t>
  </si>
  <si>
    <t>D0672</t>
  </si>
  <si>
    <t>C1203</t>
  </si>
  <si>
    <t>C1204</t>
  </si>
  <si>
    <t>D0675</t>
  </si>
  <si>
    <t>C1205</t>
  </si>
  <si>
    <t>C1202</t>
  </si>
  <si>
    <t>C1206</t>
  </si>
  <si>
    <t>C1207</t>
  </si>
  <si>
    <t>C1208</t>
  </si>
  <si>
    <t>BDPK Általános</t>
  </si>
  <si>
    <t>N0636</t>
  </si>
  <si>
    <t>C13101/17</t>
  </si>
  <si>
    <t>C1200</t>
  </si>
  <si>
    <t>S39019/19</t>
  </si>
  <si>
    <t>U* BDPK</t>
  </si>
  <si>
    <t>Lektorok</t>
  </si>
  <si>
    <t>K04801/17</t>
  </si>
  <si>
    <t>Általános 2</t>
  </si>
  <si>
    <t>BDPK hallgatói bef.</t>
  </si>
  <si>
    <t>D13101/17</t>
  </si>
  <si>
    <t>N14804/17</t>
  </si>
  <si>
    <t>SC10801/17</t>
  </si>
  <si>
    <t>D0670</t>
  </si>
  <si>
    <t>Angol Nyelv- és Irodalom Tanszék</t>
  </si>
  <si>
    <t>Biológiai 
Tanszék</t>
  </si>
  <si>
    <t>Fizikai 
Tanszék</t>
  </si>
  <si>
    <t>Földrajzi 
Tanszék</t>
  </si>
  <si>
    <t>Kémiai 
Tanszék</t>
  </si>
  <si>
    <t>Magyar Irodalom-tudományi Tanszék</t>
  </si>
  <si>
    <t>Magyar Nyelv-tudományi Tanszék</t>
  </si>
  <si>
    <t>Német Nyelv- és Irodalom Tanszék</t>
  </si>
  <si>
    <t>Létszám_csak oktatási egységekre</t>
  </si>
  <si>
    <t>Létszám arány_akadémia</t>
  </si>
  <si>
    <t>Összeg / BDPK</t>
  </si>
  <si>
    <t>3. a) melléklet - Berzsenyi Dániel Pedagógusképző Kar /Szombathely/ saját bevételei a 2022. évi költségvetésben</t>
  </si>
  <si>
    <t>3. b) melléklet - Berzsenyi Dániel Pedagógusképző Kar /Szombathely/ képzési saját bevételeinek analitikája a 2022. évi költségvetésben</t>
  </si>
  <si>
    <t>7. melléklet - Berzsenyi Dániel Pedagógusképző Kar /Szombathely/ 2022. évi működési kockázatainak felmérése</t>
  </si>
  <si>
    <t>8. melléklet - Berzsenyi Dániel Pedagógusképző Kar /Szombathely/ költségvetésének kancellári körlevél szerinti főtáblája (Ft-ban) - pályázatok, várható további céltámogatások</t>
  </si>
  <si>
    <t>Létszám arány csak oktatási egységekre</t>
  </si>
  <si>
    <t>Létszám_akadémia</t>
  </si>
  <si>
    <t>Osztatlan képzésben résztvevők létszáma</t>
  </si>
  <si>
    <t>Osztatlan képzésben résztvevők, létszám aránya</t>
  </si>
  <si>
    <t>Lektori létszám</t>
  </si>
  <si>
    <t>Lektori létszám, tanszéki aránya</t>
  </si>
  <si>
    <t>nemzetiségi képzés, kisszakok</t>
  </si>
  <si>
    <t>oktatói-kutatói létszám</t>
  </si>
  <si>
    <t>oktatói létszám tanszéki aránya</t>
  </si>
  <si>
    <t>hallgatói létszám teljes</t>
  </si>
  <si>
    <t>hallgatói létszám tanszéki aránya</t>
  </si>
  <si>
    <t>vegyes súlyozott arány (60% hallgató-40% oktató)</t>
  </si>
  <si>
    <t>MGY hely_viz_zene oktató</t>
  </si>
  <si>
    <t>MGY hely_viz_zene oktató_arány</t>
  </si>
  <si>
    <t>MGY hely_viz_zene hallgató</t>
  </si>
  <si>
    <t>MGY hely_viz_zene hallgató_arány</t>
  </si>
  <si>
    <t>MGY_vegyes súlyozott arány (60% hallgató-40% oktató)</t>
  </si>
  <si>
    <t>Külföldi hallgatók létszáma</t>
  </si>
  <si>
    <t>bértömeg</t>
  </si>
  <si>
    <t>oktatási egységek alatt lévőszervezeti bértömeg arányában</t>
  </si>
  <si>
    <t>DT</t>
  </si>
  <si>
    <t>B7.c.</t>
  </si>
  <si>
    <t>B7.d.</t>
  </si>
  <si>
    <t>B7.e.</t>
  </si>
  <si>
    <t>B7.f.</t>
  </si>
  <si>
    <t>B7.g.</t>
  </si>
  <si>
    <t>B7.h.</t>
  </si>
  <si>
    <t>Nemzeköziesítésre elvonás, saját bevétel</t>
  </si>
  <si>
    <t>Nemzeköziesítésre elvonás, támogatás</t>
  </si>
  <si>
    <t>16. melléklet - Nemzetköziesítéshez kapcsolódó elvonások kalkulációja 2022. év</t>
  </si>
  <si>
    <t>Szervezeti egység neve</t>
  </si>
  <si>
    <t>Stipendium Hungaricum költségtérítés 2022. évre előző évi tény 85 %-a célszervezet alapján (átoktatás után)</t>
  </si>
  <si>
    <t>Elvonás a Stipendium Hungaricum költségtérítésből</t>
  </si>
  <si>
    <t>Idegen nyelvű önköltséges képzésekhez kapcsolódó működési bevételek (*106 utalványkód és nem *HU végződésű képzéskódok)</t>
  </si>
  <si>
    <t>Elvonás az idegen nyelvű önköltséges képzésekhez kapcsolódó működési bevételekből</t>
  </si>
  <si>
    <t>Nemzetköziesítéshez kapcsolódó elvonások összesen</t>
  </si>
  <si>
    <t>2021. évi tény</t>
  </si>
  <si>
    <t>5. = 2 + 4</t>
  </si>
  <si>
    <t>IK Szombathely</t>
  </si>
  <si>
    <t>3. oszlop forrásának nem *HU végződésű munkaszámai:</t>
  </si>
  <si>
    <t>Munkaszám neve</t>
  </si>
  <si>
    <t>A10502/16</t>
  </si>
  <si>
    <t>JTI-P/28-LTEN</t>
  </si>
  <si>
    <t>A10503/17</t>
  </si>
  <si>
    <t>JTI-P/29-LTEN</t>
  </si>
  <si>
    <t>A10504/17</t>
  </si>
  <si>
    <t>JTI-P/30-LTEN</t>
  </si>
  <si>
    <t>AA1101/13</t>
  </si>
  <si>
    <t>ÁJTK-EIBL-LMEN</t>
  </si>
  <si>
    <t>AB9P01/04</t>
  </si>
  <si>
    <t>PPK-PSY-NBEN</t>
  </si>
  <si>
    <t>AF1T01/14</t>
  </si>
  <si>
    <t>TÁTK-EGP-NMEN</t>
  </si>
  <si>
    <t>AF1T02/14</t>
  </si>
  <si>
    <t>TÁTK-KIP-NMEN</t>
  </si>
  <si>
    <t>B10206/18</t>
  </si>
  <si>
    <t>PPK-HRC-NMEN</t>
  </si>
  <si>
    <t>B10207/18</t>
  </si>
  <si>
    <t>PPK-ICPP-NMEN</t>
  </si>
  <si>
    <t>B10208/18</t>
  </si>
  <si>
    <t>PPK-PSY-NMEN</t>
  </si>
  <si>
    <t>B10405/18</t>
  </si>
  <si>
    <t>PPK-DNEV-NDEN</t>
  </si>
  <si>
    <t>B10406/18</t>
  </si>
  <si>
    <t>PPK-DPSZ-NDEN</t>
  </si>
  <si>
    <t>C10102/19</t>
  </si>
  <si>
    <t>BTK-I-BUJSPA-NBES</t>
  </si>
  <si>
    <t>C10116/19</t>
  </si>
  <si>
    <t>BTK-I-BUJFRA-NBFR</t>
  </si>
  <si>
    <t>C10148/18</t>
  </si>
  <si>
    <t>BTK-I-BANGL-NBEN</t>
  </si>
  <si>
    <t>C10150/18</t>
  </si>
  <si>
    <t>BTK-I-BMAGY-NBEN</t>
  </si>
  <si>
    <t>C10152/18</t>
  </si>
  <si>
    <t>BTK-I-BNÉDE-NBNL</t>
  </si>
  <si>
    <t>C10153/18</t>
  </si>
  <si>
    <t>BTK-I-BNÉME-NBDE</t>
  </si>
  <si>
    <t>C10210/19</t>
  </si>
  <si>
    <t>BTK-I-MANGOKT-NMEN</t>
  </si>
  <si>
    <t>C10211/19</t>
  </si>
  <si>
    <t>BTK-MANGOKT-NMEN</t>
  </si>
  <si>
    <t>C10259/18</t>
  </si>
  <si>
    <t>BTK-I-MAMERI-NMEN</t>
  </si>
  <si>
    <t>C10260/18</t>
  </si>
  <si>
    <t>BTK-I-MANGLI-NMEN</t>
  </si>
  <si>
    <t>C10261/18</t>
  </si>
  <si>
    <t>BTK-I-MFILMT-NMEN</t>
  </si>
  <si>
    <t>C10264/18</t>
  </si>
  <si>
    <t>BTK-I-MLOGIK-NMEN</t>
  </si>
  <si>
    <t>C10265/18</t>
  </si>
  <si>
    <t>BTK-I-MNÉMET-NMDE</t>
  </si>
  <si>
    <t>C10269/18</t>
  </si>
  <si>
    <t>BTK-I-MSZEMI-NMEN</t>
  </si>
  <si>
    <t>C10402/18</t>
  </si>
  <si>
    <t>BTK-DIRODA-NDEN</t>
  </si>
  <si>
    <t>C10404/18</t>
  </si>
  <si>
    <t>BTK-DNYELV-NDEN</t>
  </si>
  <si>
    <t>C10406/18</t>
  </si>
  <si>
    <t>BTK-DTÖRTÉ-NDEN</t>
  </si>
  <si>
    <t>C10417/18</t>
  </si>
  <si>
    <t>BTK-DFILOZ-NDEN</t>
  </si>
  <si>
    <t>C10704/19</t>
  </si>
  <si>
    <t>BTK-PREPNÉM-NYDE</t>
  </si>
  <si>
    <t>D10205/19</t>
  </si>
  <si>
    <t>TTK-FIZIKUS-NMEN</t>
  </si>
  <si>
    <t>D10206/19</t>
  </si>
  <si>
    <t>TTK-BIOLÓGUS-NMEN</t>
  </si>
  <si>
    <t>D10407/18</t>
  </si>
  <si>
    <t>TTK-KÉM4PHD-NDEN</t>
  </si>
  <si>
    <t>D10427/18</t>
  </si>
  <si>
    <t>TTK-MAT4PHD-NDEN</t>
  </si>
  <si>
    <t>E10104/18</t>
  </si>
  <si>
    <t>IK-PROGINF-NBEN</t>
  </si>
  <si>
    <t>E10204/18</t>
  </si>
  <si>
    <t>IK-PROGINF-NMEN</t>
  </si>
  <si>
    <t>E10402/18</t>
  </si>
  <si>
    <t>IK-INFPHD-NDEN</t>
  </si>
  <si>
    <t>E12105/19</t>
  </si>
  <si>
    <t>IK-SEK-SANB-GP-NBEN</t>
  </si>
  <si>
    <t>F10101/18</t>
  </si>
  <si>
    <t>TÁTK-AKG-NBEN</t>
  </si>
  <si>
    <t>F10101/19</t>
  </si>
  <si>
    <t>TÁTK-SZOC-NBEN</t>
  </si>
  <si>
    <t>F10102/18</t>
  </si>
  <si>
    <t>TÁTK-NT-NBEN</t>
  </si>
  <si>
    <t>F10201/19</t>
  </si>
  <si>
    <t>TÁTK-NT-NMEN</t>
  </si>
  <si>
    <t>F10206/18</t>
  </si>
  <si>
    <t>TÁTK-KAN-NMEN</t>
  </si>
  <si>
    <t>F10402/18</t>
  </si>
  <si>
    <t>TÁTK-SZOC-NDEN</t>
  </si>
  <si>
    <t>F10501/21</t>
  </si>
  <si>
    <t>TÁTK-NEJ-LTEN</t>
  </si>
  <si>
    <t>H10101/19</t>
  </si>
  <si>
    <t>TÓK-OVO-NBEN</t>
  </si>
  <si>
    <t>H11101/19</t>
  </si>
  <si>
    <t>TÓK-ANG-EREN</t>
  </si>
  <si>
    <t>H11102/19</t>
  </si>
  <si>
    <t>TÓK-LINZ-NRDE</t>
  </si>
  <si>
    <t>I10101/19</t>
  </si>
  <si>
    <t>GTK-NG-NBEN</t>
  </si>
  <si>
    <t>I10102/19</t>
  </si>
  <si>
    <t>GTK-PS-NBEN</t>
  </si>
  <si>
    <t>I10102/20</t>
  </si>
  <si>
    <t>GTK-NG8-NBEN</t>
  </si>
  <si>
    <t>Külföldi hallgatók létszámaránya</t>
  </si>
  <si>
    <t>képzési támogatás eloszlása</t>
  </si>
  <si>
    <t>képzési támogatás tanszéki arány</t>
  </si>
  <si>
    <t>Neptun beazonosítással_célzott tanszéki bevétel</t>
  </si>
  <si>
    <t>Neptun beazonosítással_célzott tanszéki bevétel arányai</t>
  </si>
  <si>
    <t>Szocho elvonás_14.a_arányszáma</t>
  </si>
  <si>
    <t>2022. évi lektori keretre beadás</t>
  </si>
  <si>
    <t>2023. évi lektori keretre beadás tanszéki aránya</t>
  </si>
  <si>
    <t>SC10901/18</t>
  </si>
  <si>
    <t xml:space="preserve">2020. évi Stipendium Hungaricum képzési költség és szervezési keret végelszámolás - bruttó </t>
  </si>
  <si>
    <t>Mennyiség / Hallgató Neptun kódja</t>
  </si>
  <si>
    <t>alapképzés (BA/BSc/BProf)</t>
  </si>
  <si>
    <t>mesterképzés (MA/MSc)</t>
  </si>
  <si>
    <t>osztatlan képzés</t>
  </si>
  <si>
    <t>Vendéghallgató</t>
  </si>
  <si>
    <t>Angol</t>
  </si>
  <si>
    <t>Biológia</t>
  </si>
  <si>
    <t>Ének</t>
  </si>
  <si>
    <t>Fizika</t>
  </si>
  <si>
    <t>Földrajz</t>
  </si>
  <si>
    <t>Kémia</t>
  </si>
  <si>
    <t>Magyar</t>
  </si>
  <si>
    <t>Matematika</t>
  </si>
  <si>
    <t>Német</t>
  </si>
  <si>
    <t>Rajz</t>
  </si>
  <si>
    <t>Szláv</t>
  </si>
  <si>
    <t>Tanító</t>
  </si>
  <si>
    <t>Történelem</t>
  </si>
  <si>
    <t>OTAK2</t>
  </si>
  <si>
    <t>Össz2</t>
  </si>
  <si>
    <t xml:space="preserve">Szombathelyi képzések fejlesztése </t>
  </si>
  <si>
    <t>Szocho elvonás_14.b</t>
  </si>
  <si>
    <t>4. melléklet Berzsenyi Dániel Pedagógusképző Központ nyitó létszám adatai 2022.</t>
  </si>
  <si>
    <t>Intézet / tanszék 1.</t>
  </si>
  <si>
    <t>Intézet / tanszék 2.</t>
  </si>
  <si>
    <t>Intézet / tanszék 3.</t>
  </si>
  <si>
    <t xml:space="preserve"> C1201 Angol Tanszék</t>
  </si>
  <si>
    <t>C1202 Német Tanszék</t>
  </si>
  <si>
    <t>C1203 Magyar Irodalomt. Tanszék</t>
  </si>
  <si>
    <t>C1204 Magyar Nyelvt. Tanszék</t>
  </si>
  <si>
    <t>C1205 Vizuális M. Tanszék</t>
  </si>
  <si>
    <t>C1206 Szlavisztika Tanszék</t>
  </si>
  <si>
    <t>C1207 Történelem Tanszék</t>
  </si>
  <si>
    <t>C1208 Zeneped. Tanszék</t>
  </si>
  <si>
    <t>D0671 Biológia Tanszék</t>
  </si>
  <si>
    <t>D0672 Kémiai Tanszék</t>
  </si>
  <si>
    <t>D0673 Földrajzi Tanszék</t>
  </si>
  <si>
    <t>D0674 Fizikai Tanszék</t>
  </si>
  <si>
    <t>D0675 Matematikai Tanszék</t>
  </si>
  <si>
    <t>N0636 Igazgatói Hivatal</t>
  </si>
  <si>
    <t>Informatikai Csoport</t>
  </si>
  <si>
    <t>Pályázati Iroda</t>
  </si>
  <si>
    <t>Kancellári Kabinet</t>
  </si>
  <si>
    <t>Könyvtár és Levéltár</t>
  </si>
  <si>
    <t>Campus Iroda</t>
  </si>
  <si>
    <t>5. melléklet -Berzsenyi Dániel Pedagógusképző Központ tervezett 2022. évi létszámváltozásai</t>
  </si>
  <si>
    <t>D0670 Term.tud. Pály forrásból</t>
  </si>
  <si>
    <t>S0000 BDPK</t>
  </si>
  <si>
    <t>6. melléklet -Berzsenyi Dániel Pedagógusképző Központ tárgyévre tervezett várható személyi juttatás és járulék terhei</t>
  </si>
  <si>
    <t>Béren kívüli j. banki kts.t.</t>
  </si>
  <si>
    <t>Egyéb j. szállásd. Tám.</t>
  </si>
  <si>
    <t>SZOCHO</t>
  </si>
  <si>
    <t>REHAB</t>
  </si>
  <si>
    <t>Előzőből LEKTORI KERET terhére történő kifizetések</t>
  </si>
  <si>
    <t>Előzőből KÖLTSÉGVETÉSI terhére történő kifizetések</t>
  </si>
  <si>
    <t>általános / szervezeti / képzési / céltámogatás / pályázat / üzemeltetési-fenntartási</t>
  </si>
  <si>
    <t>szervezeti</t>
  </si>
  <si>
    <t>lektori</t>
  </si>
  <si>
    <t>…</t>
  </si>
  <si>
    <t>Egyedi tervezési egységhez nem rendelt vagy több tervezési egységhez tartozó elszámolás-köteles források összesen</t>
  </si>
  <si>
    <t>Elszámolás köteles forrás 1</t>
  </si>
  <si>
    <t>céltámogatás</t>
  </si>
  <si>
    <t>Elszámolás köteles forrás 2</t>
  </si>
  <si>
    <t>pályázat</t>
  </si>
  <si>
    <t>Elszámolás köteles forrás 3</t>
  </si>
  <si>
    <t>Kari gazdán üzemeltetési-fenntartási kiadások összesen</t>
  </si>
  <si>
    <t>Üzemeltetési kiadások</t>
  </si>
  <si>
    <t>üzemeltetési-fenntartási</t>
  </si>
  <si>
    <t>Pályázatok</t>
  </si>
  <si>
    <t>EFOP 3.4.3.-16-2016-00022</t>
  </si>
  <si>
    <t>EFOP 3.6.1.-16-2016-00018</t>
  </si>
  <si>
    <t>EFOP 3.6.2.-16-2017-00014</t>
  </si>
  <si>
    <t>PN5301/17</t>
  </si>
  <si>
    <t>PN5701/17</t>
  </si>
  <si>
    <t>Belső működési átadás - hallgatói befizetés szétosztása</t>
  </si>
  <si>
    <t>Belső működési átadás - bérleti díjból származó bevétel szétosztása</t>
  </si>
  <si>
    <t>Belső működési átadás - a központ általános kiadásaira forrásbiztosítás</t>
  </si>
  <si>
    <t>Belső működési átadás xy2</t>
  </si>
  <si>
    <t>Lektorok forrásbiztosítás</t>
  </si>
  <si>
    <t>Igazgatói Hivatal_forrásbiztosítás</t>
  </si>
  <si>
    <t>Belső működési átadás - általános munkaszámra</t>
  </si>
  <si>
    <t>Művészeti gyakorlóhely maradványára</t>
  </si>
  <si>
    <t>Egyéb célfeladatokra_átadás</t>
  </si>
  <si>
    <t>Képzési munkaszám*</t>
  </si>
  <si>
    <t>BA (Alapképzés)</t>
  </si>
  <si>
    <t>C12101/18</t>
  </si>
  <si>
    <t>anglisztika</t>
  </si>
  <si>
    <t>C12104/18</t>
  </si>
  <si>
    <t>D12102/18</t>
  </si>
  <si>
    <t>biológia</t>
  </si>
  <si>
    <t>D12106/18</t>
  </si>
  <si>
    <t>fizika</t>
  </si>
  <si>
    <t>C12105/18</t>
  </si>
  <si>
    <t>germanisztika</t>
  </si>
  <si>
    <t>C12102/18</t>
  </si>
  <si>
    <t>informatikus könyvtáros</t>
  </si>
  <si>
    <t>C12121/18</t>
  </si>
  <si>
    <t>képalkotás</t>
  </si>
  <si>
    <t>H12103/18</t>
  </si>
  <si>
    <t>tanító</t>
  </si>
  <si>
    <t>C12110/18</t>
  </si>
  <si>
    <t>történelem</t>
  </si>
  <si>
    <t>C12122/18</t>
  </si>
  <si>
    <t>MA (Mesterképzés)</t>
  </si>
  <si>
    <t>B12204/18</t>
  </si>
  <si>
    <t>tanár</t>
  </si>
  <si>
    <t>tanárképzés</t>
  </si>
  <si>
    <t>Osztatlan képzés</t>
  </si>
  <si>
    <t>osztatlan tanárképzés</t>
  </si>
  <si>
    <t>Szakirányú képzés</t>
  </si>
  <si>
    <t>B12501/18</t>
  </si>
  <si>
    <t>pedagógus szakvizsga</t>
  </si>
  <si>
    <t>PHD (Doktori képzés)</t>
  </si>
  <si>
    <t>Idegen nyelvű képzés</t>
  </si>
  <si>
    <t>Bérbeadással kapcsolatos bevételek</t>
  </si>
  <si>
    <t>Hallgatói tanulmányi eljárási díjak bevételei</t>
  </si>
  <si>
    <t>Rezsi továbbszámlázás</t>
  </si>
  <si>
    <t>nyertes pályázat, nincs még munkaszám</t>
  </si>
  <si>
    <t>EFOP 3.4.3-16-2016-00022</t>
  </si>
  <si>
    <t>PN5201/17, PN5202/17</t>
  </si>
  <si>
    <t>kifizetési kérelmek benyújtása folyamatban</t>
  </si>
  <si>
    <t>EFOP 3.6.1-16-2016-0018</t>
  </si>
  <si>
    <t>PN5301/17, PN5302/17, PN5303/17</t>
  </si>
  <si>
    <t>EFOP 3.5.1-16-2017-00012</t>
  </si>
  <si>
    <t>PN5401/17, PN5402/17, PN5403/17</t>
  </si>
  <si>
    <t>EFOP 3.6.2-16-2017-00014</t>
  </si>
  <si>
    <t>PN5701/17, PN5702/17</t>
  </si>
  <si>
    <t>A KAR VÁRHATÓ 2022. ÉVI BEVÉTELE ÖSSZESEN</t>
  </si>
  <si>
    <t>Ssz</t>
  </si>
  <si>
    <t>Tervezett intézkedések</t>
  </si>
  <si>
    <t>Hallgatói létszám csökkenése</t>
  </si>
  <si>
    <t>demográfiai csökkenés, pedagógus életpálya reputációjának csökkenése</t>
  </si>
  <si>
    <t>x</t>
  </si>
  <si>
    <t>folyamatos és irányított rekrutáció</t>
  </si>
  <si>
    <t>Tanárképzés átalakítása</t>
  </si>
  <si>
    <t>szeptembertől bevezetett módosított OTAK és RTAK, ősszel jelentkező finanszírozási és oktatásszervezési probléma ( 3 mft)</t>
  </si>
  <si>
    <t xml:space="preserve">előre nem kalkulálható, javasolt, tervezett összeg lekötése </t>
  </si>
  <si>
    <t>Oktatói utánpótlás problémái, pályázók hiánya, pedagógus életpálya népszerűtlensége</t>
  </si>
  <si>
    <t>egyelőre kis létszámot érint</t>
  </si>
  <si>
    <t>oktatóink bevonása a pedagógusképzés népszerűsítésébe, saját utánpótlás nevelés</t>
  </si>
  <si>
    <t>2021. évi képzési támogatás elszámolás - bruttó - minisztérium által  visszaigazolt összeg 2021.12.04-i "bérelő" arányban</t>
  </si>
  <si>
    <t>minimális kiesés ( 223.116 Ft)</t>
  </si>
  <si>
    <t>2021. évi lektori támogatás kiesése(2020)</t>
  </si>
  <si>
    <t xml:space="preserve">Alaptámogatás alulfinanszírozás miatti kiegészítése </t>
  </si>
  <si>
    <t>Oktatói béremelés 2021-2022 még itt nem lévő részének kiesése</t>
  </si>
  <si>
    <t>9.</t>
  </si>
  <si>
    <t>Oktatáshoz szükséges dologi kiadások növekedése, piaci áremelkedés miatt</t>
  </si>
  <si>
    <t>nem magas kiadást jelent</t>
  </si>
  <si>
    <t>átgondolt megrendelések, 200e ft alatti beszerzéseknél is több árajánlat bekérése</t>
  </si>
  <si>
    <t>Energiaköltségek növekedése</t>
  </si>
  <si>
    <t>csak  utolsó hónapokban releváns</t>
  </si>
  <si>
    <t>kiadások visszatartása</t>
  </si>
  <si>
    <t>Alacsonyan tartott óraadói díjak problémája</t>
  </si>
  <si>
    <t>óraadói díjak emeléséről tárgyalások kezdeményezése</t>
  </si>
  <si>
    <t>Eltérő kari átoktatási átlagár</t>
  </si>
  <si>
    <t>Pályázati többletfeladatokból származó bérek elmaradása</t>
  </si>
  <si>
    <t>pályázati források keresése</t>
  </si>
  <si>
    <t>BEKÖVETKEZÉS VALÓSZÍNŰSÉGE, GYAKORISÁGA (Alacsony, Közepes, Magas)</t>
  </si>
  <si>
    <t>M-M
(1,10)</t>
  </si>
  <si>
    <t>A-K
()</t>
  </si>
  <si>
    <t>K-K
()</t>
  </si>
  <si>
    <t>M-K
(2,3,13)</t>
  </si>
  <si>
    <t>K-A
(…)</t>
  </si>
  <si>
    <t>M-A
(12,11)</t>
  </si>
  <si>
    <t>EGYETEMRE GYAKOROLT HATÁS MÉRTÉKE (Alacsony, Közepes, Magas)</t>
  </si>
  <si>
    <t>magas támogatási összeg              (34. 091.614 Ft)</t>
  </si>
  <si>
    <t>magas támogatási összeg    (73.628.928 Ft)</t>
  </si>
  <si>
    <t>PH1316/20 PH13</t>
  </si>
  <si>
    <t>NTP-HHTDK-20-0023
A TDK tevékenység fejlesztése a pedagógusképzésben</t>
  </si>
  <si>
    <t>PH1312/21 PH13</t>
  </si>
  <si>
    <t>NTP-HHTDK-21-0014
A TDK munka integrálása a tehetséggondozásba</t>
  </si>
  <si>
    <t>PH1515/20 PH15</t>
  </si>
  <si>
    <t>NKA 105106-07809
Zéró Galéria kiállításai</t>
  </si>
  <si>
    <t>Üzemeltetési munkaszámok</t>
  </si>
  <si>
    <t>BDPK összesen</t>
  </si>
  <si>
    <t>Igazgatói Hivatal és "Általános" munkaszám összesen</t>
  </si>
  <si>
    <t>Angol Tanszék</t>
  </si>
  <si>
    <t>Vizuális M. Tanszék</t>
  </si>
  <si>
    <t>Zeneped. Tanszék</t>
  </si>
  <si>
    <t>Term.tud. Pály forrásból</t>
  </si>
  <si>
    <t>Biológia Tanszék</t>
  </si>
  <si>
    <t>"Általános" munkaszám</t>
  </si>
  <si>
    <t>2022. évi garantált bérminimum kiesése</t>
  </si>
  <si>
    <t>Ezen finanszírozási tételek jogszabályi fedezete létezik, azonban a fenntartótól még ezen összegek nem érkeztek meg az Egyetemhez.</t>
  </si>
  <si>
    <t>A-A
(4,5,6,7,8,9)</t>
  </si>
  <si>
    <t xml:space="preserve">K-M
</t>
  </si>
  <si>
    <t xml:space="preserve">A-M
</t>
  </si>
  <si>
    <t xml:space="preserve">NTP-HHTDK-21-0014 </t>
  </si>
  <si>
    <t>Sor neve</t>
  </si>
  <si>
    <t>Belső keresztfinanszírozás, maradvány</t>
  </si>
  <si>
    <t>Belső működési átadás Igazgatói Hivatal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</si>
</sst>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5">
    <numFmt numFmtId="43" formatCode="_-* #,##0.00_-;\-* #,##0.00_-;_-* &quot;-&quot;??_-;_-@_-"/>
    <numFmt numFmtId="164" formatCode="_-* #,##0.00\ _F_t_-;\-* #,##0.00\ _F_t_-;_-* &quot;-&quot;??\ _F_t_-;_-@_-"/>
    <numFmt numFmtId="165" formatCode="_-* #,##0\ _F_t_-;\-* #,##0\ _F_t_-;_-* &quot;-&quot;??\ _F_t_-;_-@_-"/>
    <numFmt numFmtId="166" formatCode="_-* #,##0.0\ _F_t_-;\-* #,##0.0\ _F_t_-;_-* &quot;-&quot;??\ _F_t_-;_-@_-"/>
    <numFmt numFmtId="167" formatCode="#,###,"/>
    <numFmt numFmtId="168" formatCode="#,##0\ _F_t"/>
    <numFmt numFmtId="169" formatCode="#,##0.000000"/>
    <numFmt numFmtId="170" formatCode="#,##0\ &quot;Ft&quot;"/>
    <numFmt numFmtId="171" formatCode="#,##0.0"/>
    <numFmt numFmtId="172" formatCode="#,##0_ ;[Red]\-#,##0\ "/>
    <numFmt numFmtId="173" formatCode="_-* #,##0_-;\-* #,##0_-;_-* &quot;-&quot;??_-;_-@_-"/>
    <numFmt numFmtId="174" formatCode="#,##0\ [$EUR]"/>
    <numFmt numFmtId="175" formatCode="_-* #,##0.00\ [$Ft-40E]_-;\-* #,##0.00\ [$Ft-40E]_-;_-* &quot;-&quot;??\ [$Ft-40E]_-;_-@_-"/>
    <numFmt numFmtId="176" formatCode="0.0000"/>
    <numFmt numFmtId="177" formatCode="yyyy\.\ mm\.\ dd\."/>
  </numFmts>
  <fonts count="110" x14ac:knownFonts="1">
    <font>
      <sz val="12"/>
      <color theme="1"/>
      <name val="Garamond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2"/>
      <color theme="1"/>
      <name val="Garamond"/>
      <family val="2"/>
      <charset val="238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Garamond"/>
      <family val="2"/>
      <charset val="238"/>
    </font>
    <font>
      <b/>
      <sz val="13"/>
      <color theme="3"/>
      <name val="Garamond"/>
      <family val="2"/>
      <charset val="238"/>
    </font>
    <font>
      <b/>
      <sz val="11"/>
      <color theme="3"/>
      <name val="Garamond"/>
      <family val="2"/>
      <charset val="238"/>
    </font>
    <font>
      <sz val="12"/>
      <color rgb="FF006100"/>
      <name val="Garamond"/>
      <family val="2"/>
      <charset val="238"/>
    </font>
    <font>
      <sz val="12"/>
      <color rgb="FF9C0006"/>
      <name val="Garamond"/>
      <family val="2"/>
      <charset val="238"/>
    </font>
    <font>
      <sz val="12"/>
      <color rgb="FF9C6500"/>
      <name val="Garamond"/>
      <family val="2"/>
      <charset val="238"/>
    </font>
    <font>
      <sz val="12"/>
      <color rgb="FF3F3F76"/>
      <name val="Garamond"/>
      <family val="2"/>
      <charset val="238"/>
    </font>
    <font>
      <b/>
      <sz val="12"/>
      <color rgb="FF3F3F3F"/>
      <name val="Garamond"/>
      <family val="2"/>
      <charset val="238"/>
    </font>
    <font>
      <b/>
      <sz val="12"/>
      <color rgb="FFFA7D00"/>
      <name val="Garamond"/>
      <family val="2"/>
      <charset val="238"/>
    </font>
    <font>
      <sz val="12"/>
      <color rgb="FFFA7D00"/>
      <name val="Garamond"/>
      <family val="2"/>
      <charset val="238"/>
    </font>
    <font>
      <b/>
      <sz val="12"/>
      <color theme="0"/>
      <name val="Garamond"/>
      <family val="2"/>
      <charset val="238"/>
    </font>
    <font>
      <sz val="12"/>
      <color rgb="FFFF0000"/>
      <name val="Garamond"/>
      <family val="2"/>
      <charset val="238"/>
    </font>
    <font>
      <i/>
      <sz val="12"/>
      <color rgb="FF7F7F7F"/>
      <name val="Garamond"/>
      <family val="2"/>
      <charset val="238"/>
    </font>
    <font>
      <b/>
      <sz val="12"/>
      <color theme="1"/>
      <name val="Garamond"/>
      <family val="2"/>
      <charset val="238"/>
    </font>
    <font>
      <sz val="12"/>
      <color theme="0"/>
      <name val="Garamond"/>
      <family val="2"/>
      <charset val="238"/>
    </font>
    <font>
      <b/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2"/>
      <color theme="1"/>
      <name val="Garamond"/>
      <family val="1"/>
      <charset val="238"/>
    </font>
    <font>
      <sz val="10"/>
      <color theme="1"/>
      <name val="Garamond"/>
      <family val="1"/>
      <charset val="238"/>
    </font>
    <font>
      <sz val="12"/>
      <color theme="1"/>
      <name val="Garamond"/>
      <family val="1"/>
      <charset val="238"/>
    </font>
    <font>
      <sz val="10"/>
      <name val="Arial"/>
      <family val="2"/>
      <charset val="238"/>
    </font>
    <font>
      <b/>
      <sz val="12"/>
      <color rgb="FFFF0000"/>
      <name val="Garamond"/>
      <family val="1"/>
      <charset val="238"/>
    </font>
    <font>
      <b/>
      <sz val="16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name val="Arial"/>
      <family val="2"/>
      <charset val="238"/>
    </font>
    <font>
      <sz val="10"/>
      <name val="Arial CE"/>
      <charset val="238"/>
    </font>
    <font>
      <sz val="8"/>
      <color rgb="FFFF0000"/>
      <name val="Arial"/>
      <family val="2"/>
      <charset val="238"/>
    </font>
    <font>
      <b/>
      <i/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8"/>
      <name val="Arial"/>
      <family val="2"/>
      <charset val="238"/>
    </font>
    <font>
      <sz val="12"/>
      <color rgb="FFFF0000"/>
      <name val="Garamond"/>
      <family val="1"/>
      <charset val="238"/>
    </font>
    <font>
      <b/>
      <sz val="16"/>
      <color theme="1"/>
      <name val="Garamond"/>
      <family val="1"/>
      <charset val="238"/>
    </font>
    <font>
      <sz val="11"/>
      <color theme="1"/>
      <name val="Garamond"/>
      <family val="1"/>
      <charset val="238"/>
    </font>
    <font>
      <b/>
      <sz val="10"/>
      <color theme="1"/>
      <name val="Garamond"/>
      <family val="1"/>
      <charset val="238"/>
    </font>
    <font>
      <i/>
      <sz val="10"/>
      <color theme="1"/>
      <name val="Garamond"/>
      <family val="1"/>
      <charset val="238"/>
    </font>
    <font>
      <b/>
      <sz val="14"/>
      <color theme="1"/>
      <name val="Garamond"/>
      <family val="1"/>
      <charset val="238"/>
    </font>
    <font>
      <sz val="10"/>
      <name val="Garamond"/>
      <family val="1"/>
      <charset val="238"/>
    </font>
    <font>
      <sz val="10"/>
      <color theme="0" tint="-0.249977111117893"/>
      <name val="Garamond"/>
      <family val="1"/>
      <charset val="238"/>
    </font>
    <font>
      <b/>
      <sz val="11"/>
      <name val="Garamond"/>
      <family val="1"/>
      <charset val="238"/>
    </font>
    <font>
      <b/>
      <sz val="11"/>
      <color theme="1"/>
      <name val="Garamond"/>
      <family val="1"/>
      <charset val="238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color theme="1"/>
      <name val="Calibri"/>
      <family val="2"/>
      <charset val="1"/>
      <scheme val="minor"/>
    </font>
    <font>
      <b/>
      <sz val="9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</font>
    <font>
      <b/>
      <sz val="12"/>
      <color rgb="FFFF0000"/>
      <name val="Calibri"/>
      <family val="2"/>
      <charset val="238"/>
    </font>
    <font>
      <b/>
      <sz val="12"/>
      <color theme="1"/>
      <name val="Calibri"/>
      <family val="2"/>
      <charset val="238"/>
    </font>
    <font>
      <sz val="12"/>
      <color rgb="FFFF0000"/>
      <name val="Calibri"/>
      <family val="2"/>
      <charset val="238"/>
    </font>
    <font>
      <sz val="12"/>
      <color theme="5" tint="-0.249977111117893"/>
      <name val="Calibri"/>
      <family val="2"/>
      <charset val="238"/>
    </font>
    <font>
      <sz val="12"/>
      <name val="Calibri"/>
      <family val="2"/>
      <charset val="238"/>
    </font>
    <font>
      <b/>
      <i/>
      <sz val="12"/>
      <color theme="1"/>
      <name val="Calibri"/>
      <family val="2"/>
      <charset val="238"/>
    </font>
    <font>
      <b/>
      <sz val="12"/>
      <name val="Calibri"/>
      <family val="2"/>
      <charset val="238"/>
    </font>
    <font>
      <b/>
      <sz val="11"/>
      <color theme="1"/>
      <name val="Calibri"/>
      <family val="2"/>
      <charset val="238"/>
    </font>
    <font>
      <b/>
      <i/>
      <sz val="12"/>
      <color rgb="FFFF0000"/>
      <name val="Calibri"/>
      <family val="2"/>
      <charset val="238"/>
    </font>
    <font>
      <i/>
      <sz val="12"/>
      <color theme="1"/>
      <name val="Calibri"/>
      <family val="2"/>
      <charset val="238"/>
    </font>
    <font>
      <i/>
      <sz val="12"/>
      <name val="Calibri"/>
      <family val="2"/>
      <charset val="238"/>
    </font>
    <font>
      <i/>
      <sz val="12"/>
      <color rgb="FFFF0000"/>
      <name val="Calibri"/>
      <family val="2"/>
      <charset val="238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b/>
      <i/>
      <sz val="11"/>
      <color rgb="FFFF0000"/>
      <name val="Calibri"/>
      <family val="2"/>
      <charset val="238"/>
      <scheme val="minor"/>
    </font>
    <font>
      <b/>
      <i/>
      <sz val="9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i/>
      <u/>
      <sz val="14"/>
      <color theme="1"/>
      <name val="Calibri"/>
      <family val="2"/>
      <charset val="238"/>
      <scheme val="minor"/>
    </font>
    <font>
      <b/>
      <i/>
      <u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b/>
      <sz val="14"/>
      <color rgb="FFFF0000"/>
      <name val="Garamond"/>
      <family val="1"/>
      <charset val="238"/>
    </font>
    <font>
      <i/>
      <sz val="1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b/>
      <sz val="9"/>
      <color theme="1"/>
      <name val="Garamond"/>
      <family val="1"/>
      <charset val="238"/>
    </font>
    <font>
      <sz val="10"/>
      <color theme="0"/>
      <name val="Garamond"/>
      <family val="1"/>
      <charset val="238"/>
    </font>
    <font>
      <b/>
      <sz val="12"/>
      <color indexed="9"/>
      <name val="Garamond"/>
      <family val="1"/>
      <charset val="238"/>
    </font>
    <font>
      <b/>
      <sz val="12"/>
      <color theme="0"/>
      <name val="Garamond"/>
      <family val="1"/>
      <charset val="238"/>
    </font>
    <font>
      <sz val="12"/>
      <name val="Garamond"/>
      <family val="1"/>
      <charset val="238"/>
    </font>
    <font>
      <b/>
      <sz val="12"/>
      <name val="Garamond"/>
      <family val="1"/>
      <charset val="238"/>
    </font>
    <font>
      <b/>
      <sz val="10"/>
      <name val="Garamond"/>
      <family val="1"/>
      <charset val="238"/>
    </font>
    <font>
      <sz val="10"/>
      <color rgb="FF000000"/>
      <name val="Garamond"/>
      <family val="1"/>
      <charset val="238"/>
    </font>
    <font>
      <sz val="11"/>
      <name val="Calibri"/>
      <family val="2"/>
      <charset val="238"/>
    </font>
    <font>
      <b/>
      <sz val="16"/>
      <name val="Calibri"/>
      <family val="2"/>
      <charset val="238"/>
      <scheme val="minor"/>
    </font>
    <font>
      <b/>
      <sz val="10"/>
      <color rgb="FF000000"/>
      <name val="Garamond"/>
      <family val="1"/>
      <charset val="238"/>
    </font>
    <font>
      <b/>
      <i/>
      <u/>
      <sz val="10"/>
      <color theme="1"/>
      <name val="Garamond"/>
      <family val="1"/>
      <charset val="238"/>
    </font>
    <font>
      <b/>
      <i/>
      <sz val="10"/>
      <color theme="1"/>
      <name val="Garamond"/>
      <family val="1"/>
      <charset val="238"/>
    </font>
    <font>
      <b/>
      <sz val="10"/>
      <color theme="1"/>
      <name val="Garamond"/>
      <family val="2"/>
      <charset val="238"/>
    </font>
  </fonts>
  <fills count="7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theme="4" tint="0.79998168889431442"/>
      </patternFill>
    </fill>
    <fill>
      <patternFill patternType="solid">
        <fgColor rgb="FFFFFF00"/>
        <bgColor theme="4" tint="0.79998168889431442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CF488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66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FF3300"/>
        <bgColor indexed="64"/>
      </patternFill>
    </fill>
    <fill>
      <patternFill patternType="solid">
        <fgColor indexed="62"/>
        <bgColor indexed="64"/>
      </patternFill>
    </fill>
  </fills>
  <borders count="1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65">
    <xf numFmtId="0" fontId="0" fillId="0" borderId="0"/>
    <xf numFmtId="0" fontId="8" fillId="0" borderId="0" applyNumberFormat="0" applyFill="0" applyBorder="0" applyAlignment="0" applyProtection="0"/>
    <xf numFmtId="0" fontId="9" fillId="0" borderId="1" applyNumberFormat="0" applyFill="0" applyAlignment="0" applyProtection="0"/>
    <xf numFmtId="0" fontId="10" fillId="0" borderId="2" applyNumberFormat="0" applyFill="0" applyAlignment="0" applyProtection="0"/>
    <xf numFmtId="0" fontId="11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2" borderId="0" applyNumberFormat="0" applyBorder="0" applyAlignment="0" applyProtection="0"/>
    <xf numFmtId="0" fontId="13" fillId="3" borderId="0" applyNumberFormat="0" applyBorder="0" applyAlignment="0" applyProtection="0"/>
    <xf numFmtId="0" fontId="14" fillId="4" borderId="0" applyNumberFormat="0" applyBorder="0" applyAlignment="0" applyProtection="0"/>
    <xf numFmtId="0" fontId="15" fillId="5" borderId="4" applyNumberFormat="0" applyAlignment="0" applyProtection="0"/>
    <xf numFmtId="0" fontId="16" fillId="6" borderId="5" applyNumberFormat="0" applyAlignment="0" applyProtection="0"/>
    <xf numFmtId="0" fontId="17" fillId="6" borderId="4" applyNumberFormat="0" applyAlignment="0" applyProtection="0"/>
    <xf numFmtId="0" fontId="18" fillId="0" borderId="6" applyNumberFormat="0" applyFill="0" applyAlignment="0" applyProtection="0"/>
    <xf numFmtId="0" fontId="19" fillId="7" borderId="7" applyNumberFormat="0" applyAlignment="0" applyProtection="0"/>
    <xf numFmtId="0" fontId="20" fillId="0" borderId="0" applyNumberFormat="0" applyFill="0" applyBorder="0" applyAlignment="0" applyProtection="0"/>
    <xf numFmtId="0" fontId="7" fillId="8" borderId="8" applyNumberFormat="0" applyFont="0" applyAlignment="0" applyProtection="0"/>
    <xf numFmtId="0" fontId="21" fillId="0" borderId="0" applyNumberFormat="0" applyFill="0" applyBorder="0" applyAlignment="0" applyProtection="0"/>
    <xf numFmtId="0" fontId="22" fillId="0" borderId="9" applyNumberFormat="0" applyFill="0" applyAlignment="0" applyProtection="0"/>
    <xf numFmtId="0" fontId="23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23" fillId="32" borderId="0" applyNumberFormat="0" applyBorder="0" applyAlignment="0" applyProtection="0"/>
    <xf numFmtId="164" fontId="7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33" fillId="0" borderId="0"/>
    <xf numFmtId="0" fontId="42" fillId="0" borderId="0"/>
    <xf numFmtId="0" fontId="42" fillId="0" borderId="0"/>
    <xf numFmtId="0" fontId="42" fillId="0" borderId="0"/>
    <xf numFmtId="0" fontId="33" fillId="0" borderId="0"/>
    <xf numFmtId="9" fontId="7" fillId="0" borderId="0" applyFont="0" applyFill="0" applyBorder="0" applyAlignment="0" applyProtection="0"/>
    <xf numFmtId="0" fontId="33" fillId="0" borderId="0"/>
    <xf numFmtId="0" fontId="61" fillId="0" borderId="0"/>
    <xf numFmtId="164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2" fillId="0" borderId="0"/>
    <xf numFmtId="0" fontId="1" fillId="0" borderId="0"/>
    <xf numFmtId="164" fontId="1" fillId="0" borderId="0" applyFont="0" applyFill="0" applyBorder="0" applyAlignment="0" applyProtection="0"/>
  </cellStyleXfs>
  <cellXfs count="1242">
    <xf numFmtId="0" fontId="0" fillId="0" borderId="0" xfId="0"/>
    <xf numFmtId="0" fontId="0" fillId="0" borderId="0" xfId="0" applyAlignment="1">
      <alignment horizontal="center" vertical="center" wrapText="1"/>
    </xf>
    <xf numFmtId="165" fontId="0" fillId="0" borderId="0" xfId="0" applyNumberFormat="1"/>
    <xf numFmtId="3" fontId="0" fillId="0" borderId="0" xfId="0" applyNumberFormat="1"/>
    <xf numFmtId="0" fontId="0" fillId="0" borderId="0" xfId="0" pivotButton="1"/>
    <xf numFmtId="0" fontId="30" fillId="0" borderId="0" xfId="0" applyFont="1"/>
    <xf numFmtId="0" fontId="0" fillId="0" borderId="0" xfId="0" applyAlignment="1">
      <alignment horizontal="center" vertical="center"/>
    </xf>
    <xf numFmtId="0" fontId="33" fillId="0" borderId="0" xfId="45" applyAlignment="1">
      <alignment vertical="top"/>
    </xf>
    <xf numFmtId="0" fontId="33" fillId="45" borderId="10" xfId="45" applyFill="1" applyBorder="1" applyAlignment="1">
      <alignment vertical="top"/>
    </xf>
    <xf numFmtId="0" fontId="33" fillId="45" borderId="10" xfId="45" applyFill="1" applyBorder="1" applyAlignment="1">
      <alignment horizontal="left" vertical="top"/>
    </xf>
    <xf numFmtId="0" fontId="33" fillId="0" borderId="0" xfId="45" quotePrefix="1" applyAlignment="1">
      <alignment vertical="top"/>
    </xf>
    <xf numFmtId="3" fontId="33" fillId="0" borderId="0" xfId="45" applyNumberFormat="1" applyAlignment="1">
      <alignment horizontal="right" vertical="top"/>
    </xf>
    <xf numFmtId="0" fontId="33" fillId="0" borderId="0" xfId="45" applyAlignment="1">
      <alignment horizontal="left" vertical="top"/>
    </xf>
    <xf numFmtId="4" fontId="33" fillId="0" borderId="0" xfId="45" applyNumberFormat="1" applyAlignment="1">
      <alignment horizontal="right" vertical="top"/>
    </xf>
    <xf numFmtId="0" fontId="33" fillId="33" borderId="0" xfId="45" applyFill="1" applyAlignment="1">
      <alignment horizontal="left" vertical="top"/>
    </xf>
    <xf numFmtId="0" fontId="33" fillId="46" borderId="0" xfId="45" applyFill="1" applyAlignment="1">
      <alignment vertical="top"/>
    </xf>
    <xf numFmtId="0" fontId="0" fillId="0" borderId="0" xfId="0" applyFill="1"/>
    <xf numFmtId="165" fontId="0" fillId="0" borderId="0" xfId="44" applyNumberFormat="1" applyFont="1" applyFill="1"/>
    <xf numFmtId="0" fontId="35" fillId="0" borderId="0" xfId="0" applyFont="1"/>
    <xf numFmtId="0" fontId="25" fillId="38" borderId="10" xfId="0" applyFont="1" applyFill="1" applyBorder="1" applyAlignment="1">
      <alignment horizontal="center" vertical="center" wrapText="1"/>
    </xf>
    <xf numFmtId="0" fontId="25" fillId="0" borderId="10" xfId="0" applyFont="1" applyBorder="1"/>
    <xf numFmtId="0" fontId="0" fillId="0" borderId="10" xfId="0" applyBorder="1"/>
    <xf numFmtId="3" fontId="0" fillId="0" borderId="10" xfId="0" applyNumberFormat="1" applyBorder="1" applyAlignment="1">
      <alignment vertical="center" wrapText="1"/>
    </xf>
    <xf numFmtId="3" fontId="25" fillId="0" borderId="0" xfId="0" applyNumberFormat="1" applyFont="1"/>
    <xf numFmtId="3" fontId="36" fillId="36" borderId="10" xfId="0" applyNumberFormat="1" applyFont="1" applyFill="1" applyBorder="1" applyAlignment="1">
      <alignment wrapText="1"/>
    </xf>
    <xf numFmtId="0" fontId="37" fillId="0" borderId="0" xfId="0" applyFont="1"/>
    <xf numFmtId="0" fontId="38" fillId="0" borderId="0" xfId="0" applyFont="1"/>
    <xf numFmtId="0" fontId="39" fillId="0" borderId="0" xfId="0" applyFont="1"/>
    <xf numFmtId="0" fontId="40" fillId="0" borderId="0" xfId="0" applyFont="1"/>
    <xf numFmtId="0" fontId="39" fillId="38" borderId="10" xfId="0" applyFont="1" applyFill="1" applyBorder="1" applyAlignment="1">
      <alignment horizontal="center" vertical="center"/>
    </xf>
    <xf numFmtId="3" fontId="36" fillId="36" borderId="10" xfId="46" applyNumberFormat="1" applyFont="1" applyFill="1" applyBorder="1" applyAlignment="1">
      <alignment wrapText="1"/>
    </xf>
    <xf numFmtId="3" fontId="36" fillId="0" borderId="10" xfId="46" applyNumberFormat="1" applyFont="1" applyFill="1" applyBorder="1" applyAlignment="1">
      <alignment wrapText="1"/>
    </xf>
    <xf numFmtId="3" fontId="36" fillId="36" borderId="10" xfId="46" applyNumberFormat="1" applyFont="1" applyFill="1" applyBorder="1" applyAlignment="1">
      <alignment vertical="center" wrapText="1"/>
    </xf>
    <xf numFmtId="0" fontId="40" fillId="0" borderId="10" xfId="0" applyFont="1" applyBorder="1"/>
    <xf numFmtId="165" fontId="40" fillId="0" borderId="10" xfId="0" applyNumberFormat="1" applyFont="1" applyBorder="1"/>
    <xf numFmtId="3" fontId="36" fillId="36" borderId="10" xfId="47" applyNumberFormat="1" applyFont="1" applyFill="1" applyBorder="1" applyAlignment="1">
      <alignment wrapText="1"/>
    </xf>
    <xf numFmtId="3" fontId="36" fillId="0" borderId="10" xfId="47" applyNumberFormat="1" applyFont="1" applyFill="1" applyBorder="1" applyAlignment="1">
      <alignment wrapText="1"/>
    </xf>
    <xf numFmtId="3" fontId="36" fillId="39" borderId="10" xfId="47" applyNumberFormat="1" applyFont="1" applyFill="1" applyBorder="1" applyAlignment="1">
      <alignment wrapText="1"/>
    </xf>
    <xf numFmtId="168" fontId="36" fillId="36" borderId="10" xfId="48" applyNumberFormat="1" applyFont="1" applyFill="1" applyBorder="1" applyAlignment="1">
      <alignment vertical="center" wrapText="1"/>
    </xf>
    <xf numFmtId="168" fontId="36" fillId="0" borderId="10" xfId="48" applyNumberFormat="1" applyFont="1" applyFill="1" applyBorder="1" applyAlignment="1">
      <alignment vertical="center" wrapText="1"/>
    </xf>
    <xf numFmtId="3" fontId="36" fillId="0" borderId="13" xfId="47" applyNumberFormat="1" applyFont="1" applyFill="1" applyBorder="1" applyAlignment="1">
      <alignment wrapText="1"/>
    </xf>
    <xf numFmtId="3" fontId="36" fillId="36" borderId="13" xfId="46" applyNumberFormat="1" applyFont="1" applyFill="1" applyBorder="1" applyAlignment="1">
      <alignment vertical="center" wrapText="1"/>
    </xf>
    <xf numFmtId="3" fontId="36" fillId="0" borderId="13" xfId="0" applyNumberFormat="1" applyFont="1" applyFill="1" applyBorder="1" applyAlignment="1">
      <alignment wrapText="1"/>
    </xf>
    <xf numFmtId="168" fontId="36" fillId="0" borderId="13" xfId="48" applyNumberFormat="1" applyFont="1" applyFill="1" applyBorder="1" applyAlignment="1">
      <alignment vertical="center" wrapText="1"/>
    </xf>
    <xf numFmtId="3" fontId="43" fillId="36" borderId="10" xfId="0" applyNumberFormat="1" applyFont="1" applyFill="1" applyBorder="1" applyAlignment="1">
      <alignment wrapText="1"/>
    </xf>
    <xf numFmtId="3" fontId="36" fillId="51" borderId="10" xfId="0" applyNumberFormat="1" applyFont="1" applyFill="1" applyBorder="1" applyAlignment="1">
      <alignment wrapText="1"/>
    </xf>
    <xf numFmtId="3" fontId="36" fillId="51" borderId="13" xfId="0" applyNumberFormat="1" applyFont="1" applyFill="1" applyBorder="1" applyAlignment="1">
      <alignment wrapText="1"/>
    </xf>
    <xf numFmtId="168" fontId="43" fillId="0" borderId="10" xfId="48" applyNumberFormat="1" applyFont="1" applyFill="1" applyBorder="1" applyAlignment="1">
      <alignment vertical="center" wrapText="1"/>
    </xf>
    <xf numFmtId="0" fontId="40" fillId="0" borderId="10" xfId="0" applyFont="1" applyFill="1" applyBorder="1"/>
    <xf numFmtId="168" fontId="36" fillId="0" borderId="16" xfId="48" applyNumberFormat="1" applyFont="1" applyFill="1" applyBorder="1" applyAlignment="1">
      <alignment vertical="center" wrapText="1"/>
    </xf>
    <xf numFmtId="165" fontId="40" fillId="0" borderId="11" xfId="0" applyNumberFormat="1" applyFont="1" applyBorder="1"/>
    <xf numFmtId="0" fontId="0" fillId="0" borderId="11" xfId="0" applyBorder="1"/>
    <xf numFmtId="168" fontId="36" fillId="0" borderId="0" xfId="48" applyNumberFormat="1" applyFont="1" applyFill="1" applyBorder="1" applyAlignment="1">
      <alignment vertical="center" wrapText="1"/>
    </xf>
    <xf numFmtId="3" fontId="0" fillId="0" borderId="21" xfId="0" applyNumberFormat="1" applyBorder="1"/>
    <xf numFmtId="0" fontId="0" fillId="0" borderId="21" xfId="0" applyBorder="1"/>
    <xf numFmtId="165" fontId="40" fillId="0" borderId="21" xfId="0" applyNumberFormat="1" applyFont="1" applyBorder="1"/>
    <xf numFmtId="0" fontId="0" fillId="0" borderId="0" xfId="0" applyBorder="1"/>
    <xf numFmtId="165" fontId="40" fillId="0" borderId="0" xfId="0" applyNumberFormat="1" applyFont="1" applyBorder="1"/>
    <xf numFmtId="168" fontId="43" fillId="0" borderId="0" xfId="48" applyNumberFormat="1" applyFont="1" applyFill="1" applyBorder="1" applyAlignment="1">
      <alignment vertical="center" wrapText="1"/>
    </xf>
    <xf numFmtId="0" fontId="0" fillId="0" borderId="17" xfId="0" applyBorder="1"/>
    <xf numFmtId="3" fontId="36" fillId="0" borderId="10" xfId="0" applyNumberFormat="1" applyFont="1" applyFill="1" applyBorder="1" applyAlignment="1">
      <alignment wrapText="1"/>
    </xf>
    <xf numFmtId="0" fontId="40" fillId="0" borderId="14" xfId="0" applyFont="1" applyBorder="1"/>
    <xf numFmtId="0" fontId="0" fillId="0" borderId="14" xfId="0" applyBorder="1"/>
    <xf numFmtId="165" fontId="0" fillId="0" borderId="0" xfId="44" applyNumberFormat="1" applyFont="1"/>
    <xf numFmtId="0" fontId="0" fillId="51" borderId="0" xfId="0" applyFill="1"/>
    <xf numFmtId="166" fontId="0" fillId="0" borderId="0" xfId="0" applyNumberFormat="1"/>
    <xf numFmtId="0" fontId="0" fillId="0" borderId="0" xfId="0" applyAlignment="1">
      <alignment vertical="top"/>
    </xf>
    <xf numFmtId="2" fontId="0" fillId="0" borderId="0" xfId="0" applyNumberFormat="1" applyAlignment="1">
      <alignment horizontal="center" vertical="center"/>
    </xf>
    <xf numFmtId="0" fontId="44" fillId="0" borderId="0" xfId="0" applyFont="1" applyAlignment="1">
      <alignment vertical="top"/>
    </xf>
    <xf numFmtId="0" fontId="0" fillId="0" borderId="10" xfId="0" applyBorder="1" applyAlignment="1">
      <alignment vertical="top"/>
    </xf>
    <xf numFmtId="3" fontId="0" fillId="0" borderId="10" xfId="0" applyNumberFormat="1" applyBorder="1" applyAlignment="1">
      <alignment vertical="top"/>
    </xf>
    <xf numFmtId="0" fontId="45" fillId="0" borderId="10" xfId="49" applyFont="1" applyBorder="1" applyAlignment="1">
      <alignment vertical="top"/>
    </xf>
    <xf numFmtId="0" fontId="25" fillId="57" borderId="0" xfId="0" applyFont="1" applyFill="1" applyAlignment="1">
      <alignment horizontal="center" vertical="center" wrapText="1"/>
    </xf>
    <xf numFmtId="0" fontId="0" fillId="39" borderId="0" xfId="0" applyFill="1"/>
    <xf numFmtId="0" fontId="32" fillId="0" borderId="0" xfId="0" applyFont="1"/>
    <xf numFmtId="3" fontId="32" fillId="0" borderId="0" xfId="0" applyNumberFormat="1" applyFont="1" applyAlignment="1">
      <alignment horizontal="left" wrapText="1"/>
    </xf>
    <xf numFmtId="3" fontId="32" fillId="0" borderId="0" xfId="0" applyNumberFormat="1" applyFont="1"/>
    <xf numFmtId="0" fontId="25" fillId="58" borderId="0" xfId="0" applyFont="1" applyFill="1" applyProtection="1">
      <protection locked="0"/>
    </xf>
    <xf numFmtId="0" fontId="0" fillId="0" borderId="0" xfId="0" applyProtection="1"/>
    <xf numFmtId="49" fontId="0" fillId="59" borderId="0" xfId="0" applyNumberFormat="1" applyFill="1" applyProtection="1">
      <protection locked="0"/>
    </xf>
    <xf numFmtId="0" fontId="30" fillId="0" borderId="0" xfId="0" applyFont="1" applyAlignment="1">
      <alignment wrapText="1"/>
    </xf>
    <xf numFmtId="0" fontId="32" fillId="0" borderId="0" xfId="0" applyFont="1" applyAlignment="1">
      <alignment wrapText="1"/>
    </xf>
    <xf numFmtId="0" fontId="49" fillId="0" borderId="0" xfId="0" applyFont="1"/>
    <xf numFmtId="0" fontId="0" fillId="0" borderId="10" xfId="0" applyFill="1" applyBorder="1" applyAlignment="1">
      <alignment vertical="center"/>
    </xf>
    <xf numFmtId="10" fontId="0" fillId="0" borderId="10" xfId="50" applyNumberFormat="1" applyFont="1" applyFill="1" applyBorder="1"/>
    <xf numFmtId="3" fontId="0" fillId="0" borderId="10" xfId="50" applyNumberFormat="1" applyFont="1" applyFill="1" applyBorder="1"/>
    <xf numFmtId="0" fontId="25" fillId="0" borderId="10" xfId="0" applyFont="1" applyFill="1" applyBorder="1"/>
    <xf numFmtId="9" fontId="25" fillId="0" borderId="10" xfId="50" applyFont="1" applyFill="1" applyBorder="1"/>
    <xf numFmtId="3" fontId="25" fillId="0" borderId="10" xfId="0" applyNumberFormat="1" applyFont="1" applyFill="1" applyBorder="1"/>
    <xf numFmtId="0" fontId="28" fillId="0" borderId="0" xfId="0" applyFont="1"/>
    <xf numFmtId="3" fontId="0" fillId="0" borderId="10" xfId="0" applyNumberFormat="1" applyBorder="1"/>
    <xf numFmtId="0" fontId="50" fillId="0" borderId="0" xfId="0" applyFont="1" applyAlignment="1">
      <alignment vertical="top"/>
    </xf>
    <xf numFmtId="0" fontId="51" fillId="0" borderId="0" xfId="0" applyFont="1" applyAlignment="1">
      <alignment vertical="top"/>
    </xf>
    <xf numFmtId="0" fontId="52" fillId="0" borderId="24" xfId="0" applyFont="1" applyFill="1" applyBorder="1" applyAlignment="1">
      <alignment horizontal="center" vertical="center"/>
    </xf>
    <xf numFmtId="0" fontId="52" fillId="0" borderId="25" xfId="0" applyFont="1" applyFill="1" applyBorder="1" applyAlignment="1">
      <alignment horizontal="center" vertical="center"/>
    </xf>
    <xf numFmtId="0" fontId="52" fillId="0" borderId="25" xfId="0" applyFont="1" applyBorder="1" applyAlignment="1">
      <alignment horizontal="center" vertical="center"/>
    </xf>
    <xf numFmtId="0" fontId="52" fillId="0" borderId="25" xfId="0" applyFont="1" applyFill="1" applyBorder="1" applyAlignment="1">
      <alignment horizontal="center" vertical="center" wrapText="1"/>
    </xf>
    <xf numFmtId="0" fontId="52" fillId="38" borderId="25" xfId="0" applyFont="1" applyFill="1" applyBorder="1" applyAlignment="1">
      <alignment horizontal="center" vertical="center" wrapText="1"/>
    </xf>
    <xf numFmtId="0" fontId="52" fillId="38" borderId="26" xfId="0" applyFont="1" applyFill="1" applyBorder="1" applyAlignment="1">
      <alignment horizontal="center" vertical="center" wrapText="1"/>
    </xf>
    <xf numFmtId="0" fontId="31" fillId="0" borderId="28" xfId="0" applyFont="1" applyBorder="1" applyAlignment="1">
      <alignment vertical="center" wrapText="1"/>
    </xf>
    <xf numFmtId="3" fontId="31" fillId="0" borderId="28" xfId="0" applyNumberFormat="1" applyFont="1" applyBorder="1" applyAlignment="1">
      <alignment vertical="center"/>
    </xf>
    <xf numFmtId="3" fontId="52" fillId="38" borderId="28" xfId="0" applyNumberFormat="1" applyFont="1" applyFill="1" applyBorder="1" applyAlignment="1">
      <alignment vertical="center"/>
    </xf>
    <xf numFmtId="3" fontId="52" fillId="38" borderId="29" xfId="0" applyNumberFormat="1" applyFont="1" applyFill="1" applyBorder="1" applyAlignment="1">
      <alignment vertical="center"/>
    </xf>
    <xf numFmtId="0" fontId="31" fillId="0" borderId="10" xfId="0" applyFont="1" applyBorder="1" applyAlignment="1">
      <alignment vertical="center" wrapText="1"/>
    </xf>
    <xf numFmtId="3" fontId="31" fillId="0" borderId="10" xfId="0" applyNumberFormat="1" applyFont="1" applyBorder="1" applyAlignment="1">
      <alignment vertical="center"/>
    </xf>
    <xf numFmtId="3" fontId="52" fillId="38" borderId="10" xfId="0" applyNumberFormat="1" applyFont="1" applyFill="1" applyBorder="1" applyAlignment="1">
      <alignment vertical="center"/>
    </xf>
    <xf numFmtId="3" fontId="52" fillId="38" borderId="31" xfId="0" applyNumberFormat="1" applyFont="1" applyFill="1" applyBorder="1" applyAlignment="1">
      <alignment vertical="center"/>
    </xf>
    <xf numFmtId="3" fontId="31" fillId="0" borderId="10" xfId="0" applyNumberFormat="1" applyFont="1" applyFill="1" applyBorder="1" applyAlignment="1">
      <alignment vertical="center"/>
    </xf>
    <xf numFmtId="3" fontId="31" fillId="0" borderId="33" xfId="0" applyNumberFormat="1" applyFont="1" applyBorder="1" applyAlignment="1">
      <alignment vertical="center"/>
    </xf>
    <xf numFmtId="3" fontId="52" fillId="38" borderId="33" xfId="0" applyNumberFormat="1" applyFont="1" applyFill="1" applyBorder="1" applyAlignment="1">
      <alignment vertical="center"/>
    </xf>
    <xf numFmtId="3" fontId="52" fillId="38" borderId="34" xfId="0" applyNumberFormat="1" applyFont="1" applyFill="1" applyBorder="1" applyAlignment="1">
      <alignment vertical="center"/>
    </xf>
    <xf numFmtId="0" fontId="54" fillId="0" borderId="0" xfId="0" applyFont="1"/>
    <xf numFmtId="0" fontId="32" fillId="0" borderId="0" xfId="0" applyFont="1" applyAlignment="1">
      <alignment vertical="center" wrapText="1"/>
    </xf>
    <xf numFmtId="0" fontId="31" fillId="0" borderId="0" xfId="0" applyFont="1" applyAlignment="1">
      <alignment vertical="center"/>
    </xf>
    <xf numFmtId="0" fontId="52" fillId="0" borderId="50" xfId="0" applyFont="1" applyBorder="1" applyAlignment="1">
      <alignment vertical="center"/>
    </xf>
    <xf numFmtId="9" fontId="31" fillId="0" borderId="10" xfId="50" applyFont="1" applyBorder="1" applyAlignment="1">
      <alignment vertical="center"/>
    </xf>
    <xf numFmtId="3" fontId="31" fillId="0" borderId="31" xfId="0" applyNumberFormat="1" applyFont="1" applyFill="1" applyBorder="1" applyAlignment="1">
      <alignment vertical="center"/>
    </xf>
    <xf numFmtId="0" fontId="52" fillId="0" borderId="0" xfId="0" applyFont="1" applyAlignment="1">
      <alignment vertical="center"/>
    </xf>
    <xf numFmtId="0" fontId="52" fillId="0" borderId="51" xfId="0" applyFont="1" applyBorder="1" applyAlignment="1">
      <alignment horizontal="center" vertical="center" wrapText="1"/>
    </xf>
    <xf numFmtId="0" fontId="52" fillId="0" borderId="56" xfId="0" applyFont="1" applyBorder="1" applyAlignment="1">
      <alignment vertical="center"/>
    </xf>
    <xf numFmtId="3" fontId="55" fillId="0" borderId="29" xfId="0" applyNumberFormat="1" applyFont="1" applyFill="1" applyBorder="1" applyAlignment="1">
      <alignment vertical="center"/>
    </xf>
    <xf numFmtId="9" fontId="31" fillId="0" borderId="28" xfId="50" applyFont="1" applyBorder="1" applyAlignment="1">
      <alignment vertical="center"/>
    </xf>
    <xf numFmtId="3" fontId="31" fillId="0" borderId="29" xfId="0" applyNumberFormat="1" applyFont="1" applyFill="1" applyBorder="1" applyAlignment="1">
      <alignment vertical="center"/>
    </xf>
    <xf numFmtId="3" fontId="55" fillId="0" borderId="31" xfId="0" applyNumberFormat="1" applyFont="1" applyFill="1" applyBorder="1" applyAlignment="1">
      <alignment vertical="center"/>
    </xf>
    <xf numFmtId="3" fontId="31" fillId="0" borderId="11" xfId="0" applyNumberFormat="1" applyFont="1" applyBorder="1" applyAlignment="1">
      <alignment vertical="center"/>
    </xf>
    <xf numFmtId="0" fontId="52" fillId="0" borderId="55" xfId="0" applyFont="1" applyBorder="1" applyAlignment="1">
      <alignment vertical="center"/>
    </xf>
    <xf numFmtId="3" fontId="52" fillId="0" borderId="52" xfId="0" applyNumberFormat="1" applyFont="1" applyBorder="1" applyAlignment="1">
      <alignment vertical="center"/>
    </xf>
    <xf numFmtId="0" fontId="0" fillId="0" borderId="10" xfId="0" applyBorder="1" applyAlignment="1">
      <alignment wrapText="1"/>
    </xf>
    <xf numFmtId="170" fontId="0" fillId="0" borderId="10" xfId="0" applyNumberFormat="1" applyBorder="1"/>
    <xf numFmtId="170" fontId="0" fillId="0" borderId="0" xfId="0" applyNumberFormat="1"/>
    <xf numFmtId="165" fontId="51" fillId="0" borderId="0" xfId="42" applyNumberFormat="1" applyFont="1"/>
    <xf numFmtId="0" fontId="51" fillId="0" borderId="0" xfId="0" applyFont="1"/>
    <xf numFmtId="0" fontId="59" fillId="38" borderId="49" xfId="0" applyFont="1" applyFill="1" applyBorder="1" applyAlignment="1">
      <alignment vertical="center"/>
    </xf>
    <xf numFmtId="0" fontId="59" fillId="38" borderId="49" xfId="0" applyFont="1" applyFill="1" applyBorder="1" applyAlignment="1">
      <alignment vertical="center" wrapText="1"/>
    </xf>
    <xf numFmtId="0" fontId="59" fillId="38" borderId="57" xfId="0" applyFont="1" applyFill="1" applyBorder="1" applyAlignment="1">
      <alignment vertical="center"/>
    </xf>
    <xf numFmtId="0" fontId="59" fillId="38" borderId="50" xfId="0" applyFont="1" applyFill="1" applyBorder="1" applyAlignment="1">
      <alignment vertical="center" wrapText="1"/>
    </xf>
    <xf numFmtId="0" fontId="59" fillId="38" borderId="45" xfId="0" applyFont="1" applyFill="1" applyBorder="1" applyAlignment="1">
      <alignment vertical="center" wrapText="1"/>
    </xf>
    <xf numFmtId="171" fontId="60" fillId="38" borderId="64" xfId="0" applyNumberFormat="1" applyFont="1" applyFill="1" applyBorder="1"/>
    <xf numFmtId="171" fontId="60" fillId="38" borderId="65" xfId="0" applyNumberFormat="1" applyFont="1" applyFill="1" applyBorder="1"/>
    <xf numFmtId="171" fontId="60" fillId="38" borderId="66" xfId="0" applyNumberFormat="1" applyFont="1" applyFill="1" applyBorder="1"/>
    <xf numFmtId="3" fontId="0" fillId="0" borderId="14" xfId="0" applyNumberFormat="1" applyBorder="1" applyAlignment="1">
      <alignment vertical="center"/>
    </xf>
    <xf numFmtId="3" fontId="0" fillId="0" borderId="10" xfId="0" applyNumberFormat="1" applyBorder="1" applyAlignment="1">
      <alignment vertical="center"/>
    </xf>
    <xf numFmtId="3" fontId="0" fillId="0" borderId="38" xfId="0" applyNumberFormat="1" applyBorder="1" applyAlignment="1">
      <alignment vertical="center"/>
    </xf>
    <xf numFmtId="0" fontId="59" fillId="38" borderId="57" xfId="0" applyFont="1" applyFill="1" applyBorder="1" applyAlignment="1">
      <alignment vertical="center" wrapText="1"/>
    </xf>
    <xf numFmtId="0" fontId="24" fillId="38" borderId="10" xfId="0" applyFont="1" applyFill="1" applyBorder="1" applyAlignment="1">
      <alignment horizontal="center" vertical="center" wrapText="1"/>
    </xf>
    <xf numFmtId="3" fontId="30" fillId="0" borderId="0" xfId="0" applyNumberFormat="1" applyFont="1"/>
    <xf numFmtId="0" fontId="57" fillId="38" borderId="41" xfId="0" applyFont="1" applyFill="1" applyBorder="1" applyAlignment="1">
      <alignment vertical="center" wrapText="1"/>
    </xf>
    <xf numFmtId="0" fontId="57" fillId="38" borderId="40" xfId="0" applyFont="1" applyFill="1" applyBorder="1" applyAlignment="1">
      <alignment vertical="center"/>
    </xf>
    <xf numFmtId="0" fontId="52" fillId="0" borderId="25" xfId="0" applyFont="1" applyBorder="1" applyAlignment="1">
      <alignment horizontal="center" vertical="center" wrapText="1"/>
    </xf>
    <xf numFmtId="0" fontId="52" fillId="0" borderId="26" xfId="0" applyFont="1" applyBorder="1" applyAlignment="1">
      <alignment horizontal="center" vertical="center" wrapText="1"/>
    </xf>
    <xf numFmtId="0" fontId="52" fillId="0" borderId="35" xfId="0" applyFont="1" applyBorder="1" applyAlignment="1">
      <alignment horizontal="center" vertical="center" wrapText="1"/>
    </xf>
    <xf numFmtId="0" fontId="52" fillId="0" borderId="24" xfId="0" applyFont="1" applyBorder="1" applyAlignment="1">
      <alignment horizontal="center" vertical="center" wrapText="1"/>
    </xf>
    <xf numFmtId="0" fontId="52" fillId="0" borderId="67" xfId="0" applyFont="1" applyBorder="1" applyAlignment="1">
      <alignment vertical="center"/>
    </xf>
    <xf numFmtId="3" fontId="55" fillId="0" borderId="27" xfId="0" applyNumberFormat="1" applyFont="1" applyFill="1" applyBorder="1" applyAlignment="1">
      <alignment vertical="center"/>
    </xf>
    <xf numFmtId="9" fontId="55" fillId="0" borderId="28" xfId="50" applyFont="1" applyFill="1" applyBorder="1" applyAlignment="1">
      <alignment vertical="center"/>
    </xf>
    <xf numFmtId="3" fontId="55" fillId="0" borderId="47" xfId="0" applyNumberFormat="1" applyFont="1" applyFill="1" applyBorder="1" applyAlignment="1">
      <alignment vertical="center"/>
    </xf>
    <xf numFmtId="3" fontId="56" fillId="53" borderId="28" xfId="0" applyNumberFormat="1" applyFont="1" applyFill="1" applyBorder="1" applyAlignment="1">
      <alignment vertical="center"/>
    </xf>
    <xf numFmtId="0" fontId="52" fillId="0" borderId="50" xfId="0" applyFont="1" applyFill="1" applyBorder="1" applyAlignment="1">
      <alignment vertical="center"/>
    </xf>
    <xf numFmtId="0" fontId="52" fillId="0" borderId="69" xfId="0" applyFont="1" applyFill="1" applyBorder="1" applyAlignment="1">
      <alignment vertical="center"/>
    </xf>
    <xf numFmtId="3" fontId="55" fillId="0" borderId="30" xfId="0" applyNumberFormat="1" applyFont="1" applyFill="1" applyBorder="1" applyAlignment="1">
      <alignment vertical="center"/>
    </xf>
    <xf numFmtId="9" fontId="55" fillId="0" borderId="10" xfId="50" applyFont="1" applyFill="1" applyBorder="1" applyAlignment="1">
      <alignment vertical="center"/>
    </xf>
    <xf numFmtId="3" fontId="55" fillId="0" borderId="20" xfId="0" applyNumberFormat="1" applyFont="1" applyFill="1" applyBorder="1" applyAlignment="1">
      <alignment vertical="center"/>
    </xf>
    <xf numFmtId="3" fontId="56" fillId="53" borderId="10" xfId="0" applyNumberFormat="1" applyFont="1" applyFill="1" applyBorder="1" applyAlignment="1">
      <alignment vertical="center"/>
    </xf>
    <xf numFmtId="0" fontId="52" fillId="0" borderId="69" xfId="0" applyFont="1" applyBorder="1" applyAlignment="1">
      <alignment vertical="center"/>
    </xf>
    <xf numFmtId="3" fontId="55" fillId="0" borderId="70" xfId="0" applyNumberFormat="1" applyFont="1" applyFill="1" applyBorder="1" applyAlignment="1">
      <alignment vertical="center"/>
    </xf>
    <xf numFmtId="3" fontId="56" fillId="53" borderId="11" xfId="0" applyNumberFormat="1" applyFont="1" applyFill="1" applyBorder="1" applyAlignment="1">
      <alignment vertical="center"/>
    </xf>
    <xf numFmtId="3" fontId="63" fillId="0" borderId="10" xfId="42" applyNumberFormat="1" applyFont="1" applyFill="1" applyBorder="1" applyAlignment="1">
      <alignment vertical="center"/>
    </xf>
    <xf numFmtId="0" fontId="63" fillId="43" borderId="10" xfId="0" applyFont="1" applyFill="1" applyBorder="1" applyAlignment="1">
      <alignment horizontal="center" vertical="center" wrapText="1"/>
    </xf>
    <xf numFmtId="0" fontId="63" fillId="43" borderId="10" xfId="0" applyFont="1" applyFill="1" applyBorder="1" applyAlignment="1">
      <alignment vertical="center" wrapText="1"/>
    </xf>
    <xf numFmtId="0" fontId="63" fillId="42" borderId="10" xfId="0" applyFont="1" applyFill="1" applyBorder="1" applyAlignment="1">
      <alignment horizontal="center" vertical="center" wrapText="1"/>
    </xf>
    <xf numFmtId="0" fontId="63" fillId="41" borderId="10" xfId="0" applyFont="1" applyFill="1" applyBorder="1" applyAlignment="1">
      <alignment horizontal="center" vertical="center" wrapText="1"/>
    </xf>
    <xf numFmtId="0" fontId="65" fillId="33" borderId="10" xfId="0" applyFont="1" applyFill="1" applyBorder="1" applyAlignment="1">
      <alignment horizontal="center" vertical="center" wrapText="1"/>
    </xf>
    <xf numFmtId="0" fontId="65" fillId="60" borderId="10" xfId="0" applyFont="1" applyFill="1" applyBorder="1" applyAlignment="1">
      <alignment horizontal="center" vertical="center" wrapText="1"/>
    </xf>
    <xf numFmtId="0" fontId="63" fillId="61" borderId="10" xfId="0" applyFont="1" applyFill="1" applyBorder="1" applyAlignment="1">
      <alignment horizontal="center" vertical="center" wrapText="1"/>
    </xf>
    <xf numFmtId="0" fontId="63" fillId="0" borderId="0" xfId="0" applyFont="1" applyBorder="1" applyAlignment="1">
      <alignment horizontal="center" vertical="center" wrapText="1"/>
    </xf>
    <xf numFmtId="0" fontId="63" fillId="0" borderId="0" xfId="0" applyFont="1" applyBorder="1"/>
    <xf numFmtId="0" fontId="63" fillId="0" borderId="0" xfId="0" applyFont="1" applyBorder="1" applyAlignment="1"/>
    <xf numFmtId="0" fontId="65" fillId="0" borderId="0" xfId="0" applyFont="1" applyBorder="1" applyAlignment="1">
      <alignment horizontal="center" vertical="center"/>
    </xf>
    <xf numFmtId="0" fontId="63" fillId="0" borderId="0" xfId="0" applyFont="1" applyBorder="1" applyAlignment="1">
      <alignment horizontal="center"/>
    </xf>
    <xf numFmtId="0" fontId="63" fillId="0" borderId="0" xfId="0" applyFont="1" applyFill="1" applyBorder="1"/>
    <xf numFmtId="0" fontId="65" fillId="0" borderId="10" xfId="0" applyFont="1" applyFill="1" applyBorder="1" applyAlignment="1">
      <alignment vertical="center"/>
    </xf>
    <xf numFmtId="3" fontId="65" fillId="0" borderId="10" xfId="42" applyNumberFormat="1" applyFont="1" applyFill="1" applyBorder="1" applyAlignment="1">
      <alignment vertical="center"/>
    </xf>
    <xf numFmtId="3" fontId="63" fillId="0" borderId="10" xfId="0" applyNumberFormat="1" applyFont="1" applyFill="1" applyBorder="1" applyAlignment="1">
      <alignment horizontal="center" vertical="center"/>
    </xf>
    <xf numFmtId="3" fontId="65" fillId="0" borderId="10" xfId="0" applyNumberFormat="1" applyFont="1" applyFill="1" applyBorder="1" applyAlignment="1">
      <alignment vertical="center"/>
    </xf>
    <xf numFmtId="0" fontId="65" fillId="0" borderId="0" xfId="0" applyFont="1" applyFill="1" applyBorder="1" applyAlignment="1">
      <alignment vertical="center"/>
    </xf>
    <xf numFmtId="0" fontId="63" fillId="0" borderId="10" xfId="0" applyFont="1" applyFill="1" applyBorder="1" applyAlignment="1">
      <alignment vertical="center"/>
    </xf>
    <xf numFmtId="3" fontId="63" fillId="0" borderId="10" xfId="0" applyNumberFormat="1" applyFont="1" applyFill="1" applyBorder="1" applyAlignment="1">
      <alignment vertical="center"/>
    </xf>
    <xf numFmtId="0" fontId="63" fillId="0" borderId="0" xfId="0" applyFont="1" applyFill="1" applyBorder="1" applyAlignment="1">
      <alignment vertical="center"/>
    </xf>
    <xf numFmtId="3" fontId="66" fillId="0" borderId="10" xfId="0" applyNumberFormat="1" applyFont="1" applyFill="1" applyBorder="1" applyAlignment="1">
      <alignment vertical="center"/>
    </xf>
    <xf numFmtId="0" fontId="67" fillId="0" borderId="10" xfId="0" applyFont="1" applyFill="1" applyBorder="1" applyAlignment="1">
      <alignment vertical="center"/>
    </xf>
    <xf numFmtId="3" fontId="65" fillId="0" borderId="10" xfId="0" applyNumberFormat="1" applyFont="1" applyFill="1" applyBorder="1" applyAlignment="1">
      <alignment horizontal="center" vertical="center"/>
    </xf>
    <xf numFmtId="3" fontId="66" fillId="0" borderId="10" xfId="42" applyNumberFormat="1" applyFont="1" applyFill="1" applyBorder="1" applyAlignment="1">
      <alignment vertical="center"/>
    </xf>
    <xf numFmtId="0" fontId="63" fillId="56" borderId="10" xfId="0" applyFont="1" applyFill="1" applyBorder="1" applyAlignment="1">
      <alignment vertical="center"/>
    </xf>
    <xf numFmtId="3" fontId="65" fillId="51" borderId="10" xfId="0" applyNumberFormat="1" applyFont="1" applyFill="1" applyBorder="1" applyAlignment="1">
      <alignment horizontal="center" vertical="center"/>
    </xf>
    <xf numFmtId="3" fontId="63" fillId="56" borderId="10" xfId="42" applyNumberFormat="1" applyFont="1" applyFill="1" applyBorder="1" applyAlignment="1">
      <alignment vertical="center"/>
    </xf>
    <xf numFmtId="3" fontId="68" fillId="0" borderId="10" xfId="0" applyNumberFormat="1" applyFont="1" applyFill="1" applyBorder="1" applyAlignment="1">
      <alignment vertical="center"/>
    </xf>
    <xf numFmtId="3" fontId="65" fillId="51" borderId="10" xfId="42" applyNumberFormat="1" applyFont="1" applyFill="1" applyBorder="1" applyAlignment="1">
      <alignment vertical="center"/>
    </xf>
    <xf numFmtId="3" fontId="63" fillId="62" borderId="10" xfId="42" applyNumberFormat="1" applyFont="1" applyFill="1" applyBorder="1" applyAlignment="1">
      <alignment vertical="center"/>
    </xf>
    <xf numFmtId="0" fontId="65" fillId="38" borderId="10" xfId="0" applyFont="1" applyFill="1" applyBorder="1" applyAlignment="1">
      <alignment vertical="center"/>
    </xf>
    <xf numFmtId="3" fontId="65" fillId="38" borderId="10" xfId="42" applyNumberFormat="1" applyFont="1" applyFill="1" applyBorder="1" applyAlignment="1">
      <alignment vertical="center"/>
    </xf>
    <xf numFmtId="0" fontId="69" fillId="0" borderId="10" xfId="0" applyFont="1" applyFill="1" applyBorder="1" applyAlignment="1">
      <alignment vertical="center"/>
    </xf>
    <xf numFmtId="0" fontId="70" fillId="0" borderId="10" xfId="0" applyFont="1" applyFill="1" applyBorder="1" applyAlignment="1">
      <alignment vertical="center"/>
    </xf>
    <xf numFmtId="3" fontId="63" fillId="51" borderId="10" xfId="42" applyNumberFormat="1" applyFont="1" applyFill="1" applyBorder="1" applyAlignment="1">
      <alignment vertical="center"/>
    </xf>
    <xf numFmtId="0" fontId="71" fillId="0" borderId="10" xfId="43" applyFont="1" applyFill="1" applyBorder="1" applyAlignment="1">
      <alignment horizontal="center" vertical="center"/>
    </xf>
    <xf numFmtId="0" fontId="68" fillId="0" borderId="10" xfId="0" applyFont="1" applyFill="1" applyBorder="1" applyAlignment="1">
      <alignment vertical="center"/>
    </xf>
    <xf numFmtId="0" fontId="68" fillId="0" borderId="10" xfId="0" applyFont="1" applyFill="1" applyBorder="1" applyAlignment="1">
      <alignment vertical="center" wrapText="1"/>
    </xf>
    <xf numFmtId="0" fontId="65" fillId="38" borderId="10" xfId="0" applyFont="1" applyFill="1" applyBorder="1" applyAlignment="1">
      <alignment vertical="center" wrapText="1"/>
    </xf>
    <xf numFmtId="0" fontId="64" fillId="0" borderId="10" xfId="0" applyFont="1" applyFill="1" applyBorder="1" applyAlignment="1">
      <alignment vertical="center"/>
    </xf>
    <xf numFmtId="0" fontId="63" fillId="38" borderId="10" xfId="0" applyFont="1" applyFill="1" applyBorder="1" applyAlignment="1">
      <alignment vertical="center"/>
    </xf>
    <xf numFmtId="3" fontId="63" fillId="0" borderId="0" xfId="42" applyNumberFormat="1" applyFont="1" applyFill="1" applyBorder="1" applyAlignment="1">
      <alignment vertical="center"/>
    </xf>
    <xf numFmtId="3" fontId="70" fillId="51" borderId="10" xfId="0" applyNumberFormat="1" applyFont="1" applyFill="1" applyBorder="1" applyAlignment="1">
      <alignment horizontal="center" vertical="center"/>
    </xf>
    <xf numFmtId="0" fontId="63" fillId="0" borderId="10" xfId="0" applyFont="1" applyFill="1" applyBorder="1" applyAlignment="1">
      <alignment horizontal="center" vertical="center"/>
    </xf>
    <xf numFmtId="0" fontId="66" fillId="0" borderId="10" xfId="0" applyFont="1" applyFill="1" applyBorder="1" applyAlignment="1">
      <alignment vertical="center"/>
    </xf>
    <xf numFmtId="0" fontId="72" fillId="0" borderId="10" xfId="0" applyFont="1" applyFill="1" applyBorder="1" applyAlignment="1">
      <alignment vertical="center"/>
    </xf>
    <xf numFmtId="0" fontId="63" fillId="38" borderId="10" xfId="0" applyFont="1" applyFill="1" applyBorder="1" applyAlignment="1">
      <alignment horizontal="center" vertical="center"/>
    </xf>
    <xf numFmtId="0" fontId="70" fillId="38" borderId="10" xfId="0" applyFont="1" applyFill="1" applyBorder="1" applyAlignment="1">
      <alignment vertical="center" wrapText="1"/>
    </xf>
    <xf numFmtId="0" fontId="64" fillId="38" borderId="10" xfId="0" applyFont="1" applyFill="1" applyBorder="1" applyAlignment="1">
      <alignment vertical="center"/>
    </xf>
    <xf numFmtId="0" fontId="66" fillId="38" borderId="10" xfId="0" applyFont="1" applyFill="1" applyBorder="1" applyAlignment="1">
      <alignment vertical="center"/>
    </xf>
    <xf numFmtId="3" fontId="70" fillId="38" borderId="10" xfId="42" applyNumberFormat="1" applyFont="1" applyFill="1" applyBorder="1" applyAlignment="1">
      <alignment vertical="center"/>
    </xf>
    <xf numFmtId="0" fontId="65" fillId="35" borderId="10" xfId="0" applyFont="1" applyFill="1" applyBorder="1" applyAlignment="1">
      <alignment vertical="center" wrapText="1"/>
    </xf>
    <xf numFmtId="0" fontId="65" fillId="35" borderId="10" xfId="0" applyFont="1" applyFill="1" applyBorder="1" applyAlignment="1">
      <alignment vertical="center"/>
    </xf>
    <xf numFmtId="0" fontId="73" fillId="0" borderId="10" xfId="0" applyFont="1" applyFill="1" applyBorder="1" applyAlignment="1">
      <alignment vertical="center"/>
    </xf>
    <xf numFmtId="0" fontId="74" fillId="0" borderId="10" xfId="0" applyFont="1" applyFill="1" applyBorder="1" applyAlignment="1">
      <alignment vertical="center"/>
    </xf>
    <xf numFmtId="0" fontId="65" fillId="0" borderId="10" xfId="0" applyFont="1" applyFill="1" applyBorder="1" applyAlignment="1">
      <alignment horizontal="center" vertical="center"/>
    </xf>
    <xf numFmtId="0" fontId="75" fillId="0" borderId="10" xfId="0" applyFont="1" applyFill="1" applyBorder="1" applyAlignment="1">
      <alignment vertical="center"/>
    </xf>
    <xf numFmtId="3" fontId="64" fillId="0" borderId="10" xfId="42" applyNumberFormat="1" applyFont="1" applyFill="1" applyBorder="1" applyAlignment="1">
      <alignment vertical="center"/>
    </xf>
    <xf numFmtId="0" fontId="70" fillId="38" borderId="10" xfId="0" applyFont="1" applyFill="1" applyBorder="1" applyAlignment="1">
      <alignment vertical="center"/>
    </xf>
    <xf numFmtId="0" fontId="70" fillId="38" borderId="0" xfId="0" applyFont="1" applyFill="1" applyBorder="1" applyAlignment="1">
      <alignment vertical="center"/>
    </xf>
    <xf numFmtId="3" fontId="70" fillId="38" borderId="0" xfId="42" applyNumberFormat="1" applyFont="1" applyFill="1" applyBorder="1" applyAlignment="1">
      <alignment vertical="center"/>
    </xf>
    <xf numFmtId="3" fontId="63" fillId="0" borderId="0" xfId="0" applyNumberFormat="1" applyFont="1" applyFill="1" applyBorder="1" applyAlignment="1">
      <alignment horizontal="center" vertical="center"/>
    </xf>
    <xf numFmtId="3" fontId="63" fillId="0" borderId="0" xfId="0" applyNumberFormat="1" applyFont="1" applyFill="1" applyBorder="1" applyAlignment="1">
      <alignment vertical="center"/>
    </xf>
    <xf numFmtId="0" fontId="69" fillId="48" borderId="22" xfId="0" applyFont="1" applyFill="1" applyBorder="1" applyAlignment="1">
      <alignment vertical="center"/>
    </xf>
    <xf numFmtId="0" fontId="69" fillId="48" borderId="23" xfId="0" applyFont="1" applyFill="1" applyBorder="1" applyAlignment="1">
      <alignment vertical="center"/>
    </xf>
    <xf numFmtId="0" fontId="65" fillId="48" borderId="23" xfId="0" applyFont="1" applyFill="1" applyBorder="1" applyAlignment="1">
      <alignment vertical="center"/>
    </xf>
    <xf numFmtId="3" fontId="69" fillId="48" borderId="44" xfId="42" applyNumberFormat="1" applyFont="1" applyFill="1" applyBorder="1" applyAlignment="1">
      <alignment vertical="center"/>
    </xf>
    <xf numFmtId="0" fontId="65" fillId="48" borderId="62" xfId="0" applyFont="1" applyFill="1" applyBorder="1" applyAlignment="1">
      <alignment vertical="center"/>
    </xf>
    <xf numFmtId="0" fontId="65" fillId="48" borderId="0" xfId="0" applyFont="1" applyFill="1" applyBorder="1" applyAlignment="1">
      <alignment vertical="center"/>
    </xf>
    <xf numFmtId="3" fontId="65" fillId="48" borderId="63" xfId="42" applyNumberFormat="1" applyFont="1" applyFill="1" applyBorder="1" applyAlignment="1">
      <alignment vertical="center"/>
    </xf>
    <xf numFmtId="0" fontId="65" fillId="48" borderId="40" xfId="0" applyFont="1" applyFill="1" applyBorder="1" applyAlignment="1">
      <alignment vertical="center"/>
    </xf>
    <xf numFmtId="0" fontId="65" fillId="48" borderId="41" xfId="0" applyFont="1" applyFill="1" applyBorder="1" applyAlignment="1">
      <alignment vertical="center"/>
    </xf>
    <xf numFmtId="3" fontId="65" fillId="48" borderId="42" xfId="42" applyNumberFormat="1" applyFont="1" applyFill="1" applyBorder="1" applyAlignment="1">
      <alignment vertical="center"/>
    </xf>
    <xf numFmtId="0" fontId="69" fillId="35" borderId="62" xfId="0" applyFont="1" applyFill="1" applyBorder="1" applyAlignment="1">
      <alignment vertical="center"/>
    </xf>
    <xf numFmtId="0" fontId="69" fillId="35" borderId="0" xfId="0" applyFont="1" applyFill="1" applyBorder="1" applyAlignment="1">
      <alignment vertical="center"/>
    </xf>
    <xf numFmtId="3" fontId="69" fillId="35" borderId="63" xfId="42" applyNumberFormat="1" applyFont="1" applyFill="1" applyBorder="1" applyAlignment="1">
      <alignment vertical="center"/>
    </xf>
    <xf numFmtId="0" fontId="65" fillId="35" borderId="62" xfId="0" applyFont="1" applyFill="1" applyBorder="1" applyAlignment="1">
      <alignment vertical="center"/>
    </xf>
    <xf numFmtId="0" fontId="65" fillId="35" borderId="0" xfId="0" applyFont="1" applyFill="1" applyBorder="1" applyAlignment="1">
      <alignment vertical="center"/>
    </xf>
    <xf numFmtId="3" fontId="65" fillId="35" borderId="63" xfId="42" applyNumberFormat="1" applyFont="1" applyFill="1" applyBorder="1" applyAlignment="1">
      <alignment vertical="center"/>
    </xf>
    <xf numFmtId="0" fontId="65" fillId="35" borderId="40" xfId="0" applyFont="1" applyFill="1" applyBorder="1" applyAlignment="1">
      <alignment vertical="center"/>
    </xf>
    <xf numFmtId="0" fontId="65" fillId="35" borderId="41" xfId="0" applyFont="1" applyFill="1" applyBorder="1" applyAlignment="1">
      <alignment vertical="center"/>
    </xf>
    <xf numFmtId="3" fontId="65" fillId="35" borderId="42" xfId="42" applyNumberFormat="1" applyFont="1" applyFill="1" applyBorder="1" applyAlignment="1">
      <alignment vertical="center"/>
    </xf>
    <xf numFmtId="0" fontId="65" fillId="38" borderId="62" xfId="0" applyFont="1" applyFill="1" applyBorder="1" applyAlignment="1">
      <alignment vertical="center"/>
    </xf>
    <xf numFmtId="0" fontId="65" fillId="38" borderId="0" xfId="0" applyFont="1" applyFill="1" applyBorder="1" applyAlignment="1">
      <alignment vertical="center"/>
    </xf>
    <xf numFmtId="3" fontId="65" fillId="38" borderId="63" xfId="0" applyNumberFormat="1" applyFont="1" applyFill="1" applyBorder="1" applyAlignment="1">
      <alignment vertical="center"/>
    </xf>
    <xf numFmtId="0" fontId="65" fillId="58" borderId="62" xfId="0" applyFont="1" applyFill="1" applyBorder="1" applyAlignment="1">
      <alignment vertical="center"/>
    </xf>
    <xf numFmtId="0" fontId="65" fillId="58" borderId="0" xfId="0" applyFont="1" applyFill="1" applyBorder="1" applyAlignment="1">
      <alignment vertical="center"/>
    </xf>
    <xf numFmtId="3" fontId="65" fillId="58" borderId="63" xfId="0" applyNumberFormat="1" applyFont="1" applyFill="1" applyBorder="1" applyAlignment="1">
      <alignment vertical="center"/>
    </xf>
    <xf numFmtId="0" fontId="65" fillId="44" borderId="40" xfId="0" applyFont="1" applyFill="1" applyBorder="1" applyAlignment="1">
      <alignment vertical="center"/>
    </xf>
    <xf numFmtId="0" fontId="65" fillId="44" borderId="41" xfId="0" applyFont="1" applyFill="1" applyBorder="1" applyAlignment="1">
      <alignment vertical="center"/>
    </xf>
    <xf numFmtId="3" fontId="65" fillId="44" borderId="42" xfId="42" applyNumberFormat="1" applyFont="1" applyFill="1" applyBorder="1" applyAlignment="1">
      <alignment vertical="center"/>
    </xf>
    <xf numFmtId="0" fontId="63" fillId="0" borderId="0" xfId="0" applyFont="1" applyBorder="1" applyAlignment="1">
      <alignment vertical="center"/>
    </xf>
    <xf numFmtId="0" fontId="63" fillId="0" borderId="0" xfId="0" applyFont="1" applyBorder="1" applyAlignment="1">
      <alignment horizontal="center" vertical="center"/>
    </xf>
    <xf numFmtId="3" fontId="63" fillId="0" borderId="0" xfId="0" applyNumberFormat="1" applyFont="1" applyBorder="1" applyAlignment="1">
      <alignment vertical="center"/>
    </xf>
    <xf numFmtId="0" fontId="63" fillId="0" borderId="0" xfId="0" applyFont="1"/>
    <xf numFmtId="0" fontId="0" fillId="0" borderId="0" xfId="0" applyBorder="1" applyAlignment="1">
      <alignment vertical="center"/>
    </xf>
    <xf numFmtId="0" fontId="0" fillId="0" borderId="0" xfId="0" applyAlignment="1">
      <alignment vertical="center"/>
    </xf>
    <xf numFmtId="0" fontId="22" fillId="0" borderId="0" xfId="0" applyFont="1" applyAlignment="1">
      <alignment vertical="center"/>
    </xf>
    <xf numFmtId="0" fontId="63" fillId="0" borderId="10" xfId="0" applyFont="1" applyBorder="1" applyAlignment="1">
      <alignment vertical="center"/>
    </xf>
    <xf numFmtId="165" fontId="30" fillId="0" borderId="0" xfId="42" applyNumberFormat="1" applyFont="1" applyAlignment="1">
      <alignment horizontal="center" vertical="center" wrapText="1"/>
    </xf>
    <xf numFmtId="172" fontId="58" fillId="36" borderId="0" xfId="42" applyNumberFormat="1" applyFont="1" applyFill="1" applyAlignment="1">
      <alignment vertical="center"/>
    </xf>
    <xf numFmtId="0" fontId="60" fillId="0" borderId="0" xfId="0" applyFont="1"/>
    <xf numFmtId="3" fontId="68" fillId="0" borderId="10" xfId="42" applyNumberFormat="1" applyFont="1" applyFill="1" applyBorder="1" applyAlignment="1">
      <alignment vertical="center"/>
    </xf>
    <xf numFmtId="172" fontId="71" fillId="47" borderId="74" xfId="0" applyNumberFormat="1" applyFont="1" applyFill="1" applyBorder="1" applyAlignment="1">
      <alignment horizontal="center" vertical="center"/>
    </xf>
    <xf numFmtId="172" fontId="71" fillId="47" borderId="74" xfId="0" applyNumberFormat="1" applyFont="1" applyFill="1" applyBorder="1"/>
    <xf numFmtId="172" fontId="71" fillId="37" borderId="0" xfId="0" applyNumberFormat="1" applyFont="1" applyFill="1"/>
    <xf numFmtId="0" fontId="63" fillId="0" borderId="0" xfId="0" applyFont="1" applyFill="1" applyBorder="1" applyAlignment="1">
      <alignment horizontal="center" vertical="center" wrapText="1"/>
    </xf>
    <xf numFmtId="0" fontId="78" fillId="0" borderId="0" xfId="0" applyFont="1"/>
    <xf numFmtId="0" fontId="78" fillId="0" borderId="0" xfId="0" applyFont="1" applyAlignment="1">
      <alignment wrapText="1"/>
    </xf>
    <xf numFmtId="165" fontId="79" fillId="0" borderId="0" xfId="53" applyNumberFormat="1" applyFont="1" applyFill="1" applyBorder="1"/>
    <xf numFmtId="165" fontId="80" fillId="0" borderId="0" xfId="53" applyNumberFormat="1" applyFont="1" applyFill="1" applyBorder="1"/>
    <xf numFmtId="165" fontId="5" fillId="0" borderId="0" xfId="53" applyNumberFormat="1" applyFont="1" applyFill="1" applyBorder="1"/>
    <xf numFmtId="165" fontId="81" fillId="0" borderId="0" xfId="53" applyNumberFormat="1" applyFont="1" applyFill="1" applyBorder="1"/>
    <xf numFmtId="165" fontId="25" fillId="0" borderId="0" xfId="53" applyNumberFormat="1" applyFont="1" applyFill="1" applyBorder="1"/>
    <xf numFmtId="164" fontId="5" fillId="0" borderId="0" xfId="53" applyFont="1" applyFill="1" applyBorder="1"/>
    <xf numFmtId="164" fontId="81" fillId="0" borderId="0" xfId="53" applyFont="1" applyFill="1" applyBorder="1"/>
    <xf numFmtId="2" fontId="81" fillId="0" borderId="0" xfId="54" applyNumberFormat="1" applyFont="1" applyAlignment="1">
      <alignment horizontal="center" vertical="center"/>
    </xf>
    <xf numFmtId="165" fontId="0" fillId="0" borderId="0" xfId="55" applyNumberFormat="1" applyFont="1" applyFill="1" applyBorder="1"/>
    <xf numFmtId="0" fontId="0" fillId="0" borderId="0" xfId="53" applyNumberFormat="1" applyFont="1" applyFill="1" applyBorder="1"/>
    <xf numFmtId="165" fontId="62" fillId="0" borderId="0" xfId="53" applyNumberFormat="1" applyFont="1" applyFill="1" applyBorder="1"/>
    <xf numFmtId="165" fontId="81" fillId="64" borderId="0" xfId="53" applyNumberFormat="1" applyFont="1" applyFill="1" applyBorder="1"/>
    <xf numFmtId="164" fontId="81" fillId="64" borderId="0" xfId="53" applyFont="1" applyFill="1" applyBorder="1"/>
    <xf numFmtId="165" fontId="62" fillId="64" borderId="0" xfId="53" applyNumberFormat="1" applyFont="1" applyFill="1" applyBorder="1"/>
    <xf numFmtId="165" fontId="25" fillId="37" borderId="0" xfId="53" applyNumberFormat="1" applyFont="1" applyFill="1" applyBorder="1"/>
    <xf numFmtId="165" fontId="62" fillId="37" borderId="0" xfId="53" applyNumberFormat="1" applyFont="1" applyFill="1" applyBorder="1"/>
    <xf numFmtId="0" fontId="4" fillId="0" borderId="0" xfId="56"/>
    <xf numFmtId="0" fontId="35" fillId="0" borderId="0" xfId="56" applyFont="1" applyAlignment="1">
      <alignment vertical="center" wrapText="1"/>
    </xf>
    <xf numFmtId="0" fontId="60" fillId="0" borderId="0" xfId="57" applyFont="1"/>
    <xf numFmtId="0" fontId="59" fillId="0" borderId="0" xfId="57" applyFont="1"/>
    <xf numFmtId="0" fontId="60" fillId="0" borderId="0" xfId="57" applyFont="1" applyAlignment="1">
      <alignment vertical="center"/>
    </xf>
    <xf numFmtId="0" fontId="88" fillId="0" borderId="0" xfId="57" applyFont="1"/>
    <xf numFmtId="0" fontId="81" fillId="0" borderId="0" xfId="58" applyFont="1"/>
    <xf numFmtId="0" fontId="4" fillId="0" borderId="0" xfId="58"/>
    <xf numFmtId="0" fontId="25" fillId="0" borderId="0" xfId="58" applyFont="1"/>
    <xf numFmtId="165" fontId="81" fillId="0" borderId="0" xfId="59" applyNumberFormat="1" applyFont="1" applyFill="1" applyBorder="1"/>
    <xf numFmtId="0" fontId="77" fillId="0" borderId="86" xfId="0" applyFont="1" applyBorder="1" applyAlignment="1">
      <alignment horizontal="center" vertical="center" wrapText="1"/>
    </xf>
    <xf numFmtId="0" fontId="77" fillId="0" borderId="87" xfId="0" applyFont="1" applyBorder="1" applyAlignment="1">
      <alignment horizontal="center" vertical="center" wrapText="1"/>
    </xf>
    <xf numFmtId="0" fontId="77" fillId="0" borderId="88" xfId="0" applyFont="1" applyBorder="1" applyAlignment="1">
      <alignment horizontal="left" vertical="center" wrapText="1"/>
    </xf>
    <xf numFmtId="0" fontId="77" fillId="0" borderId="90" xfId="0" applyFont="1" applyBorder="1" applyAlignment="1">
      <alignment horizontal="center" vertical="center" wrapText="1"/>
    </xf>
    <xf numFmtId="0" fontId="77" fillId="0" borderId="91" xfId="0" applyFont="1" applyBorder="1" applyAlignment="1">
      <alignment horizontal="center" vertical="center" wrapText="1"/>
    </xf>
    <xf numFmtId="0" fontId="77" fillId="0" borderId="92" xfId="0" applyFont="1" applyBorder="1" applyAlignment="1">
      <alignment horizontal="left" vertical="center" wrapText="1"/>
    </xf>
    <xf numFmtId="0" fontId="77" fillId="0" borderId="96" xfId="0" applyFont="1" applyBorder="1" applyAlignment="1">
      <alignment horizontal="center" vertical="center" wrapText="1"/>
    </xf>
    <xf numFmtId="0" fontId="77" fillId="0" borderId="97" xfId="0" applyFont="1" applyBorder="1" applyAlignment="1">
      <alignment horizontal="center" vertical="center" wrapText="1"/>
    </xf>
    <xf numFmtId="0" fontId="77" fillId="0" borderId="98" xfId="0" applyFont="1" applyBorder="1" applyAlignment="1">
      <alignment horizontal="left" vertical="center" wrapText="1"/>
    </xf>
    <xf numFmtId="0" fontId="60" fillId="0" borderId="0" xfId="58" applyFont="1"/>
    <xf numFmtId="0" fontId="76" fillId="38" borderId="32" xfId="58" applyFont="1" applyFill="1" applyBorder="1" applyAlignment="1">
      <alignment horizontal="center" vertical="center" wrapText="1"/>
    </xf>
    <xf numFmtId="0" fontId="76" fillId="38" borderId="83" xfId="58" applyFont="1" applyFill="1" applyBorder="1" applyAlignment="1">
      <alignment horizontal="center" vertical="center" wrapText="1"/>
    </xf>
    <xf numFmtId="0" fontId="76" fillId="38" borderId="61" xfId="58" applyFont="1" applyFill="1" applyBorder="1" applyAlignment="1">
      <alignment horizontal="center" vertical="center" wrapText="1"/>
    </xf>
    <xf numFmtId="0" fontId="59" fillId="38" borderId="84" xfId="58" applyFont="1" applyFill="1" applyBorder="1" applyAlignment="1">
      <alignment horizontal="center" vertical="center" wrapText="1"/>
    </xf>
    <xf numFmtId="0" fontId="59" fillId="38" borderId="82" xfId="58" applyFont="1" applyFill="1" applyBorder="1" applyAlignment="1">
      <alignment horizontal="center" vertical="center" wrapText="1"/>
    </xf>
    <xf numFmtId="0" fontId="59" fillId="38" borderId="81" xfId="58" applyFont="1" applyFill="1" applyBorder="1" applyAlignment="1">
      <alignment horizontal="center" vertical="center" wrapText="1"/>
    </xf>
    <xf numFmtId="0" fontId="59" fillId="35" borderId="84" xfId="58" applyFont="1" applyFill="1" applyBorder="1" applyAlignment="1">
      <alignment horizontal="center" vertical="center" wrapText="1"/>
    </xf>
    <xf numFmtId="0" fontId="76" fillId="38" borderId="34" xfId="58" applyFont="1" applyFill="1" applyBorder="1" applyAlignment="1">
      <alignment horizontal="center" vertical="center" wrapText="1"/>
    </xf>
    <xf numFmtId="0" fontId="76" fillId="38" borderId="81" xfId="58" applyFont="1" applyFill="1" applyBorder="1" applyAlignment="1">
      <alignment horizontal="center" vertical="center" wrapText="1"/>
    </xf>
    <xf numFmtId="3" fontId="60" fillId="65" borderId="85" xfId="59" applyNumberFormat="1" applyFont="1" applyFill="1" applyBorder="1" applyAlignment="1">
      <alignment vertical="center" wrapText="1"/>
    </xf>
    <xf numFmtId="3" fontId="60" fillId="0" borderId="85" xfId="59" applyNumberFormat="1" applyFont="1" applyFill="1" applyBorder="1" applyAlignment="1">
      <alignment vertical="center" wrapText="1"/>
    </xf>
    <xf numFmtId="3" fontId="60" fillId="0" borderId="86" xfId="59" applyNumberFormat="1" applyFont="1" applyFill="1" applyBorder="1" applyAlignment="1">
      <alignment vertical="center" wrapText="1"/>
    </xf>
    <xf numFmtId="3" fontId="60" fillId="0" borderId="88" xfId="59" applyNumberFormat="1" applyFont="1" applyFill="1" applyBorder="1" applyAlignment="1">
      <alignment vertical="center"/>
    </xf>
    <xf numFmtId="3" fontId="60" fillId="65" borderId="93" xfId="59" applyNumberFormat="1" applyFont="1" applyFill="1" applyBorder="1" applyAlignment="1">
      <alignment vertical="center" wrapText="1"/>
    </xf>
    <xf numFmtId="3" fontId="60" fillId="0" borderId="93" xfId="59" applyNumberFormat="1" applyFont="1" applyFill="1" applyBorder="1" applyAlignment="1">
      <alignment vertical="center" wrapText="1"/>
    </xf>
    <xf numFmtId="3" fontId="60" fillId="0" borderId="90" xfId="59" applyNumberFormat="1" applyFont="1" applyFill="1" applyBorder="1" applyAlignment="1">
      <alignment vertical="center" wrapText="1"/>
    </xf>
    <xf numFmtId="3" fontId="60" fillId="0" borderId="94" xfId="59" applyNumberFormat="1" applyFont="1" applyFill="1" applyBorder="1" applyAlignment="1">
      <alignment vertical="center"/>
    </xf>
    <xf numFmtId="3" fontId="60" fillId="65" borderId="99" xfId="59" applyNumberFormat="1" applyFont="1" applyFill="1" applyBorder="1" applyAlignment="1">
      <alignment vertical="center" wrapText="1"/>
    </xf>
    <xf numFmtId="3" fontId="60" fillId="0" borderId="99" xfId="59" applyNumberFormat="1" applyFont="1" applyFill="1" applyBorder="1" applyAlignment="1">
      <alignment vertical="center" wrapText="1"/>
    </xf>
    <xf numFmtId="3" fontId="60" fillId="0" borderId="96" xfId="59" applyNumberFormat="1" applyFont="1" applyFill="1" applyBorder="1" applyAlignment="1">
      <alignment vertical="center" wrapText="1"/>
    </xf>
    <xf numFmtId="3" fontId="60" fillId="0" borderId="100" xfId="59" applyNumberFormat="1" applyFont="1" applyFill="1" applyBorder="1" applyAlignment="1">
      <alignment vertical="center"/>
    </xf>
    <xf numFmtId="0" fontId="59" fillId="38" borderId="55" xfId="58" applyFont="1" applyFill="1" applyBorder="1" applyAlignment="1">
      <alignment vertical="center" wrapText="1"/>
    </xf>
    <xf numFmtId="3" fontId="59" fillId="38" borderId="55" xfId="58" applyNumberFormat="1" applyFont="1" applyFill="1" applyBorder="1" applyAlignment="1">
      <alignment vertical="center"/>
    </xf>
    <xf numFmtId="3" fontId="59" fillId="38" borderId="51" xfId="58" applyNumberFormat="1" applyFont="1" applyFill="1" applyBorder="1" applyAlignment="1">
      <alignment vertical="center"/>
    </xf>
    <xf numFmtId="3" fontId="59" fillId="38" borderId="53" xfId="58" applyNumberFormat="1" applyFont="1" applyFill="1" applyBorder="1" applyAlignment="1">
      <alignment vertical="center"/>
    </xf>
    <xf numFmtId="3" fontId="59" fillId="35" borderId="85" xfId="59" applyNumberFormat="1" applyFont="1" applyFill="1" applyBorder="1" applyAlignment="1">
      <alignment vertical="center" wrapText="1"/>
    </xf>
    <xf numFmtId="3" fontId="59" fillId="35" borderId="93" xfId="59" applyNumberFormat="1" applyFont="1" applyFill="1" applyBorder="1" applyAlignment="1">
      <alignment vertical="center" wrapText="1"/>
    </xf>
    <xf numFmtId="3" fontId="59" fillId="35" borderId="99" xfId="59" applyNumberFormat="1" applyFont="1" applyFill="1" applyBorder="1" applyAlignment="1">
      <alignment vertical="center" wrapText="1"/>
    </xf>
    <xf numFmtId="3" fontId="59" fillId="35" borderId="89" xfId="59" applyNumberFormat="1" applyFont="1" applyFill="1" applyBorder="1" applyAlignment="1">
      <alignment vertical="center" wrapText="1"/>
    </xf>
    <xf numFmtId="3" fontId="59" fillId="35" borderId="95" xfId="59" applyNumberFormat="1" applyFont="1" applyFill="1" applyBorder="1" applyAlignment="1">
      <alignment vertical="center" wrapText="1"/>
    </xf>
    <xf numFmtId="3" fontId="59" fillId="35" borderId="101" xfId="59" applyNumberFormat="1" applyFont="1" applyFill="1" applyBorder="1" applyAlignment="1">
      <alignment vertical="center" wrapText="1"/>
    </xf>
    <xf numFmtId="3" fontId="59" fillId="66" borderId="55" xfId="58" applyNumberFormat="1" applyFont="1" applyFill="1" applyBorder="1" applyAlignment="1">
      <alignment vertical="center"/>
    </xf>
    <xf numFmtId="0" fontId="77" fillId="0" borderId="85" xfId="58" applyFont="1" applyBorder="1" applyAlignment="1">
      <alignment horizontal="center" vertical="center"/>
    </xf>
    <xf numFmtId="0" fontId="77" fillId="0" borderId="93" xfId="58" applyFont="1" applyBorder="1" applyAlignment="1">
      <alignment horizontal="center" vertical="center"/>
    </xf>
    <xf numFmtId="0" fontId="77" fillId="0" borderId="99" xfId="58" applyFont="1" applyBorder="1" applyAlignment="1">
      <alignment horizontal="center" vertical="center"/>
    </xf>
    <xf numFmtId="3" fontId="4" fillId="0" borderId="0" xfId="58" applyNumberFormat="1"/>
    <xf numFmtId="0" fontId="0" fillId="0" borderId="0" xfId="0" applyFill="1" applyBorder="1" applyAlignment="1">
      <alignment vertical="center"/>
    </xf>
    <xf numFmtId="0" fontId="65" fillId="68" borderId="10" xfId="0" applyFont="1" applyFill="1" applyBorder="1" applyAlignment="1">
      <alignment vertical="center"/>
    </xf>
    <xf numFmtId="0" fontId="70" fillId="68" borderId="10" xfId="0" applyFont="1" applyFill="1" applyBorder="1" applyAlignment="1">
      <alignment vertical="center"/>
    </xf>
    <xf numFmtId="165" fontId="0" fillId="0" borderId="0" xfId="42" applyNumberFormat="1" applyFont="1"/>
    <xf numFmtId="171" fontId="65" fillId="0" borderId="10" xfId="42" applyNumberFormat="1" applyFont="1" applyFill="1" applyBorder="1" applyAlignment="1">
      <alignment vertical="center"/>
    </xf>
    <xf numFmtId="0" fontId="91" fillId="0" borderId="0" xfId="0" applyFont="1" applyAlignment="1">
      <alignment wrapText="1"/>
    </xf>
    <xf numFmtId="0" fontId="91" fillId="0" borderId="0" xfId="0" pivotButton="1" applyFont="1" applyAlignment="1">
      <alignment wrapText="1"/>
    </xf>
    <xf numFmtId="0" fontId="91" fillId="0" borderId="0" xfId="0" applyFont="1"/>
    <xf numFmtId="172" fontId="91" fillId="0" borderId="0" xfId="0" applyNumberFormat="1" applyFont="1"/>
    <xf numFmtId="0" fontId="91" fillId="0" borderId="0" xfId="0" applyNumberFormat="1" applyFont="1"/>
    <xf numFmtId="0" fontId="91" fillId="0" borderId="0" xfId="0" applyNumberFormat="1" applyFont="1" applyFill="1"/>
    <xf numFmtId="172" fontId="91" fillId="0" borderId="0" xfId="0" applyNumberFormat="1" applyFont="1" applyFill="1"/>
    <xf numFmtId="0" fontId="60" fillId="0" borderId="0" xfId="62" applyFont="1"/>
    <xf numFmtId="0" fontId="78" fillId="36" borderId="0" xfId="0" applyFont="1" applyFill="1"/>
    <xf numFmtId="0" fontId="91" fillId="36" borderId="0" xfId="0" applyFont="1" applyFill="1" applyAlignment="1">
      <alignment wrapText="1"/>
    </xf>
    <xf numFmtId="0" fontId="60" fillId="0" borderId="0" xfId="0" applyFont="1" applyAlignment="1">
      <alignment vertical="center"/>
    </xf>
    <xf numFmtId="3" fontId="65" fillId="35" borderId="10" xfId="42" applyNumberFormat="1" applyFont="1" applyFill="1" applyBorder="1" applyAlignment="1">
      <alignment vertical="center"/>
    </xf>
    <xf numFmtId="3" fontId="65" fillId="35" borderId="10" xfId="0" applyNumberFormat="1" applyFont="1" applyFill="1" applyBorder="1" applyAlignment="1">
      <alignment vertical="center"/>
    </xf>
    <xf numFmtId="0" fontId="65" fillId="0" borderId="10" xfId="0" applyFont="1" applyBorder="1" applyAlignment="1">
      <alignment vertical="center"/>
    </xf>
    <xf numFmtId="3" fontId="65" fillId="0" borderId="10" xfId="0" applyNumberFormat="1" applyFont="1" applyBorder="1" applyAlignment="1">
      <alignment vertical="center"/>
    </xf>
    <xf numFmtId="3" fontId="63" fillId="0" borderId="10" xfId="0" applyNumberFormat="1" applyFont="1" applyBorder="1" applyAlignment="1">
      <alignment horizontal="center" vertical="center"/>
    </xf>
    <xf numFmtId="165" fontId="63" fillId="0" borderId="10" xfId="42" applyNumberFormat="1" applyFont="1" applyFill="1" applyBorder="1" applyAlignment="1">
      <alignment vertical="center"/>
    </xf>
    <xf numFmtId="0" fontId="65" fillId="44" borderId="10" xfId="0" applyFont="1" applyFill="1" applyBorder="1" applyAlignment="1">
      <alignment vertical="center"/>
    </xf>
    <xf numFmtId="3" fontId="65" fillId="44" borderId="10" xfId="0" applyNumberFormat="1" applyFont="1" applyFill="1" applyBorder="1" applyAlignment="1">
      <alignment vertical="center"/>
    </xf>
    <xf numFmtId="3" fontId="65" fillId="44" borderId="10" xfId="42" applyNumberFormat="1" applyFont="1" applyFill="1" applyBorder="1" applyAlignment="1">
      <alignment vertical="center"/>
    </xf>
    <xf numFmtId="0" fontId="65" fillId="41" borderId="10" xfId="0" applyFont="1" applyFill="1" applyBorder="1" applyAlignment="1">
      <alignment horizontal="center" vertical="center" wrapText="1"/>
    </xf>
    <xf numFmtId="0" fontId="65" fillId="61" borderId="10" xfId="0" applyFont="1" applyFill="1" applyBorder="1" applyAlignment="1">
      <alignment horizontal="center" vertical="center" wrapText="1"/>
    </xf>
    <xf numFmtId="0" fontId="70" fillId="43" borderId="10" xfId="0" applyFont="1" applyFill="1" applyBorder="1" applyAlignment="1">
      <alignment horizontal="center" vertical="center" wrapText="1"/>
    </xf>
    <xf numFmtId="0" fontId="30" fillId="58" borderId="0" xfId="0" applyFont="1" applyFill="1" applyAlignment="1">
      <alignment horizontal="center" vertical="center" wrapText="1"/>
    </xf>
    <xf numFmtId="0" fontId="30" fillId="0" borderId="0" xfId="0" applyFont="1" applyAlignment="1">
      <alignment horizontal="center" vertical="center"/>
    </xf>
    <xf numFmtId="0" fontId="0" fillId="33" borderId="0" xfId="0" applyFill="1" applyAlignment="1">
      <alignment wrapText="1"/>
    </xf>
    <xf numFmtId="0" fontId="30" fillId="58" borderId="0" xfId="0" applyFont="1" applyFill="1" applyAlignment="1">
      <alignment horizontal="center" vertical="center"/>
    </xf>
    <xf numFmtId="0" fontId="30" fillId="58" borderId="0" xfId="0" applyFont="1" applyFill="1"/>
    <xf numFmtId="0" fontId="30" fillId="58" borderId="0" xfId="0" applyFont="1" applyFill="1" applyAlignment="1">
      <alignment wrapText="1"/>
    </xf>
    <xf numFmtId="165" fontId="30" fillId="58" borderId="0" xfId="42" applyNumberFormat="1" applyFont="1" applyFill="1"/>
    <xf numFmtId="0" fontId="0" fillId="40" borderId="0" xfId="0" applyFill="1" applyAlignment="1">
      <alignment wrapText="1"/>
    </xf>
    <xf numFmtId="0" fontId="34" fillId="70" borderId="0" xfId="0" applyFont="1" applyFill="1" applyAlignment="1">
      <alignment horizontal="center" vertical="center"/>
    </xf>
    <xf numFmtId="0" fontId="20" fillId="40" borderId="0" xfId="0" applyFont="1" applyFill="1" applyAlignment="1">
      <alignment wrapText="1"/>
    </xf>
    <xf numFmtId="165" fontId="20" fillId="0" borderId="0" xfId="42" applyNumberFormat="1" applyFont="1"/>
    <xf numFmtId="0" fontId="0" fillId="63" borderId="0" xfId="0" applyFill="1" applyAlignment="1">
      <alignment wrapText="1"/>
    </xf>
    <xf numFmtId="0" fontId="0" fillId="57" borderId="0" xfId="0" applyFill="1" applyAlignment="1">
      <alignment wrapText="1"/>
    </xf>
    <xf numFmtId="0" fontId="30" fillId="72" borderId="0" xfId="0" applyFont="1" applyFill="1" applyAlignment="1">
      <alignment horizontal="center" vertical="center"/>
    </xf>
    <xf numFmtId="0" fontId="30" fillId="72" borderId="0" xfId="0" applyFont="1" applyFill="1" applyAlignment="1">
      <alignment wrapText="1"/>
    </xf>
    <xf numFmtId="165" fontId="30" fillId="72" borderId="0" xfId="42" applyNumberFormat="1" applyFont="1" applyFill="1"/>
    <xf numFmtId="0" fontId="30" fillId="73" borderId="0" xfId="0" applyFont="1" applyFill="1" applyAlignment="1">
      <alignment horizontal="center" vertical="center"/>
    </xf>
    <xf numFmtId="0" fontId="0" fillId="73" borderId="0" xfId="0" applyFill="1" applyAlignment="1">
      <alignment wrapText="1"/>
    </xf>
    <xf numFmtId="165" fontId="0" fillId="73" borderId="0" xfId="42" applyNumberFormat="1" applyFont="1" applyFill="1"/>
    <xf numFmtId="0" fontId="30" fillId="74" borderId="0" xfId="0" applyFont="1" applyFill="1" applyAlignment="1">
      <alignment horizontal="center" vertical="center"/>
    </xf>
    <xf numFmtId="0" fontId="0" fillId="74" borderId="0" xfId="0" applyFill="1" applyAlignment="1">
      <alignment wrapText="1"/>
    </xf>
    <xf numFmtId="0" fontId="0" fillId="74" borderId="0" xfId="0" applyFill="1"/>
    <xf numFmtId="0" fontId="0" fillId="0" borderId="0" xfId="0" applyAlignment="1">
      <alignment wrapText="1"/>
    </xf>
    <xf numFmtId="165" fontId="58" fillId="0" borderId="0" xfId="42" applyNumberFormat="1" applyFont="1" applyAlignment="1">
      <alignment horizontal="center" vertical="center"/>
    </xf>
    <xf numFmtId="165" fontId="51" fillId="0" borderId="0" xfId="42" applyNumberFormat="1" applyFont="1" applyAlignment="1">
      <alignment wrapText="1"/>
    </xf>
    <xf numFmtId="173" fontId="0" fillId="0" borderId="0" xfId="42" applyNumberFormat="1" applyFont="1"/>
    <xf numFmtId="0" fontId="30" fillId="0" borderId="0" xfId="0" applyFont="1" applyFill="1"/>
    <xf numFmtId="165" fontId="30" fillId="58" borderId="0" xfId="42" applyNumberFormat="1" applyFont="1" applyFill="1" applyAlignment="1">
      <alignment horizontal="center" vertical="center" wrapText="1"/>
    </xf>
    <xf numFmtId="3" fontId="33" fillId="68" borderId="0" xfId="45" applyNumberFormat="1" applyFill="1" applyAlignment="1">
      <alignment horizontal="right" vertical="top"/>
    </xf>
    <xf numFmtId="3" fontId="0" fillId="0" borderId="0" xfId="0" applyNumberFormat="1" applyAlignment="1">
      <alignment horizontal="right" vertical="top"/>
    </xf>
    <xf numFmtId="0" fontId="33" fillId="33" borderId="0" xfId="0" applyFont="1" applyFill="1" applyAlignment="1">
      <alignment vertical="top"/>
    </xf>
    <xf numFmtId="0" fontId="30" fillId="72" borderId="0" xfId="0" applyFont="1" applyFill="1"/>
    <xf numFmtId="0" fontId="0" fillId="73" borderId="0" xfId="0" applyFill="1"/>
    <xf numFmtId="0" fontId="0" fillId="36" borderId="0" xfId="0" applyFill="1"/>
    <xf numFmtId="165" fontId="0" fillId="36" borderId="0" xfId="0" applyNumberFormat="1" applyFill="1"/>
    <xf numFmtId="0" fontId="51" fillId="0" borderId="0" xfId="0" applyFont="1" applyAlignment="1">
      <alignment wrapText="1"/>
    </xf>
    <xf numFmtId="0" fontId="63" fillId="68" borderId="10" xfId="0" applyFont="1" applyFill="1" applyBorder="1" applyAlignment="1">
      <alignment vertical="center"/>
    </xf>
    <xf numFmtId="0" fontId="64" fillId="0" borderId="10" xfId="0" applyFont="1" applyFill="1" applyBorder="1" applyAlignment="1">
      <alignment vertical="center" wrapText="1"/>
    </xf>
    <xf numFmtId="0" fontId="65" fillId="68" borderId="10" xfId="0" applyFont="1" applyFill="1" applyBorder="1" applyAlignment="1">
      <alignment vertical="center" wrapText="1"/>
    </xf>
    <xf numFmtId="0" fontId="68" fillId="38" borderId="10" xfId="0" applyFont="1" applyFill="1" applyBorder="1" applyAlignment="1">
      <alignment vertical="center"/>
    </xf>
    <xf numFmtId="0" fontId="70" fillId="68" borderId="10" xfId="0" applyFont="1" applyFill="1" applyBorder="1" applyAlignment="1">
      <alignment vertical="center" wrapText="1"/>
    </xf>
    <xf numFmtId="0" fontId="70" fillId="68" borderId="10" xfId="0" applyFont="1" applyFill="1" applyBorder="1" applyAlignment="1">
      <alignment horizontal="center" vertical="center"/>
    </xf>
    <xf numFmtId="3" fontId="65" fillId="68" borderId="10" xfId="42" applyNumberFormat="1" applyFont="1" applyFill="1" applyBorder="1" applyAlignment="1">
      <alignment vertical="center"/>
    </xf>
    <xf numFmtId="165" fontId="51" fillId="36" borderId="0" xfId="43" applyNumberFormat="1" applyFont="1" applyFill="1" applyAlignment="1">
      <alignment vertical="center"/>
    </xf>
    <xf numFmtId="0" fontId="51" fillId="36" borderId="0" xfId="0" applyFont="1" applyFill="1"/>
    <xf numFmtId="165" fontId="51" fillId="36" borderId="0" xfId="0" applyNumberFormat="1" applyFont="1" applyFill="1"/>
    <xf numFmtId="3" fontId="51" fillId="36" borderId="0" xfId="0" applyNumberFormat="1" applyFont="1" applyFill="1"/>
    <xf numFmtId="0" fontId="63" fillId="68" borderId="0" xfId="0" applyFont="1" applyFill="1" applyBorder="1"/>
    <xf numFmtId="3" fontId="63" fillId="68" borderId="0" xfId="0" applyNumberFormat="1" applyFont="1" applyFill="1" applyBorder="1"/>
    <xf numFmtId="0" fontId="63" fillId="68" borderId="10" xfId="0" applyFont="1" applyFill="1" applyBorder="1" applyAlignment="1">
      <alignment horizontal="center" vertical="center" wrapText="1"/>
    </xf>
    <xf numFmtId="0" fontId="20" fillId="57" borderId="0" xfId="0" applyFont="1" applyFill="1" applyAlignment="1">
      <alignment wrapText="1"/>
    </xf>
    <xf numFmtId="0" fontId="90" fillId="0" borderId="0" xfId="0" applyFont="1"/>
    <xf numFmtId="0" fontId="25" fillId="36" borderId="0" xfId="0" applyFont="1" applyFill="1" applyAlignment="1">
      <alignment horizontal="center" vertical="center" wrapText="1"/>
    </xf>
    <xf numFmtId="165" fontId="0" fillId="0" borderId="0" xfId="42" applyNumberFormat="1" applyFont="1" applyFill="1"/>
    <xf numFmtId="0" fontId="0" fillId="0" borderId="0" xfId="0" applyFill="1" applyBorder="1"/>
    <xf numFmtId="165" fontId="26" fillId="0" borderId="0" xfId="42" applyNumberFormat="1" applyFont="1"/>
    <xf numFmtId="0" fontId="0" fillId="57" borderId="0" xfId="0" applyFill="1"/>
    <xf numFmtId="165" fontId="0" fillId="57" borderId="0" xfId="42" applyNumberFormat="1" applyFont="1" applyFill="1"/>
    <xf numFmtId="165" fontId="0" fillId="36" borderId="0" xfId="42" applyNumberFormat="1" applyFont="1" applyFill="1"/>
    <xf numFmtId="165" fontId="0" fillId="39" borderId="0" xfId="42" applyNumberFormat="1" applyFont="1" applyFill="1"/>
    <xf numFmtId="165" fontId="27" fillId="0" borderId="0" xfId="42" applyNumberFormat="1" applyFont="1" applyFill="1"/>
    <xf numFmtId="165" fontId="27" fillId="57" borderId="0" xfId="42" applyNumberFormat="1" applyFont="1" applyFill="1"/>
    <xf numFmtId="165" fontId="26" fillId="57" borderId="0" xfId="42" applyNumberFormat="1" applyFont="1" applyFill="1"/>
    <xf numFmtId="0" fontId="92" fillId="0" borderId="0" xfId="0" applyFont="1"/>
    <xf numFmtId="0" fontId="33" fillId="0" borderId="0" xfId="49" applyAlignment="1">
      <alignment vertical="top"/>
    </xf>
    <xf numFmtId="0" fontId="48" fillId="0" borderId="0" xfId="49" applyFont="1" applyAlignment="1">
      <alignment vertical="top"/>
    </xf>
    <xf numFmtId="0" fontId="33" fillId="0" borderId="0" xfId="49" applyAlignment="1">
      <alignment horizontal="center" vertical="center"/>
    </xf>
    <xf numFmtId="2" fontId="33" fillId="0" borderId="0" xfId="49" applyNumberFormat="1" applyAlignment="1">
      <alignment horizontal="center" vertical="center"/>
    </xf>
    <xf numFmtId="0" fontId="46" fillId="47" borderId="10" xfId="49" applyFont="1" applyFill="1" applyBorder="1" applyAlignment="1">
      <alignment horizontal="center" vertical="center"/>
    </xf>
    <xf numFmtId="2" fontId="46" fillId="47" borderId="10" xfId="49" applyNumberFormat="1" applyFont="1" applyFill="1" applyBorder="1" applyAlignment="1">
      <alignment horizontal="center" vertical="center"/>
    </xf>
    <xf numFmtId="2" fontId="46" fillId="55" borderId="10" xfId="49" applyNumberFormat="1" applyFont="1" applyFill="1" applyBorder="1" applyAlignment="1">
      <alignment horizontal="center" vertical="center"/>
    </xf>
    <xf numFmtId="3" fontId="46" fillId="47" borderId="10" xfId="49" applyNumberFormat="1" applyFont="1" applyFill="1" applyBorder="1" applyAlignment="1">
      <alignment horizontal="center" vertical="center" wrapText="1"/>
    </xf>
    <xf numFmtId="0" fontId="45" fillId="0" borderId="10" xfId="49" applyFont="1" applyBorder="1" applyAlignment="1">
      <alignment horizontal="center" vertical="center"/>
    </xf>
    <xf numFmtId="0" fontId="46" fillId="0" borderId="103" xfId="0" applyFont="1" applyBorder="1"/>
    <xf numFmtId="0" fontId="46" fillId="0" borderId="10" xfId="0" applyFont="1" applyBorder="1" applyAlignment="1">
      <alignment horizontal="center"/>
    </xf>
    <xf numFmtId="2" fontId="33" fillId="0" borderId="10" xfId="49" applyNumberFormat="1" applyBorder="1" applyAlignment="1">
      <alignment horizontal="center" vertical="center"/>
    </xf>
    <xf numFmtId="2" fontId="33" fillId="33" borderId="10" xfId="49" applyNumberFormat="1" applyFill="1" applyBorder="1" applyAlignment="1">
      <alignment horizontal="center" vertical="center"/>
    </xf>
    <xf numFmtId="3" fontId="33" fillId="0" borderId="10" xfId="49" applyNumberFormat="1" applyBorder="1" applyAlignment="1">
      <alignment vertical="top"/>
    </xf>
    <xf numFmtId="3" fontId="33" fillId="0" borderId="10" xfId="49" applyNumberFormat="1" applyFill="1" applyBorder="1" applyAlignment="1">
      <alignment vertical="top"/>
    </xf>
    <xf numFmtId="169" fontId="33" fillId="0" borderId="10" xfId="49" applyNumberFormat="1" applyBorder="1" applyAlignment="1">
      <alignment vertical="top"/>
    </xf>
    <xf numFmtId="0" fontId="33" fillId="0" borderId="10" xfId="49" applyFont="1" applyBorder="1" applyAlignment="1">
      <alignment vertical="top"/>
    </xf>
    <xf numFmtId="0" fontId="33" fillId="0" borderId="10" xfId="49" applyBorder="1" applyAlignment="1">
      <alignment vertical="top"/>
    </xf>
    <xf numFmtId="0" fontId="46" fillId="0" borderId="10" xfId="49" applyFont="1" applyBorder="1" applyAlignment="1">
      <alignment vertical="top"/>
    </xf>
    <xf numFmtId="0" fontId="46" fillId="0" borderId="10" xfId="49" applyFont="1" applyBorder="1" applyAlignment="1">
      <alignment horizontal="center" vertical="center"/>
    </xf>
    <xf numFmtId="0" fontId="46" fillId="36" borderId="10" xfId="49" applyFont="1" applyFill="1" applyBorder="1" applyAlignment="1">
      <alignment vertical="top"/>
    </xf>
    <xf numFmtId="0" fontId="46" fillId="36" borderId="10" xfId="49" applyFont="1" applyFill="1" applyBorder="1" applyAlignment="1">
      <alignment horizontal="center" vertical="center"/>
    </xf>
    <xf numFmtId="2" fontId="46" fillId="36" borderId="10" xfId="49" applyNumberFormat="1" applyFont="1" applyFill="1" applyBorder="1" applyAlignment="1">
      <alignment horizontal="center" vertical="center"/>
    </xf>
    <xf numFmtId="3" fontId="45" fillId="36" borderId="10" xfId="49" applyNumberFormat="1" applyFont="1" applyFill="1" applyBorder="1" applyAlignment="1">
      <alignment vertical="top"/>
    </xf>
    <xf numFmtId="169" fontId="45" fillId="0" borderId="10" xfId="49" applyNumberFormat="1" applyFont="1" applyBorder="1" applyAlignment="1">
      <alignment vertical="top"/>
    </xf>
    <xf numFmtId="0" fontId="33" fillId="53" borderId="0" xfId="49" applyFill="1" applyAlignment="1">
      <alignment vertical="top"/>
    </xf>
    <xf numFmtId="2" fontId="46" fillId="53" borderId="10" xfId="49" applyNumberFormat="1" applyFont="1" applyFill="1" applyBorder="1" applyAlignment="1">
      <alignment horizontal="center" vertical="center"/>
    </xf>
    <xf numFmtId="0" fontId="33" fillId="53" borderId="10" xfId="49" applyFont="1" applyFill="1" applyBorder="1" applyAlignment="1">
      <alignment vertical="top"/>
    </xf>
    <xf numFmtId="0" fontId="33" fillId="53" borderId="10" xfId="49" applyFill="1" applyBorder="1" applyAlignment="1">
      <alignment vertical="top"/>
    </xf>
    <xf numFmtId="3" fontId="33" fillId="36" borderId="10" xfId="49" applyNumberFormat="1" applyFill="1" applyBorder="1" applyAlignment="1">
      <alignment vertical="top"/>
    </xf>
    <xf numFmtId="0" fontId="47" fillId="0" borderId="10" xfId="49" applyFont="1" applyBorder="1" applyAlignment="1">
      <alignment vertical="top"/>
    </xf>
    <xf numFmtId="2" fontId="47" fillId="53" borderId="10" xfId="49" applyNumberFormat="1" applyFont="1" applyFill="1" applyBorder="1" applyAlignment="1">
      <alignment horizontal="center" vertical="center"/>
    </xf>
    <xf numFmtId="0" fontId="46" fillId="0" borderId="0" xfId="0" applyFont="1" applyAlignment="1">
      <alignment horizontal="center"/>
    </xf>
    <xf numFmtId="169" fontId="33" fillId="0" borderId="10" xfId="49" applyNumberFormat="1" applyFont="1" applyBorder="1" applyAlignment="1">
      <alignment vertical="top"/>
    </xf>
    <xf numFmtId="0" fontId="46" fillId="53" borderId="10" xfId="49" applyFont="1" applyFill="1" applyBorder="1" applyAlignment="1">
      <alignment vertical="top"/>
    </xf>
    <xf numFmtId="0" fontId="46" fillId="54" borderId="10" xfId="49" applyFont="1" applyFill="1" applyBorder="1" applyAlignment="1">
      <alignment vertical="top"/>
    </xf>
    <xf numFmtId="0" fontId="46" fillId="54" borderId="10" xfId="49" applyFont="1" applyFill="1" applyBorder="1" applyAlignment="1">
      <alignment horizontal="center" vertical="center"/>
    </xf>
    <xf numFmtId="2" fontId="46" fillId="54" borderId="10" xfId="49" applyNumberFormat="1" applyFont="1" applyFill="1" applyBorder="1" applyAlignment="1">
      <alignment horizontal="center" vertical="center"/>
    </xf>
    <xf numFmtId="3" fontId="45" fillId="46" borderId="10" xfId="49" applyNumberFormat="1" applyFont="1" applyFill="1" applyBorder="1" applyAlignment="1">
      <alignment vertical="top"/>
    </xf>
    <xf numFmtId="0" fontId="45" fillId="0" borderId="0" xfId="49" applyFont="1" applyAlignment="1">
      <alignment vertical="top"/>
    </xf>
    <xf numFmtId="3" fontId="44" fillId="33" borderId="0" xfId="49" applyNumberFormat="1" applyFont="1" applyFill="1" applyAlignment="1">
      <alignment vertical="top"/>
    </xf>
    <xf numFmtId="0" fontId="33" fillId="0" borderId="0" xfId="49" applyFont="1" applyAlignment="1">
      <alignment vertical="top"/>
    </xf>
    <xf numFmtId="3" fontId="45" fillId="53" borderId="10" xfId="49" applyNumberFormat="1" applyFont="1" applyFill="1" applyBorder="1" applyAlignment="1">
      <alignment vertical="top"/>
    </xf>
    <xf numFmtId="0" fontId="44" fillId="0" borderId="0" xfId="49" applyFont="1" applyAlignment="1">
      <alignment vertical="top"/>
    </xf>
    <xf numFmtId="0" fontId="44" fillId="0" borderId="0" xfId="49" applyFont="1" applyAlignment="1">
      <alignment horizontal="center" vertical="center"/>
    </xf>
    <xf numFmtId="2" fontId="44" fillId="0" borderId="0" xfId="49" applyNumberFormat="1" applyFont="1" applyAlignment="1">
      <alignment horizontal="center" vertical="center"/>
    </xf>
    <xf numFmtId="3" fontId="46" fillId="0" borderId="0" xfId="49" applyNumberFormat="1" applyFont="1" applyFill="1" applyBorder="1" applyAlignment="1">
      <alignment horizontal="center" vertical="center" wrapText="1"/>
    </xf>
    <xf numFmtId="0" fontId="25" fillId="38" borderId="10" xfId="0" applyFont="1" applyFill="1" applyBorder="1" applyAlignment="1">
      <alignment vertical="top" wrapText="1"/>
    </xf>
    <xf numFmtId="3" fontId="25" fillId="38" borderId="10" xfId="0" applyNumberFormat="1" applyFont="1" applyFill="1" applyBorder="1" applyAlignment="1">
      <alignment vertical="top" wrapText="1"/>
    </xf>
    <xf numFmtId="0" fontId="93" fillId="0" borderId="10" xfId="49" applyFont="1" applyBorder="1" applyAlignment="1">
      <alignment horizontal="center" vertical="center" wrapText="1"/>
    </xf>
    <xf numFmtId="0" fontId="45" fillId="38" borderId="10" xfId="0" applyFont="1" applyFill="1" applyBorder="1" applyAlignment="1">
      <alignment vertical="top" wrapText="1"/>
    </xf>
    <xf numFmtId="9" fontId="33" fillId="0" borderId="0" xfId="49" applyNumberFormat="1" applyFill="1" applyBorder="1" applyAlignment="1">
      <alignment vertical="top"/>
    </xf>
    <xf numFmtId="173" fontId="33" fillId="0" borderId="10" xfId="42" applyNumberFormat="1" applyFont="1" applyBorder="1" applyAlignment="1">
      <alignment vertical="top"/>
    </xf>
    <xf numFmtId="173" fontId="0" fillId="0" borderId="10" xfId="42" applyNumberFormat="1" applyFont="1" applyBorder="1" applyAlignment="1">
      <alignment vertical="top"/>
    </xf>
    <xf numFmtId="0" fontId="33" fillId="0" borderId="0" xfId="49" applyFill="1" applyBorder="1" applyAlignment="1">
      <alignment vertical="top"/>
    </xf>
    <xf numFmtId="173" fontId="0" fillId="0" borderId="20" xfId="42" applyNumberFormat="1" applyFont="1" applyBorder="1" applyAlignment="1">
      <alignment vertical="top"/>
    </xf>
    <xf numFmtId="0" fontId="25" fillId="38" borderId="0" xfId="0" applyFont="1" applyFill="1" applyAlignment="1">
      <alignment vertical="top"/>
    </xf>
    <xf numFmtId="173" fontId="45" fillId="38" borderId="10" xfId="42" applyNumberFormat="1" applyFont="1" applyFill="1" applyBorder="1" applyAlignment="1">
      <alignment vertical="top"/>
    </xf>
    <xf numFmtId="0" fontId="27" fillId="0" borderId="0" xfId="0" applyFont="1"/>
    <xf numFmtId="167" fontId="41" fillId="38" borderId="10" xfId="49" applyNumberFormat="1" applyFont="1" applyFill="1" applyBorder="1" applyAlignment="1">
      <alignment horizontal="left" vertical="center" wrapText="1"/>
    </xf>
    <xf numFmtId="0" fontId="39" fillId="38" borderId="10" xfId="0" applyFont="1" applyFill="1" applyBorder="1" applyAlignment="1">
      <alignment horizontal="center" vertical="center" wrapText="1"/>
    </xf>
    <xf numFmtId="167" fontId="41" fillId="38" borderId="10" xfId="49" applyNumberFormat="1" applyFont="1" applyFill="1" applyBorder="1" applyAlignment="1">
      <alignment horizontal="center" vertical="center" wrapText="1"/>
    </xf>
    <xf numFmtId="167" fontId="41" fillId="38" borderId="15" xfId="49" applyNumberFormat="1" applyFont="1" applyFill="1" applyBorder="1" applyAlignment="1">
      <alignment horizontal="center" vertical="center" wrapText="1"/>
    </xf>
    <xf numFmtId="165" fontId="40" fillId="0" borderId="10" xfId="42" applyNumberFormat="1" applyFont="1" applyBorder="1"/>
    <xf numFmtId="3" fontId="36" fillId="0" borderId="10" xfId="46" applyNumberFormat="1" applyFont="1" applyFill="1" applyBorder="1" applyAlignment="1">
      <alignment vertical="center" wrapText="1"/>
    </xf>
    <xf numFmtId="165" fontId="40" fillId="39" borderId="10" xfId="42" applyNumberFormat="1" applyFont="1" applyFill="1" applyBorder="1"/>
    <xf numFmtId="165" fontId="40" fillId="0" borderId="10" xfId="42" applyNumberFormat="1" applyFont="1" applyBorder="1" applyAlignment="1">
      <alignment vertical="center"/>
    </xf>
    <xf numFmtId="165" fontId="40" fillId="0" borderId="15" xfId="42" applyNumberFormat="1" applyFont="1" applyFill="1" applyBorder="1" applyAlignment="1">
      <alignment vertical="center"/>
    </xf>
    <xf numFmtId="3" fontId="36" fillId="0" borderId="13" xfId="46" applyNumberFormat="1" applyFont="1" applyFill="1" applyBorder="1" applyAlignment="1">
      <alignment vertical="center" wrapText="1"/>
    </xf>
    <xf numFmtId="165" fontId="36" fillId="0" borderId="10" xfId="42" applyNumberFormat="1" applyFont="1" applyBorder="1"/>
    <xf numFmtId="165" fontId="40" fillId="34" borderId="10" xfId="42" applyNumberFormat="1" applyFont="1" applyFill="1" applyBorder="1" applyAlignment="1">
      <alignment vertical="center"/>
    </xf>
    <xf numFmtId="165" fontId="40" fillId="39" borderId="10" xfId="42" applyNumberFormat="1" applyFont="1" applyFill="1" applyBorder="1" applyAlignment="1">
      <alignment vertical="center"/>
    </xf>
    <xf numFmtId="165" fontId="40" fillId="0" borderId="10" xfId="42" applyNumberFormat="1" applyFont="1" applyFill="1" applyBorder="1" applyAlignment="1">
      <alignment vertical="center"/>
    </xf>
    <xf numFmtId="165" fontId="40" fillId="37" borderId="10" xfId="42" applyNumberFormat="1" applyFont="1" applyFill="1" applyBorder="1" applyAlignment="1">
      <alignment vertical="center"/>
    </xf>
    <xf numFmtId="3" fontId="36" fillId="34" borderId="10" xfId="0" applyNumberFormat="1" applyFont="1" applyFill="1" applyBorder="1" applyAlignment="1">
      <alignment wrapText="1"/>
    </xf>
    <xf numFmtId="3" fontId="36" fillId="34" borderId="13" xfId="46" applyNumberFormat="1" applyFont="1" applyFill="1" applyBorder="1" applyAlignment="1">
      <alignment vertical="center" wrapText="1"/>
    </xf>
    <xf numFmtId="165" fontId="36" fillId="38" borderId="10" xfId="42" applyNumberFormat="1" applyFont="1" applyFill="1" applyBorder="1" applyAlignment="1">
      <alignment vertical="center"/>
    </xf>
    <xf numFmtId="165" fontId="36" fillId="49" borderId="10" xfId="42" applyNumberFormat="1" applyFont="1" applyFill="1" applyBorder="1" applyAlignment="1">
      <alignment vertical="center"/>
    </xf>
    <xf numFmtId="165" fontId="36" fillId="50" borderId="10" xfId="42" applyNumberFormat="1" applyFont="1" applyFill="1" applyBorder="1" applyAlignment="1">
      <alignment vertical="center"/>
    </xf>
    <xf numFmtId="165" fontId="36" fillId="0" borderId="10" xfId="42" applyNumberFormat="1" applyFont="1" applyFill="1" applyBorder="1" applyAlignment="1">
      <alignment vertical="center"/>
    </xf>
    <xf numFmtId="165" fontId="36" fillId="51" borderId="10" xfId="42" applyNumberFormat="1" applyFont="1" applyFill="1" applyBorder="1" applyAlignment="1">
      <alignment vertical="center"/>
    </xf>
    <xf numFmtId="165" fontId="36" fillId="0" borderId="10" xfId="42" applyNumberFormat="1" applyFont="1" applyBorder="1" applyAlignment="1">
      <alignment vertical="center"/>
    </xf>
    <xf numFmtId="165" fontId="36" fillId="52" borderId="10" xfId="42" applyNumberFormat="1" applyFont="1" applyFill="1" applyBorder="1" applyAlignment="1">
      <alignment vertical="center"/>
    </xf>
    <xf numFmtId="165" fontId="40" fillId="0" borderId="10" xfId="42" applyNumberFormat="1" applyFont="1" applyBorder="1" applyAlignment="1">
      <alignment vertical="center" wrapText="1"/>
    </xf>
    <xf numFmtId="165" fontId="43" fillId="0" borderId="10" xfId="42" applyNumberFormat="1" applyFont="1" applyBorder="1" applyAlignment="1">
      <alignment vertical="center"/>
    </xf>
    <xf numFmtId="165" fontId="36" fillId="0" borderId="10" xfId="42" applyNumberFormat="1" applyFont="1" applyBorder="1" applyAlignment="1">
      <alignment vertical="center" wrapText="1"/>
    </xf>
    <xf numFmtId="165" fontId="36" fillId="0" borderId="10" xfId="42" applyNumberFormat="1" applyFont="1" applyFill="1" applyBorder="1" applyAlignment="1">
      <alignment vertical="center" wrapText="1"/>
    </xf>
    <xf numFmtId="165" fontId="43" fillId="39" borderId="10" xfId="42" applyNumberFormat="1" applyFont="1" applyFill="1" applyBorder="1" applyAlignment="1">
      <alignment vertical="center"/>
    </xf>
    <xf numFmtId="165" fontId="0" fillId="0" borderId="0" xfId="0" applyNumberFormat="1" applyBorder="1"/>
    <xf numFmtId="168" fontId="41" fillId="39" borderId="0" xfId="48" applyNumberFormat="1" applyFont="1" applyFill="1" applyBorder="1" applyAlignment="1">
      <alignment vertical="center" wrapText="1"/>
    </xf>
    <xf numFmtId="0" fontId="22" fillId="39" borderId="0" xfId="0" applyFont="1" applyFill="1"/>
    <xf numFmtId="165" fontId="22" fillId="39" borderId="0" xfId="0" applyNumberFormat="1" applyFont="1" applyFill="1" applyBorder="1"/>
    <xf numFmtId="0" fontId="22" fillId="39" borderId="0" xfId="0" applyFont="1" applyFill="1" applyBorder="1"/>
    <xf numFmtId="165" fontId="39" fillId="39" borderId="0" xfId="0" applyNumberFormat="1" applyFont="1" applyFill="1" applyBorder="1"/>
    <xf numFmtId="165" fontId="36" fillId="36" borderId="16" xfId="42" applyNumberFormat="1" applyFont="1" applyFill="1" applyBorder="1" applyAlignment="1">
      <alignment vertical="center"/>
    </xf>
    <xf numFmtId="165" fontId="36" fillId="0" borderId="14" xfId="42" applyNumberFormat="1" applyFont="1" applyFill="1" applyBorder="1" applyAlignment="1">
      <alignment vertical="center"/>
    </xf>
    <xf numFmtId="165" fontId="36" fillId="0" borderId="14" xfId="42" applyNumberFormat="1" applyFont="1" applyBorder="1" applyAlignment="1">
      <alignment vertical="center"/>
    </xf>
    <xf numFmtId="165" fontId="36" fillId="52" borderId="14" xfId="42" applyNumberFormat="1" applyFont="1" applyFill="1" applyBorder="1" applyAlignment="1">
      <alignment vertical="center"/>
    </xf>
    <xf numFmtId="165" fontId="40" fillId="0" borderId="14" xfId="42" applyNumberFormat="1" applyFont="1" applyBorder="1" applyAlignment="1">
      <alignment vertical="center" wrapText="1"/>
    </xf>
    <xf numFmtId="165" fontId="40" fillId="0" borderId="14" xfId="42" applyNumberFormat="1" applyFont="1" applyBorder="1" applyAlignment="1">
      <alignment vertical="center"/>
    </xf>
    <xf numFmtId="10" fontId="0" fillId="33" borderId="0" xfId="50" applyNumberFormat="1" applyFont="1" applyFill="1"/>
    <xf numFmtId="0" fontId="25" fillId="33" borderId="10" xfId="0" applyFont="1" applyFill="1" applyBorder="1" applyAlignment="1">
      <alignment horizontal="center" vertical="center" wrapText="1"/>
    </xf>
    <xf numFmtId="0" fontId="25" fillId="0" borderId="0" xfId="0" applyFont="1"/>
    <xf numFmtId="0" fontId="25" fillId="48" borderId="0" xfId="0" applyFont="1" applyFill="1"/>
    <xf numFmtId="0" fontId="0" fillId="48" borderId="0" xfId="0" applyFill="1"/>
    <xf numFmtId="3" fontId="0" fillId="48" borderId="10" xfId="0" applyNumberFormat="1" applyFill="1" applyBorder="1"/>
    <xf numFmtId="3" fontId="0" fillId="48" borderId="10" xfId="0" applyNumberFormat="1" applyFill="1" applyBorder="1" applyAlignment="1">
      <alignment vertical="center" wrapText="1"/>
    </xf>
    <xf numFmtId="3" fontId="27" fillId="0" borderId="10" xfId="0" applyNumberFormat="1" applyFont="1" applyBorder="1"/>
    <xf numFmtId="0" fontId="25" fillId="0" borderId="103" xfId="0" applyFont="1" applyBorder="1"/>
    <xf numFmtId="10" fontId="0" fillId="0" borderId="0" xfId="50" applyNumberFormat="1" applyFont="1"/>
    <xf numFmtId="0" fontId="25" fillId="0" borderId="0" xfId="0" applyFont="1" applyFill="1"/>
    <xf numFmtId="3" fontId="0" fillId="0" borderId="10" xfId="0" applyNumberFormat="1" applyFill="1" applyBorder="1"/>
    <xf numFmtId="3" fontId="0" fillId="0" borderId="10" xfId="0" applyNumberFormat="1" applyFill="1" applyBorder="1" applyAlignment="1">
      <alignment vertical="center" wrapText="1"/>
    </xf>
    <xf numFmtId="0" fontId="0" fillId="35" borderId="0" xfId="0" applyFill="1"/>
    <xf numFmtId="0" fontId="0" fillId="0" borderId="0" xfId="0" applyAlignment="1">
      <alignment horizontal="center"/>
    </xf>
    <xf numFmtId="165" fontId="0" fillId="35" borderId="0" xfId="42" applyNumberFormat="1" applyFont="1" applyFill="1"/>
    <xf numFmtId="165" fontId="0" fillId="0" borderId="0" xfId="42" applyNumberFormat="1" applyFont="1" applyFill="1" applyBorder="1"/>
    <xf numFmtId="10" fontId="0" fillId="40" borderId="0" xfId="50" applyNumberFormat="1" applyFont="1" applyFill="1"/>
    <xf numFmtId="165" fontId="0" fillId="0" borderId="22" xfId="42" applyNumberFormat="1" applyFont="1" applyBorder="1"/>
    <xf numFmtId="3" fontId="0" fillId="0" borderId="23" xfId="0" applyNumberFormat="1" applyFill="1" applyBorder="1"/>
    <xf numFmtId="165" fontId="0" fillId="0" borderId="44" xfId="42" applyNumberFormat="1" applyFont="1" applyFill="1" applyBorder="1"/>
    <xf numFmtId="165" fontId="0" fillId="0" borderId="62" xfId="42" applyNumberFormat="1" applyFont="1" applyBorder="1"/>
    <xf numFmtId="165" fontId="0" fillId="0" borderId="63" xfId="42" applyNumberFormat="1" applyFont="1" applyFill="1" applyBorder="1"/>
    <xf numFmtId="0" fontId="0" fillId="0" borderId="62" xfId="0" applyBorder="1"/>
    <xf numFmtId="165" fontId="0" fillId="0" borderId="0" xfId="42" applyNumberFormat="1" applyFont="1" applyBorder="1"/>
    <xf numFmtId="165" fontId="0" fillId="0" borderId="63" xfId="42" applyNumberFormat="1" applyFont="1" applyBorder="1"/>
    <xf numFmtId="0" fontId="0" fillId="0" borderId="60" xfId="0" applyBorder="1"/>
    <xf numFmtId="165" fontId="0" fillId="0" borderId="78" xfId="42" applyNumberFormat="1" applyFont="1" applyBorder="1"/>
    <xf numFmtId="165" fontId="0" fillId="0" borderId="73" xfId="42" applyNumberFormat="1" applyFont="1" applyBorder="1"/>
    <xf numFmtId="0" fontId="30" fillId="35" borderId="0" xfId="0" applyFont="1" applyFill="1" applyAlignment="1">
      <alignment horizontal="center" vertical="center" wrapText="1"/>
    </xf>
    <xf numFmtId="0" fontId="30" fillId="39" borderId="0" xfId="0" applyFont="1" applyFill="1" applyAlignment="1">
      <alignment horizontal="center" vertical="center" wrapText="1"/>
    </xf>
    <xf numFmtId="3" fontId="30" fillId="35" borderId="0" xfId="0" applyNumberFormat="1" applyFont="1" applyFill="1" applyAlignment="1">
      <alignment horizontal="center" vertical="center" wrapText="1"/>
    </xf>
    <xf numFmtId="165" fontId="32" fillId="0" borderId="0" xfId="42" applyNumberFormat="1" applyFont="1"/>
    <xf numFmtId="0" fontId="30" fillId="39" borderId="0" xfId="0" applyFont="1" applyFill="1"/>
    <xf numFmtId="165" fontId="30" fillId="39" borderId="0" xfId="42" applyNumberFormat="1" applyFont="1" applyFill="1"/>
    <xf numFmtId="0" fontId="32" fillId="48" borderId="0" xfId="0" applyFont="1" applyFill="1"/>
    <xf numFmtId="165" fontId="32" fillId="0" borderId="0" xfId="0" applyNumberFormat="1" applyFont="1"/>
    <xf numFmtId="3" fontId="32" fillId="48" borderId="0" xfId="0" applyNumberFormat="1" applyFont="1" applyFill="1"/>
    <xf numFmtId="0" fontId="30" fillId="72" borderId="0" xfId="0" applyFont="1" applyFill="1" applyAlignment="1">
      <alignment horizontal="center" vertical="center" wrapText="1"/>
    </xf>
    <xf numFmtId="165" fontId="32" fillId="0" borderId="0" xfId="42" applyNumberFormat="1" applyFont="1" applyAlignment="1">
      <alignment vertical="center" wrapText="1"/>
    </xf>
    <xf numFmtId="165" fontId="2" fillId="0" borderId="0" xfId="53" applyNumberFormat="1" applyFont="1" applyFill="1" applyBorder="1"/>
    <xf numFmtId="165" fontId="2" fillId="0" borderId="0" xfId="53" applyNumberFormat="1" applyFont="1" applyFill="1" applyBorder="1" applyAlignment="1">
      <alignment horizontal="left" vertical="center"/>
    </xf>
    <xf numFmtId="164" fontId="2" fillId="0" borderId="0" xfId="53" applyFont="1" applyFill="1" applyBorder="1"/>
    <xf numFmtId="164" fontId="2" fillId="0" borderId="0" xfId="53" applyFont="1" applyFill="1" applyBorder="1" applyAlignment="1">
      <alignment horizontal="left" vertical="center"/>
    </xf>
    <xf numFmtId="164" fontId="81" fillId="46" borderId="0" xfId="53" applyFont="1" applyFill="1" applyBorder="1"/>
    <xf numFmtId="165" fontId="2" fillId="64" borderId="0" xfId="53" applyNumberFormat="1" applyFont="1" applyFill="1" applyBorder="1"/>
    <xf numFmtId="0" fontId="24" fillId="38" borderId="10" xfId="0" applyFont="1" applyFill="1" applyBorder="1" applyAlignment="1">
      <alignment horizontal="center" vertical="center"/>
    </xf>
    <xf numFmtId="0" fontId="24" fillId="38" borderId="13" xfId="0" applyFont="1" applyFill="1" applyBorder="1" applyAlignment="1">
      <alignment horizontal="center" vertical="center" wrapText="1"/>
    </xf>
    <xf numFmtId="0" fontId="25" fillId="0" borderId="10" xfId="0" applyFont="1" applyBorder="1" applyAlignment="1">
      <alignment horizontal="center" vertical="center"/>
    </xf>
    <xf numFmtId="170" fontId="0" fillId="0" borderId="13" xfId="0" applyNumberFormat="1" applyBorder="1"/>
    <xf numFmtId="0" fontId="25" fillId="0" borderId="0" xfId="0" applyFont="1" applyBorder="1" applyAlignment="1">
      <alignment horizontal="center" vertical="center"/>
    </xf>
    <xf numFmtId="170" fontId="0" fillId="0" borderId="0" xfId="0" applyNumberFormat="1" applyBorder="1"/>
    <xf numFmtId="0" fontId="25" fillId="0" borderId="10" xfId="0" applyFont="1" applyBorder="1" applyAlignment="1">
      <alignment horizontal="center"/>
    </xf>
    <xf numFmtId="0" fontId="0" fillId="0" borderId="15" xfId="0" applyFill="1" applyBorder="1"/>
    <xf numFmtId="0" fontId="25" fillId="0" borderId="0" xfId="0" applyFont="1" applyFill="1" applyBorder="1"/>
    <xf numFmtId="174" fontId="0" fillId="0" borderId="10" xfId="0" applyNumberFormat="1" applyBorder="1"/>
    <xf numFmtId="174" fontId="25" fillId="0" borderId="10" xfId="0" applyNumberFormat="1" applyFont="1" applyBorder="1"/>
    <xf numFmtId="0" fontId="25" fillId="0" borderId="0" xfId="0" applyFont="1" applyAlignment="1">
      <alignment wrapText="1"/>
    </xf>
    <xf numFmtId="170" fontId="25" fillId="0" borderId="0" xfId="0" applyNumberFormat="1" applyFont="1"/>
    <xf numFmtId="0" fontId="2" fillId="0" borderId="0" xfId="62"/>
    <xf numFmtId="0" fontId="2" fillId="35" borderId="27" xfId="62" applyFill="1" applyBorder="1"/>
    <xf numFmtId="0" fontId="2" fillId="35" borderId="28" xfId="62" applyFill="1" applyBorder="1" applyAlignment="1">
      <alignment wrapText="1"/>
    </xf>
    <xf numFmtId="0" fontId="2" fillId="35" borderId="28" xfId="62" applyFill="1" applyBorder="1"/>
    <xf numFmtId="0" fontId="2" fillId="35" borderId="29" xfId="62" applyFill="1" applyBorder="1"/>
    <xf numFmtId="0" fontId="2" fillId="0" borderId="30" xfId="62" applyBorder="1"/>
    <xf numFmtId="3" fontId="2" fillId="0" borderId="10" xfId="62" applyNumberFormat="1" applyBorder="1"/>
    <xf numFmtId="0" fontId="2" fillId="0" borderId="10" xfId="62" applyBorder="1"/>
    <xf numFmtId="0" fontId="2" fillId="0" borderId="31" xfId="62" applyBorder="1"/>
    <xf numFmtId="3" fontId="2" fillId="38" borderId="30" xfId="62" applyNumberFormat="1" applyFill="1" applyBorder="1"/>
    <xf numFmtId="3" fontId="2" fillId="38" borderId="10" xfId="62" applyNumberFormat="1" applyFill="1" applyBorder="1"/>
    <xf numFmtId="3" fontId="2" fillId="0" borderId="31" xfId="62" applyNumberFormat="1" applyBorder="1"/>
    <xf numFmtId="0" fontId="2" fillId="0" borderId="30" xfId="62" applyBorder="1" applyAlignment="1">
      <alignment horizontal="center"/>
    </xf>
    <xf numFmtId="0" fontId="2" fillId="0" borderId="32" xfId="62" applyBorder="1"/>
    <xf numFmtId="3" fontId="2" fillId="0" borderId="33" xfId="62" applyNumberFormat="1" applyBorder="1"/>
    <xf numFmtId="0" fontId="2" fillId="0" borderId="33" xfId="62" applyBorder="1"/>
    <xf numFmtId="0" fontId="2" fillId="0" borderId="34" xfId="62" applyBorder="1"/>
    <xf numFmtId="0" fontId="2" fillId="0" borderId="58" xfId="62" applyBorder="1"/>
    <xf numFmtId="0" fontId="2" fillId="0" borderId="11" xfId="62" applyBorder="1"/>
    <xf numFmtId="0" fontId="2" fillId="0" borderId="59" xfId="62" applyBorder="1"/>
    <xf numFmtId="3" fontId="2" fillId="38" borderId="58" xfId="62" applyNumberFormat="1" applyFill="1" applyBorder="1"/>
    <xf numFmtId="3" fontId="2" fillId="0" borderId="11" xfId="62" applyNumberFormat="1" applyBorder="1"/>
    <xf numFmtId="3" fontId="2" fillId="38" borderId="11" xfId="62" applyNumberFormat="1" applyFill="1" applyBorder="1"/>
    <xf numFmtId="3" fontId="2" fillId="0" borderId="59" xfId="62" applyNumberFormat="1" applyBorder="1"/>
    <xf numFmtId="175" fontId="86" fillId="46" borderId="75" xfId="62" applyNumberFormat="1" applyFont="1" applyFill="1" applyBorder="1"/>
    <xf numFmtId="3" fontId="2" fillId="46" borderId="51" xfId="62" applyNumberFormat="1" applyFill="1" applyBorder="1"/>
    <xf numFmtId="3" fontId="2" fillId="62" borderId="52" xfId="62" applyNumberFormat="1" applyFill="1" applyBorder="1"/>
    <xf numFmtId="3" fontId="2" fillId="46" borderId="52" xfId="62" applyNumberFormat="1" applyFill="1" applyBorder="1"/>
    <xf numFmtId="3" fontId="2" fillId="62" borderId="53" xfId="62" applyNumberFormat="1" applyFill="1" applyBorder="1"/>
    <xf numFmtId="175" fontId="86" fillId="62" borderId="31" xfId="62" applyNumberFormat="1" applyFont="1" applyFill="1" applyBorder="1"/>
    <xf numFmtId="175" fontId="86" fillId="46" borderId="31" xfId="62" applyNumberFormat="1" applyFont="1" applyFill="1" applyBorder="1"/>
    <xf numFmtId="165" fontId="2" fillId="35" borderId="27" xfId="42" applyNumberFormat="1" applyFont="1" applyFill="1" applyBorder="1"/>
    <xf numFmtId="175" fontId="37" fillId="46" borderId="34" xfId="62" applyNumberFormat="1" applyFont="1" applyFill="1" applyBorder="1"/>
    <xf numFmtId="165" fontId="2" fillId="35" borderId="28" xfId="42" applyNumberFormat="1" applyFont="1" applyFill="1" applyBorder="1"/>
    <xf numFmtId="165" fontId="2" fillId="0" borderId="0" xfId="42" applyNumberFormat="1" applyFont="1"/>
    <xf numFmtId="3" fontId="26" fillId="0" borderId="0" xfId="62" applyNumberFormat="1" applyFont="1"/>
    <xf numFmtId="165" fontId="2" fillId="35" borderId="29" xfId="42" applyNumberFormat="1" applyFont="1" applyFill="1" applyBorder="1"/>
    <xf numFmtId="3" fontId="2" fillId="0" borderId="0" xfId="62" applyNumberFormat="1"/>
    <xf numFmtId="3" fontId="0" fillId="0" borderId="15" xfId="50" applyNumberFormat="1" applyFont="1" applyFill="1" applyBorder="1"/>
    <xf numFmtId="0" fontId="25" fillId="38" borderId="13" xfId="0" applyFont="1" applyFill="1" applyBorder="1" applyAlignment="1">
      <alignment horizontal="center" vertical="center" wrapText="1"/>
    </xf>
    <xf numFmtId="0" fontId="25" fillId="0" borderId="104" xfId="0" applyFont="1" applyFill="1" applyBorder="1" applyAlignment="1">
      <alignment horizontal="center" vertical="center" wrapText="1"/>
    </xf>
    <xf numFmtId="3" fontId="0" fillId="0" borderId="104" xfId="50" applyNumberFormat="1" applyFont="1" applyFill="1" applyBorder="1" applyAlignment="1">
      <alignment horizontal="center" vertical="center"/>
    </xf>
    <xf numFmtId="3" fontId="0" fillId="0" borderId="0" xfId="50" applyNumberFormat="1" applyFont="1" applyFill="1" applyBorder="1" applyAlignment="1">
      <alignment horizontal="center" vertical="center"/>
    </xf>
    <xf numFmtId="3" fontId="0" fillId="0" borderId="0" xfId="0" applyNumberFormat="1" applyFont="1" applyFill="1" applyBorder="1" applyAlignment="1">
      <alignment horizontal="center"/>
    </xf>
    <xf numFmtId="3" fontId="0" fillId="0" borderId="0" xfId="50" applyNumberFormat="1" applyFont="1" applyFill="1" applyBorder="1"/>
    <xf numFmtId="0" fontId="25" fillId="0" borderId="0" xfId="0" applyFont="1" applyFill="1" applyBorder="1" applyAlignment="1">
      <alignment vertical="center"/>
    </xf>
    <xf numFmtId="3" fontId="25" fillId="0" borderId="0" xfId="50" applyNumberFormat="1" applyFont="1" applyFill="1" applyBorder="1"/>
    <xf numFmtId="165" fontId="28" fillId="0" borderId="0" xfId="42" applyNumberFormat="1" applyFont="1"/>
    <xf numFmtId="3" fontId="28" fillId="0" borderId="0" xfId="0" applyNumberFormat="1" applyFont="1"/>
    <xf numFmtId="165" fontId="28" fillId="0" borderId="0" xfId="0" applyNumberFormat="1" applyFont="1"/>
    <xf numFmtId="0" fontId="96" fillId="0" borderId="51" xfId="0" applyFont="1" applyBorder="1" applyAlignment="1">
      <alignment horizontal="center" vertical="center" wrapText="1"/>
    </xf>
    <xf numFmtId="0" fontId="96" fillId="0" borderId="22" xfId="0" applyFont="1" applyBorder="1" applyAlignment="1">
      <alignment horizontal="center" vertical="center" wrapText="1"/>
    </xf>
    <xf numFmtId="0" fontId="96" fillId="0" borderId="52" xfId="0" applyFont="1" applyBorder="1" applyAlignment="1">
      <alignment horizontal="center" vertical="center"/>
    </xf>
    <xf numFmtId="0" fontId="96" fillId="0" borderId="52" xfId="0" applyFont="1" applyBorder="1" applyAlignment="1">
      <alignment horizontal="center" vertical="center" wrapText="1"/>
    </xf>
    <xf numFmtId="0" fontId="96" fillId="0" borderId="53" xfId="0" applyFont="1" applyBorder="1" applyAlignment="1">
      <alignment horizontal="center" vertical="center" wrapText="1"/>
    </xf>
    <xf numFmtId="0" fontId="96" fillId="0" borderId="24" xfId="0" applyFont="1" applyBorder="1" applyAlignment="1">
      <alignment horizontal="center" vertical="center" wrapText="1"/>
    </xf>
    <xf numFmtId="0" fontId="96" fillId="0" borderId="25" xfId="0" applyFont="1" applyFill="1" applyBorder="1" applyAlignment="1">
      <alignment horizontal="center" vertical="center" wrapText="1"/>
    </xf>
    <xf numFmtId="0" fontId="96" fillId="0" borderId="36" xfId="0" applyFont="1" applyBorder="1" applyAlignment="1">
      <alignment horizontal="center" vertical="center" wrapText="1"/>
    </xf>
    <xf numFmtId="0" fontId="96" fillId="0" borderId="52" xfId="0" applyFont="1" applyFill="1" applyBorder="1" applyAlignment="1">
      <alignment horizontal="center" vertical="center" wrapText="1"/>
    </xf>
    <xf numFmtId="0" fontId="96" fillId="51" borderId="52" xfId="0" applyFont="1" applyFill="1" applyBorder="1" applyAlignment="1">
      <alignment horizontal="center" vertical="center" wrapText="1"/>
    </xf>
    <xf numFmtId="0" fontId="57" fillId="38" borderId="78" xfId="0" applyFont="1" applyFill="1" applyBorder="1" applyAlignment="1">
      <alignment vertical="center" wrapText="1"/>
    </xf>
    <xf numFmtId="0" fontId="57" fillId="38" borderId="60" xfId="0" applyFont="1" applyFill="1" applyBorder="1" applyAlignment="1">
      <alignment vertical="center" wrapText="1"/>
    </xf>
    <xf numFmtId="0" fontId="57" fillId="38" borderId="73" xfId="0" applyFont="1" applyFill="1" applyBorder="1" applyAlignment="1">
      <alignment vertical="center" wrapText="1"/>
    </xf>
    <xf numFmtId="0" fontId="52" fillId="0" borderId="37" xfId="0" applyFont="1" applyBorder="1" applyAlignment="1">
      <alignment horizontal="center" vertical="center" wrapText="1"/>
    </xf>
    <xf numFmtId="0" fontId="52" fillId="0" borderId="105" xfId="0" applyFont="1" applyBorder="1" applyAlignment="1">
      <alignment horizontal="center" vertical="center" wrapText="1"/>
    </xf>
    <xf numFmtId="0" fontId="52" fillId="0" borderId="15" xfId="0" applyFont="1" applyBorder="1" applyAlignment="1">
      <alignment horizontal="center" vertical="center" wrapText="1"/>
    </xf>
    <xf numFmtId="0" fontId="52" fillId="0" borderId="104" xfId="0" applyFont="1" applyBorder="1" applyAlignment="1">
      <alignment horizontal="center" vertical="center" wrapText="1"/>
    </xf>
    <xf numFmtId="0" fontId="52" fillId="0" borderId="18" xfId="0" applyFont="1" applyBorder="1" applyAlignment="1">
      <alignment horizontal="center" vertical="center" wrapText="1"/>
    </xf>
    <xf numFmtId="0" fontId="52" fillId="0" borderId="63" xfId="0" applyFont="1" applyBorder="1" applyAlignment="1">
      <alignment horizontal="center" vertical="center"/>
    </xf>
    <xf numFmtId="0" fontId="52" fillId="0" borderId="102" xfId="0" applyFont="1" applyBorder="1" applyAlignment="1">
      <alignment vertical="center"/>
    </xf>
    <xf numFmtId="3" fontId="55" fillId="0" borderId="28" xfId="0" applyNumberFormat="1" applyFont="1" applyFill="1" applyBorder="1" applyAlignment="1">
      <alignment vertical="center"/>
    </xf>
    <xf numFmtId="0" fontId="52" fillId="0" borderId="19" xfId="0" applyFont="1" applyFill="1" applyBorder="1" applyAlignment="1">
      <alignment vertical="center"/>
    </xf>
    <xf numFmtId="3" fontId="55" fillId="0" borderId="10" xfId="0" applyNumberFormat="1" applyFont="1" applyFill="1" applyBorder="1" applyAlignment="1">
      <alignment vertical="center"/>
    </xf>
    <xf numFmtId="0" fontId="52" fillId="0" borderId="19" xfId="0" applyFont="1" applyBorder="1" applyAlignment="1">
      <alignment vertical="center"/>
    </xf>
    <xf numFmtId="0" fontId="52" fillId="0" borderId="84" xfId="0" applyFont="1" applyBorder="1" applyAlignment="1">
      <alignment vertical="center"/>
    </xf>
    <xf numFmtId="3" fontId="55" fillId="0" borderId="32" xfId="0" applyNumberFormat="1" applyFont="1" applyFill="1" applyBorder="1" applyAlignment="1">
      <alignment vertical="center"/>
    </xf>
    <xf numFmtId="9" fontId="55" fillId="0" borderId="33" xfId="50" applyFont="1" applyFill="1" applyBorder="1" applyAlignment="1">
      <alignment vertical="center"/>
    </xf>
    <xf numFmtId="3" fontId="31" fillId="0" borderId="33" xfId="0" applyNumberFormat="1" applyFont="1" applyFill="1" applyBorder="1" applyAlignment="1">
      <alignment vertical="center"/>
    </xf>
    <xf numFmtId="3" fontId="31" fillId="0" borderId="34" xfId="0" applyNumberFormat="1" applyFont="1" applyFill="1" applyBorder="1" applyAlignment="1">
      <alignment vertical="center"/>
    </xf>
    <xf numFmtId="3" fontId="55" fillId="0" borderId="48" xfId="0" applyNumberFormat="1" applyFont="1" applyFill="1" applyBorder="1" applyAlignment="1">
      <alignment vertical="center"/>
    </xf>
    <xf numFmtId="9" fontId="31" fillId="0" borderId="33" xfId="50" applyFont="1" applyBorder="1" applyAlignment="1">
      <alignment vertical="center"/>
    </xf>
    <xf numFmtId="9" fontId="55" fillId="0" borderId="11" xfId="50" applyFont="1" applyFill="1" applyBorder="1" applyAlignment="1">
      <alignment vertical="center"/>
    </xf>
    <xf numFmtId="0" fontId="52" fillId="0" borderId="72" xfId="0" applyFont="1" applyBorder="1" applyAlignment="1">
      <alignment vertical="center"/>
    </xf>
    <xf numFmtId="165" fontId="52" fillId="0" borderId="51" xfId="42" applyNumberFormat="1" applyFont="1" applyBorder="1" applyAlignment="1">
      <alignment horizontal="center" vertical="center" wrapText="1"/>
    </xf>
    <xf numFmtId="9" fontId="52" fillId="0" borderId="52" xfId="50" applyFont="1" applyBorder="1" applyAlignment="1">
      <alignment horizontal="right" vertical="center"/>
    </xf>
    <xf numFmtId="165" fontId="52" fillId="0" borderId="52" xfId="42" applyNumberFormat="1" applyFont="1" applyBorder="1" applyAlignment="1">
      <alignment horizontal="center" vertical="center" wrapText="1"/>
    </xf>
    <xf numFmtId="165" fontId="52" fillId="0" borderId="53" xfId="42" applyNumberFormat="1" applyFont="1" applyBorder="1" applyAlignment="1">
      <alignment horizontal="center" vertical="center" wrapText="1"/>
    </xf>
    <xf numFmtId="3" fontId="52" fillId="0" borderId="39" xfId="0" applyNumberFormat="1" applyFont="1" applyFill="1" applyBorder="1" applyAlignment="1">
      <alignment vertical="center"/>
    </xf>
    <xf numFmtId="9" fontId="55" fillId="0" borderId="38" xfId="50" applyFont="1" applyFill="1" applyBorder="1" applyAlignment="1">
      <alignment vertical="center"/>
    </xf>
    <xf numFmtId="9" fontId="52" fillId="0" borderId="38" xfId="50" applyFont="1" applyBorder="1" applyAlignment="1">
      <alignment vertical="center"/>
    </xf>
    <xf numFmtId="3" fontId="52" fillId="0" borderId="51" xfId="50" applyNumberFormat="1" applyFont="1" applyBorder="1" applyAlignment="1">
      <alignment vertical="center"/>
    </xf>
    <xf numFmtId="9" fontId="55" fillId="0" borderId="52" xfId="50" applyFont="1" applyFill="1" applyBorder="1" applyAlignment="1">
      <alignment vertical="center"/>
    </xf>
    <xf numFmtId="3" fontId="52" fillId="0" borderId="52" xfId="0" applyNumberFormat="1" applyFont="1" applyFill="1" applyBorder="1" applyAlignment="1">
      <alignment vertical="center"/>
    </xf>
    <xf numFmtId="3" fontId="31" fillId="0" borderId="52" xfId="0" applyNumberFormat="1" applyFont="1" applyBorder="1" applyAlignment="1">
      <alignment vertical="center"/>
    </xf>
    <xf numFmtId="0" fontId="57" fillId="38" borderId="23" xfId="0" applyFont="1" applyFill="1" applyBorder="1" applyAlignment="1">
      <alignment vertical="center" wrapText="1"/>
    </xf>
    <xf numFmtId="0" fontId="96" fillId="0" borderId="40" xfId="0" applyFont="1" applyBorder="1" applyAlignment="1">
      <alignment horizontal="center" vertical="center" wrapText="1"/>
    </xf>
    <xf numFmtId="0" fontId="96" fillId="0" borderId="54" xfId="0" applyFont="1" applyBorder="1" applyAlignment="1">
      <alignment horizontal="center" vertical="center" wrapText="1"/>
    </xf>
    <xf numFmtId="0" fontId="96" fillId="0" borderId="54" xfId="0" applyFont="1" applyFill="1" applyBorder="1" applyAlignment="1">
      <alignment horizontal="center" vertical="center" wrapText="1"/>
    </xf>
    <xf numFmtId="0" fontId="52" fillId="0" borderId="44" xfId="0" applyFont="1" applyBorder="1" applyAlignment="1">
      <alignment horizontal="center" vertical="center"/>
    </xf>
    <xf numFmtId="3" fontId="56" fillId="53" borderId="33" xfId="0" applyNumberFormat="1" applyFont="1" applyFill="1" applyBorder="1" applyAlignment="1">
      <alignment vertical="center"/>
    </xf>
    <xf numFmtId="165" fontId="52" fillId="0" borderId="51" xfId="42" applyNumberFormat="1" applyFont="1" applyBorder="1" applyAlignment="1">
      <alignment horizontal="right" vertical="center" wrapText="1"/>
    </xf>
    <xf numFmtId="165" fontId="52" fillId="0" borderId="52" xfId="42" applyNumberFormat="1" applyFont="1" applyBorder="1" applyAlignment="1">
      <alignment horizontal="right" vertical="center" wrapText="1"/>
    </xf>
    <xf numFmtId="9" fontId="31" fillId="0" borderId="52" xfId="50" applyFont="1" applyBorder="1" applyAlignment="1">
      <alignment horizontal="right" vertical="center"/>
    </xf>
    <xf numFmtId="165" fontId="52" fillId="0" borderId="53" xfId="42" applyNumberFormat="1" applyFont="1" applyBorder="1" applyAlignment="1">
      <alignment horizontal="right" vertical="center" wrapText="1"/>
    </xf>
    <xf numFmtId="3" fontId="52" fillId="0" borderId="37" xfId="50" applyNumberFormat="1" applyFont="1" applyBorder="1" applyAlignment="1">
      <alignment vertical="center"/>
    </xf>
    <xf numFmtId="3" fontId="52" fillId="0" borderId="38" xfId="0" applyNumberFormat="1" applyFont="1" applyFill="1" applyBorder="1" applyAlignment="1">
      <alignment vertical="center"/>
    </xf>
    <xf numFmtId="3" fontId="31" fillId="0" borderId="38" xfId="0" applyNumberFormat="1" applyFont="1" applyBorder="1" applyAlignment="1">
      <alignment vertical="center"/>
    </xf>
    <xf numFmtId="3" fontId="52" fillId="0" borderId="38" xfId="0" applyNumberFormat="1" applyFont="1" applyBorder="1" applyAlignment="1">
      <alignment vertical="center"/>
    </xf>
    <xf numFmtId="9" fontId="31" fillId="0" borderId="38" xfId="50" applyFont="1" applyBorder="1" applyAlignment="1">
      <alignment vertical="center"/>
    </xf>
    <xf numFmtId="0" fontId="55" fillId="0" borderId="0" xfId="0" applyFont="1" applyBorder="1" applyAlignment="1">
      <alignment vertical="center"/>
    </xf>
    <xf numFmtId="0" fontId="97" fillId="0" borderId="0" xfId="0" applyFont="1" applyBorder="1" applyAlignment="1">
      <alignment vertical="center"/>
    </xf>
    <xf numFmtId="0" fontId="63" fillId="48" borderId="10" xfId="0" applyFont="1" applyFill="1" applyBorder="1" applyAlignment="1">
      <alignment vertical="center"/>
    </xf>
    <xf numFmtId="0" fontId="63" fillId="48" borderId="10" xfId="0" applyFont="1" applyFill="1" applyBorder="1" applyAlignment="1">
      <alignment horizontal="center" vertical="center" wrapText="1"/>
    </xf>
    <xf numFmtId="0" fontId="32" fillId="33" borderId="0" xfId="0" applyFont="1" applyFill="1"/>
    <xf numFmtId="0" fontId="0" fillId="33" borderId="0" xfId="0" applyFill="1"/>
    <xf numFmtId="2" fontId="0" fillId="0" borderId="10" xfId="0" applyNumberFormat="1" applyBorder="1"/>
    <xf numFmtId="3" fontId="30" fillId="51" borderId="10" xfId="0" applyNumberFormat="1" applyFont="1" applyFill="1" applyBorder="1" applyAlignment="1">
      <alignment horizontal="center"/>
    </xf>
    <xf numFmtId="3" fontId="30" fillId="51" borderId="10" xfId="0" applyNumberFormat="1" applyFont="1" applyFill="1" applyBorder="1" applyAlignment="1">
      <alignment horizontal="center" vertical="center"/>
    </xf>
    <xf numFmtId="0" fontId="0" fillId="0" borderId="10" xfId="0" applyFill="1" applyBorder="1"/>
    <xf numFmtId="1" fontId="0" fillId="0" borderId="10" xfId="0" applyNumberFormat="1" applyFill="1" applyBorder="1"/>
    <xf numFmtId="3" fontId="0" fillId="0" borderId="0" xfId="0" applyNumberFormat="1" applyBorder="1" applyAlignment="1">
      <alignment vertical="center"/>
    </xf>
    <xf numFmtId="0" fontId="32" fillId="0" borderId="0" xfId="0" applyFont="1" applyAlignment="1">
      <alignment horizontal="left" wrapText="1"/>
    </xf>
    <xf numFmtId="3" fontId="70" fillId="0" borderId="10" xfId="42" applyNumberFormat="1" applyFont="1" applyFill="1" applyBorder="1" applyAlignment="1">
      <alignment vertical="center"/>
    </xf>
    <xf numFmtId="3" fontId="70" fillId="0" borderId="10" xfId="0" applyNumberFormat="1" applyFont="1" applyFill="1" applyBorder="1" applyAlignment="1">
      <alignment horizontal="center" vertical="center"/>
    </xf>
    <xf numFmtId="3" fontId="70" fillId="0" borderId="10" xfId="0" applyNumberFormat="1" applyFont="1" applyFill="1" applyBorder="1" applyAlignment="1">
      <alignment vertical="center"/>
    </xf>
    <xf numFmtId="0" fontId="68" fillId="0" borderId="0" xfId="0" applyFont="1" applyFill="1" applyBorder="1" applyAlignment="1">
      <alignment vertical="center"/>
    </xf>
    <xf numFmtId="3" fontId="0" fillId="33" borderId="10" xfId="0" applyNumberFormat="1" applyFill="1" applyBorder="1" applyAlignment="1">
      <alignment vertical="center" wrapText="1"/>
    </xf>
    <xf numFmtId="3" fontId="30" fillId="39" borderId="0" xfId="0" applyNumberFormat="1" applyFont="1" applyFill="1" applyAlignment="1">
      <alignment horizontal="center" vertical="center" wrapText="1"/>
    </xf>
    <xf numFmtId="0" fontId="32" fillId="39" borderId="0" xfId="0" applyFont="1" applyFill="1"/>
    <xf numFmtId="3" fontId="32" fillId="39" borderId="0" xfId="0" applyNumberFormat="1" applyFont="1" applyFill="1"/>
    <xf numFmtId="0" fontId="32" fillId="0" borderId="0" xfId="63" applyFont="1"/>
    <xf numFmtId="0" fontId="54" fillId="0" borderId="0" xfId="63" applyFont="1"/>
    <xf numFmtId="165" fontId="32" fillId="0" borderId="0" xfId="64" applyNumberFormat="1" applyFont="1"/>
    <xf numFmtId="0" fontId="30" fillId="0" borderId="0" xfId="63" applyFont="1"/>
    <xf numFmtId="165" fontId="32" fillId="0" borderId="0" xfId="64" applyNumberFormat="1" applyFont="1" applyAlignment="1">
      <alignment horizontal="right"/>
    </xf>
    <xf numFmtId="0" fontId="99" fillId="75" borderId="10" xfId="49" applyNumberFormat="1" applyFont="1" applyFill="1" applyBorder="1" applyAlignment="1">
      <alignment horizontal="center" vertical="center" wrapText="1"/>
    </xf>
    <xf numFmtId="9" fontId="99" fillId="75" borderId="10" xfId="49" applyNumberFormat="1" applyFont="1" applyFill="1" applyBorder="1" applyAlignment="1">
      <alignment horizontal="center" vertical="center" wrapText="1"/>
    </xf>
    <xf numFmtId="167" fontId="98" fillId="75" borderId="10" xfId="49" applyNumberFormat="1" applyFont="1" applyFill="1" applyBorder="1" applyAlignment="1">
      <alignment horizontal="center" vertical="center"/>
    </xf>
    <xf numFmtId="165" fontId="99" fillId="75" borderId="10" xfId="64" applyNumberFormat="1" applyFont="1" applyFill="1" applyBorder="1" applyAlignment="1">
      <alignment horizontal="center" vertical="center" wrapText="1"/>
    </xf>
    <xf numFmtId="0" fontId="32" fillId="0" borderId="10" xfId="63" applyFont="1" applyBorder="1" applyAlignment="1">
      <alignment vertical="center"/>
    </xf>
    <xf numFmtId="3" fontId="32" fillId="0" borderId="10" xfId="64" applyNumberFormat="1" applyFont="1" applyBorder="1" applyAlignment="1">
      <alignment vertical="center"/>
    </xf>
    <xf numFmtId="3" fontId="32" fillId="0" borderId="10" xfId="63" applyNumberFormat="1" applyFont="1" applyBorder="1" applyAlignment="1">
      <alignment vertical="center"/>
    </xf>
    <xf numFmtId="3" fontId="100" fillId="0" borderId="10" xfId="63" applyNumberFormat="1" applyFont="1" applyFill="1" applyBorder="1" applyAlignment="1">
      <alignment vertical="center"/>
    </xf>
    <xf numFmtId="165" fontId="32" fillId="0" borderId="0" xfId="64" applyNumberFormat="1" applyFont="1" applyAlignment="1">
      <alignment vertical="center"/>
    </xf>
    <xf numFmtId="0" fontId="99" fillId="75" borderId="104" xfId="49" applyNumberFormat="1" applyFont="1" applyFill="1" applyBorder="1" applyAlignment="1">
      <alignment horizontal="center" vertical="center" wrapText="1"/>
    </xf>
    <xf numFmtId="3" fontId="99" fillId="75" borderId="104" xfId="49" applyNumberFormat="1" applyFont="1" applyFill="1" applyBorder="1" applyAlignment="1">
      <alignment horizontal="right" vertical="center" wrapText="1"/>
    </xf>
    <xf numFmtId="165" fontId="30" fillId="0" borderId="0" xfId="64" applyNumberFormat="1" applyFont="1" applyFill="1" applyBorder="1" applyAlignment="1">
      <alignment vertical="center"/>
    </xf>
    <xf numFmtId="165" fontId="32" fillId="0" borderId="0" xfId="64" applyNumberFormat="1" applyFont="1" applyFill="1" applyBorder="1" applyAlignment="1">
      <alignment vertical="center"/>
    </xf>
    <xf numFmtId="165" fontId="32" fillId="0" borderId="0" xfId="64" applyNumberFormat="1" applyFont="1" applyBorder="1"/>
    <xf numFmtId="165" fontId="101" fillId="0" borderId="0" xfId="64" applyNumberFormat="1" applyFont="1" applyBorder="1" applyAlignment="1">
      <alignment vertical="top"/>
    </xf>
    <xf numFmtId="165" fontId="32" fillId="0" borderId="0" xfId="64" applyNumberFormat="1" applyFont="1" applyBorder="1" applyAlignment="1">
      <alignment vertical="top"/>
    </xf>
    <xf numFmtId="165" fontId="46" fillId="0" borderId="0" xfId="64" applyNumberFormat="1" applyFont="1" applyBorder="1" applyAlignment="1">
      <alignment vertical="top"/>
    </xf>
    <xf numFmtId="0" fontId="1" fillId="0" borderId="0" xfId="63" applyAlignment="1">
      <alignment vertical="top"/>
    </xf>
    <xf numFmtId="3" fontId="32" fillId="51" borderId="10" xfId="0" applyNumberFormat="1" applyFont="1" applyFill="1" applyBorder="1" applyAlignment="1">
      <alignment horizontal="center"/>
    </xf>
    <xf numFmtId="0" fontId="32" fillId="0" borderId="0" xfId="0" applyFont="1" applyAlignment="1">
      <alignment horizontal="left" wrapText="1"/>
    </xf>
    <xf numFmtId="165" fontId="32" fillId="0" borderId="0" xfId="42" applyNumberFormat="1" applyFont="1" applyFill="1"/>
    <xf numFmtId="0" fontId="30" fillId="38" borderId="10" xfId="0" applyFont="1" applyFill="1" applyBorder="1"/>
    <xf numFmtId="2" fontId="30" fillId="38" borderId="10" xfId="0" applyNumberFormat="1" applyFont="1" applyFill="1" applyBorder="1"/>
    <xf numFmtId="0" fontId="22" fillId="38" borderId="10" xfId="0" applyFont="1" applyFill="1" applyBorder="1"/>
    <xf numFmtId="2" fontId="22" fillId="38" borderId="10" xfId="0" applyNumberFormat="1" applyFont="1" applyFill="1" applyBorder="1"/>
    <xf numFmtId="0" fontId="32" fillId="0" borderId="10" xfId="0" applyFont="1" applyBorder="1"/>
    <xf numFmtId="2" fontId="32" fillId="0" borderId="10" xfId="0" applyNumberFormat="1" applyFont="1" applyBorder="1"/>
    <xf numFmtId="0" fontId="22" fillId="0" borderId="0" xfId="0" applyFont="1" applyBorder="1" applyAlignment="1">
      <alignment vertical="center"/>
    </xf>
    <xf numFmtId="0" fontId="22" fillId="0" borderId="0" xfId="0" applyFont="1" applyAlignment="1">
      <alignment horizontal="center" vertical="center"/>
    </xf>
    <xf numFmtId="0" fontId="22" fillId="38" borderId="10" xfId="0" applyFont="1" applyFill="1" applyBorder="1" applyAlignment="1">
      <alignment vertical="center"/>
    </xf>
    <xf numFmtId="0" fontId="0" fillId="0" borderId="10" xfId="0" applyBorder="1" applyAlignment="1">
      <alignment vertical="center"/>
    </xf>
    <xf numFmtId="0" fontId="22" fillId="0" borderId="10" xfId="0" applyFont="1" applyBorder="1" applyAlignment="1">
      <alignment vertical="center"/>
    </xf>
    <xf numFmtId="1" fontId="30" fillId="0" borderId="27" xfId="0" applyNumberFormat="1" applyFont="1" applyBorder="1" applyAlignment="1">
      <alignment horizontal="center" vertical="center" wrapText="1"/>
    </xf>
    <xf numFmtId="1" fontId="30" fillId="0" borderId="28" xfId="0" applyNumberFormat="1" applyFont="1" applyBorder="1" applyAlignment="1">
      <alignment horizontal="center" vertical="center" wrapText="1"/>
    </xf>
    <xf numFmtId="0" fontId="32" fillId="41" borderId="28" xfId="0" applyFont="1" applyFill="1" applyBorder="1" applyAlignment="1">
      <alignment horizontal="center" vertical="center" wrapText="1"/>
    </xf>
    <xf numFmtId="0" fontId="32" fillId="48" borderId="28" xfId="0" applyFont="1" applyFill="1" applyBorder="1" applyAlignment="1">
      <alignment horizontal="center" vertical="center" wrapText="1"/>
    </xf>
    <xf numFmtId="0" fontId="30" fillId="33" borderId="28" xfId="0" applyFont="1" applyFill="1" applyBorder="1" applyAlignment="1">
      <alignment horizontal="center" vertical="center" wrapText="1"/>
    </xf>
    <xf numFmtId="0" fontId="30" fillId="56" borderId="28" xfId="0" applyFont="1" applyFill="1" applyBorder="1" applyAlignment="1">
      <alignment horizontal="center" vertical="center" wrapText="1"/>
    </xf>
    <xf numFmtId="1" fontId="30" fillId="0" borderId="30" xfId="0" applyNumberFormat="1" applyFont="1" applyBorder="1" applyAlignment="1">
      <alignment horizontal="center"/>
    </xf>
    <xf numFmtId="1" fontId="30" fillId="38" borderId="30" xfId="0" applyNumberFormat="1" applyFont="1" applyFill="1" applyBorder="1" applyAlignment="1">
      <alignment horizontal="center"/>
    </xf>
    <xf numFmtId="1" fontId="30" fillId="0" borderId="30" xfId="0" applyNumberFormat="1" applyFont="1" applyFill="1" applyBorder="1"/>
    <xf numFmtId="1" fontId="32" fillId="0" borderId="30" xfId="0" applyNumberFormat="1" applyFont="1" applyBorder="1" applyAlignment="1">
      <alignment horizontal="center"/>
    </xf>
    <xf numFmtId="3" fontId="30" fillId="0" borderId="30" xfId="0" applyNumberFormat="1" applyFont="1" applyBorder="1" applyAlignment="1">
      <alignment horizontal="center"/>
    </xf>
    <xf numFmtId="3" fontId="59" fillId="38" borderId="31" xfId="0" applyNumberFormat="1" applyFont="1" applyFill="1" applyBorder="1" applyAlignment="1">
      <alignment horizontal="center"/>
    </xf>
    <xf numFmtId="0" fontId="0" fillId="0" borderId="30" xfId="0" applyBorder="1" applyAlignment="1">
      <alignment vertical="center"/>
    </xf>
    <xf numFmtId="0" fontId="30" fillId="0" borderId="0" xfId="0" applyFont="1" applyAlignment="1">
      <alignment vertical="center"/>
    </xf>
    <xf numFmtId="0" fontId="30" fillId="38" borderId="58" xfId="0" applyFont="1" applyFill="1" applyBorder="1" applyAlignment="1">
      <alignment horizontal="center" vertical="center"/>
    </xf>
    <xf numFmtId="0" fontId="30" fillId="38" borderId="11" xfId="0" applyFont="1" applyFill="1" applyBorder="1" applyAlignment="1">
      <alignment vertical="center"/>
    </xf>
    <xf numFmtId="0" fontId="30" fillId="38" borderId="58" xfId="0" applyFont="1" applyFill="1" applyBorder="1" applyAlignment="1">
      <alignment horizontal="left" vertical="center"/>
    </xf>
    <xf numFmtId="0" fontId="0" fillId="0" borderId="0" xfId="0" applyFont="1" applyFill="1" applyAlignment="1">
      <alignment vertical="center"/>
    </xf>
    <xf numFmtId="176" fontId="30" fillId="38" borderId="10" xfId="0" applyNumberFormat="1" applyFont="1" applyFill="1" applyBorder="1"/>
    <xf numFmtId="0" fontId="0" fillId="0" borderId="0" xfId="0" applyAlignment="1">
      <alignment horizontal="left"/>
    </xf>
    <xf numFmtId="0" fontId="0" fillId="0" borderId="0" xfId="0" applyNumberFormat="1"/>
    <xf numFmtId="10" fontId="0" fillId="0" borderId="0" xfId="0" applyNumberFormat="1"/>
    <xf numFmtId="0" fontId="25" fillId="47" borderId="103" xfId="0" applyFont="1" applyFill="1" applyBorder="1"/>
    <xf numFmtId="0" fontId="25" fillId="47" borderId="0" xfId="0" applyFont="1" applyFill="1" applyBorder="1"/>
    <xf numFmtId="0" fontId="25" fillId="47" borderId="74" xfId="0" applyFont="1" applyFill="1" applyBorder="1" applyAlignment="1">
      <alignment horizontal="left"/>
    </xf>
    <xf numFmtId="0" fontId="25" fillId="47" borderId="74" xfId="0" applyNumberFormat="1" applyFont="1" applyFill="1" applyBorder="1"/>
    <xf numFmtId="0" fontId="65" fillId="44" borderId="0" xfId="0" applyFont="1" applyFill="1" applyBorder="1" applyAlignment="1">
      <alignment vertical="center"/>
    </xf>
    <xf numFmtId="3" fontId="65" fillId="44" borderId="0" xfId="42" applyNumberFormat="1" applyFont="1" applyFill="1" applyBorder="1" applyAlignment="1">
      <alignment vertical="center"/>
    </xf>
    <xf numFmtId="0" fontId="35" fillId="0" borderId="0" xfId="0" applyFont="1" applyAlignment="1">
      <alignment vertical="center"/>
    </xf>
    <xf numFmtId="0" fontId="59" fillId="0" borderId="29" xfId="0" applyFont="1" applyBorder="1" applyAlignment="1">
      <alignment vertical="center" wrapText="1"/>
    </xf>
    <xf numFmtId="0" fontId="59" fillId="0" borderId="31" xfId="0" applyFont="1" applyBorder="1" applyAlignment="1">
      <alignment horizontal="center" vertical="center" wrapText="1"/>
    </xf>
    <xf numFmtId="0" fontId="59" fillId="0" borderId="84" xfId="0" applyFont="1" applyBorder="1" applyAlignment="1">
      <alignment vertical="center" wrapText="1"/>
    </xf>
    <xf numFmtId="0" fontId="60" fillId="0" borderId="48" xfId="0" applyFont="1" applyBorder="1" applyAlignment="1">
      <alignment horizontal="center"/>
    </xf>
    <xf numFmtId="0" fontId="60" fillId="0" borderId="33" xfId="0" applyFont="1" applyBorder="1" applyAlignment="1">
      <alignment horizontal="center"/>
    </xf>
    <xf numFmtId="0" fontId="60" fillId="0" borderId="61" xfId="0" applyFont="1" applyBorder="1" applyAlignment="1">
      <alignment horizontal="center"/>
    </xf>
    <xf numFmtId="0" fontId="60" fillId="0" borderId="32" xfId="0" applyFont="1" applyBorder="1" applyAlignment="1">
      <alignment horizontal="center"/>
    </xf>
    <xf numFmtId="0" fontId="60" fillId="0" borderId="34" xfId="0" applyFont="1" applyBorder="1" applyAlignment="1">
      <alignment horizontal="center"/>
    </xf>
    <xf numFmtId="0" fontId="60" fillId="0" borderId="82" xfId="0" applyFont="1" applyBorder="1" applyAlignment="1">
      <alignment horizontal="center"/>
    </xf>
    <xf numFmtId="0" fontId="60" fillId="38" borderId="12" xfId="0" applyFont="1" applyFill="1" applyBorder="1"/>
    <xf numFmtId="0" fontId="60" fillId="38" borderId="14" xfId="0" applyFont="1" applyFill="1" applyBorder="1"/>
    <xf numFmtId="0" fontId="60" fillId="38" borderId="46" xfId="0" applyFont="1" applyFill="1" applyBorder="1"/>
    <xf numFmtId="0" fontId="60" fillId="38" borderId="17" xfId="0" applyFont="1" applyFill="1" applyBorder="1"/>
    <xf numFmtId="0" fontId="60" fillId="38" borderId="64" xfId="0" applyFont="1" applyFill="1" applyBorder="1"/>
    <xf numFmtId="0" fontId="60" fillId="0" borderId="49" xfId="0" applyFont="1" applyBorder="1" applyAlignment="1">
      <alignment horizontal="right" vertical="center"/>
    </xf>
    <xf numFmtId="0" fontId="60" fillId="0" borderId="12" xfId="0" applyFont="1" applyBorder="1"/>
    <xf numFmtId="0" fontId="60" fillId="0" borderId="14" xfId="0" applyFont="1" applyBorder="1"/>
    <xf numFmtId="0" fontId="60" fillId="0" borderId="46" xfId="0" applyFont="1" applyBorder="1"/>
    <xf numFmtId="0" fontId="60" fillId="0" borderId="17" xfId="0" applyFont="1" applyBorder="1"/>
    <xf numFmtId="0" fontId="60" fillId="0" borderId="64" xfId="0" applyFont="1" applyBorder="1"/>
    <xf numFmtId="0" fontId="60" fillId="65" borderId="49" xfId="0" applyFont="1" applyFill="1" applyBorder="1" applyAlignment="1">
      <alignment horizontal="center" vertical="center"/>
    </xf>
    <xf numFmtId="0" fontId="60" fillId="65" borderId="12" xfId="0" applyFont="1" applyFill="1" applyBorder="1"/>
    <xf numFmtId="0" fontId="60" fillId="65" borderId="14" xfId="0" applyFont="1" applyFill="1" applyBorder="1"/>
    <xf numFmtId="0" fontId="60" fillId="65" borderId="46" xfId="0" applyFont="1" applyFill="1" applyBorder="1"/>
    <xf numFmtId="0" fontId="60" fillId="65" borderId="17" xfId="0" applyFont="1" applyFill="1" applyBorder="1"/>
    <xf numFmtId="0" fontId="60" fillId="65" borderId="64" xfId="0" applyFont="1" applyFill="1" applyBorder="1"/>
    <xf numFmtId="0" fontId="60" fillId="0" borderId="49" xfId="0" applyFont="1" applyBorder="1" applyAlignment="1">
      <alignment horizontal="left" vertical="center"/>
    </xf>
    <xf numFmtId="0" fontId="60" fillId="0" borderId="64" xfId="0" applyFont="1" applyFill="1" applyBorder="1"/>
    <xf numFmtId="0" fontId="60" fillId="38" borderId="20" xfId="0" applyFont="1" applyFill="1" applyBorder="1"/>
    <xf numFmtId="0" fontId="60" fillId="38" borderId="10" xfId="0" applyFont="1" applyFill="1" applyBorder="1"/>
    <xf numFmtId="0" fontId="60" fillId="38" borderId="31" xfId="0" applyFont="1" applyFill="1" applyBorder="1"/>
    <xf numFmtId="0" fontId="60" fillId="38" borderId="19" xfId="0" applyFont="1" applyFill="1" applyBorder="1"/>
    <xf numFmtId="0" fontId="60" fillId="38" borderId="65" xfId="0" applyFont="1" applyFill="1" applyBorder="1"/>
    <xf numFmtId="0" fontId="59" fillId="38" borderId="50" xfId="0" applyFont="1" applyFill="1" applyBorder="1" applyAlignment="1">
      <alignment vertical="center"/>
    </xf>
    <xf numFmtId="0" fontId="81" fillId="0" borderId="10" xfId="0" applyFont="1" applyBorder="1"/>
    <xf numFmtId="0" fontId="60" fillId="0" borderId="70" xfId="0" applyFont="1" applyBorder="1"/>
    <xf numFmtId="0" fontId="60" fillId="0" borderId="11" xfId="0" applyFont="1" applyBorder="1"/>
    <xf numFmtId="0" fontId="60" fillId="0" borderId="59" xfId="0" applyFont="1" applyBorder="1"/>
    <xf numFmtId="0" fontId="60" fillId="0" borderId="21" xfId="0" applyFont="1" applyBorder="1"/>
    <xf numFmtId="0" fontId="60" fillId="0" borderId="106" xfId="0" applyFont="1" applyBorder="1"/>
    <xf numFmtId="0" fontId="60" fillId="38" borderId="70" xfId="0" applyFont="1" applyFill="1" applyBorder="1"/>
    <xf numFmtId="0" fontId="60" fillId="38" borderId="11" xfId="0" applyFont="1" applyFill="1" applyBorder="1"/>
    <xf numFmtId="0" fontId="60" fillId="38" borderId="59" xfId="0" applyFont="1" applyFill="1" applyBorder="1"/>
    <xf numFmtId="0" fontId="60" fillId="38" borderId="21" xfId="0" applyFont="1" applyFill="1" applyBorder="1"/>
    <xf numFmtId="0" fontId="60" fillId="38" borderId="106" xfId="0" applyFont="1" applyFill="1" applyBorder="1"/>
    <xf numFmtId="0" fontId="59" fillId="0" borderId="55" xfId="0" applyFont="1" applyBorder="1" applyAlignment="1">
      <alignment vertical="center"/>
    </xf>
    <xf numFmtId="0" fontId="60" fillId="0" borderId="54" xfId="0" applyFont="1" applyBorder="1"/>
    <xf numFmtId="0" fontId="59" fillId="0" borderId="49" xfId="0" applyFont="1" applyBorder="1" applyAlignment="1">
      <alignment vertical="center"/>
    </xf>
    <xf numFmtId="0" fontId="59" fillId="0" borderId="57" xfId="0" applyFont="1" applyBorder="1" applyAlignment="1">
      <alignment vertical="center" wrapText="1"/>
    </xf>
    <xf numFmtId="0" fontId="60" fillId="0" borderId="52" xfId="0" applyFont="1" applyBorder="1"/>
    <xf numFmtId="0" fontId="60" fillId="0" borderId="53" xfId="0" applyFont="1" applyBorder="1"/>
    <xf numFmtId="0" fontId="60" fillId="0" borderId="41" xfId="0" applyFont="1" applyBorder="1"/>
    <xf numFmtId="0" fontId="60" fillId="0" borderId="107" xfId="0" applyFont="1" applyBorder="1"/>
    <xf numFmtId="0" fontId="52" fillId="38" borderId="43" xfId="0" applyFont="1" applyFill="1" applyBorder="1" applyAlignment="1">
      <alignment horizontal="center" vertical="center" wrapText="1"/>
    </xf>
    <xf numFmtId="0" fontId="102" fillId="38" borderId="58" xfId="0" applyFont="1" applyFill="1" applyBorder="1" applyAlignment="1">
      <alignment horizontal="center" vertical="center" wrapText="1"/>
    </xf>
    <xf numFmtId="0" fontId="102" fillId="38" borderId="21" xfId="0" applyFont="1" applyFill="1" applyBorder="1" applyAlignment="1">
      <alignment horizontal="center" vertical="center" wrapText="1"/>
    </xf>
    <xf numFmtId="0" fontId="102" fillId="38" borderId="108" xfId="0" applyFont="1" applyFill="1" applyBorder="1" applyAlignment="1">
      <alignment horizontal="center" vertical="center" wrapText="1"/>
    </xf>
    <xf numFmtId="0" fontId="102" fillId="38" borderId="57" xfId="0" applyFont="1" applyFill="1" applyBorder="1" applyAlignment="1">
      <alignment horizontal="center" vertical="center" wrapText="1"/>
    </xf>
    <xf numFmtId="0" fontId="55" fillId="0" borderId="28" xfId="0" applyFont="1" applyBorder="1" applyAlignment="1">
      <alignment horizontal="left" vertical="center"/>
    </xf>
    <xf numFmtId="3" fontId="31" fillId="0" borderId="14" xfId="0" applyNumberFormat="1" applyFont="1" applyBorder="1"/>
    <xf numFmtId="3" fontId="31" fillId="0" borderId="10" xfId="0" applyNumberFormat="1" applyFont="1" applyBorder="1"/>
    <xf numFmtId="0" fontId="55" fillId="0" borderId="10" xfId="0" applyFont="1" applyBorder="1" applyAlignment="1">
      <alignment horizontal="left" vertical="center"/>
    </xf>
    <xf numFmtId="3" fontId="31" fillId="0" borderId="13" xfId="0" applyNumberFormat="1" applyFont="1" applyBorder="1"/>
    <xf numFmtId="3" fontId="31" fillId="0" borderId="15" xfId="0" applyNumberFormat="1" applyFont="1" applyBorder="1"/>
    <xf numFmtId="3" fontId="31" fillId="0" borderId="10" xfId="0" applyNumberFormat="1" applyFont="1" applyFill="1" applyBorder="1"/>
    <xf numFmtId="3" fontId="31" fillId="0" borderId="13" xfId="0" applyNumberFormat="1" applyFont="1" applyFill="1" applyBorder="1"/>
    <xf numFmtId="0" fontId="55" fillId="0" borderId="30" xfId="0" applyFont="1" applyBorder="1" applyAlignment="1">
      <alignment horizontal="center" vertical="center"/>
    </xf>
    <xf numFmtId="0" fontId="55" fillId="0" borderId="10" xfId="0" applyFont="1" applyBorder="1" applyAlignment="1">
      <alignment horizontal="center" vertical="center"/>
    </xf>
    <xf numFmtId="0" fontId="31" fillId="0" borderId="10" xfId="0" applyFont="1" applyBorder="1"/>
    <xf numFmtId="0" fontId="31" fillId="0" borderId="13" xfId="0" applyFont="1" applyBorder="1"/>
    <xf numFmtId="0" fontId="52" fillId="65" borderId="15" xfId="0" applyFont="1" applyFill="1" applyBorder="1"/>
    <xf numFmtId="0" fontId="52" fillId="65" borderId="104" xfId="0" applyFont="1" applyFill="1" applyBorder="1"/>
    <xf numFmtId="0" fontId="55" fillId="0" borderId="27" xfId="0" applyFont="1" applyBorder="1" applyAlignment="1">
      <alignment horizontal="center" vertical="center"/>
    </xf>
    <xf numFmtId="0" fontId="55" fillId="0" borderId="28" xfId="0" applyFont="1" applyBorder="1" applyAlignment="1">
      <alignment horizontal="center" vertical="center"/>
    </xf>
    <xf numFmtId="0" fontId="31" fillId="0" borderId="28" xfId="0" applyFont="1" applyBorder="1"/>
    <xf numFmtId="0" fontId="31" fillId="0" borderId="75" xfId="0" applyFont="1" applyBorder="1"/>
    <xf numFmtId="0" fontId="31" fillId="0" borderId="33" xfId="0" applyFont="1" applyBorder="1" applyAlignment="1">
      <alignment horizontal="left" vertical="center"/>
    </xf>
    <xf numFmtId="0" fontId="31" fillId="0" borderId="33" xfId="0" applyFont="1" applyBorder="1"/>
    <xf numFmtId="0" fontId="31" fillId="0" borderId="34" xfId="0" applyFont="1" applyBorder="1"/>
    <xf numFmtId="0" fontId="52" fillId="65" borderId="52" xfId="0" applyFont="1" applyFill="1" applyBorder="1"/>
    <xf numFmtId="0" fontId="52" fillId="65" borderId="76" xfId="0" applyFont="1" applyFill="1" applyBorder="1"/>
    <xf numFmtId="0" fontId="31" fillId="0" borderId="11" xfId="0" applyFont="1" applyBorder="1"/>
    <xf numFmtId="0" fontId="31" fillId="0" borderId="108" xfId="0" applyFont="1" applyBorder="1"/>
    <xf numFmtId="3" fontId="52" fillId="65" borderId="52" xfId="0" applyNumberFormat="1" applyFont="1" applyFill="1" applyBorder="1"/>
    <xf numFmtId="3" fontId="52" fillId="65" borderId="76" xfId="0" applyNumberFormat="1" applyFont="1" applyFill="1" applyBorder="1"/>
    <xf numFmtId="3" fontId="52" fillId="65" borderId="53" xfId="0" applyNumberFormat="1" applyFont="1" applyFill="1" applyBorder="1"/>
    <xf numFmtId="3" fontId="31" fillId="0" borderId="14" xfId="0" applyNumberFormat="1" applyFont="1" applyFill="1" applyBorder="1"/>
    <xf numFmtId="3" fontId="31" fillId="0" borderId="16" xfId="0" applyNumberFormat="1" applyFont="1" applyBorder="1"/>
    <xf numFmtId="3" fontId="31" fillId="0" borderId="46" xfId="0" applyNumberFormat="1" applyFont="1" applyBorder="1"/>
    <xf numFmtId="0" fontId="32" fillId="50" borderId="10" xfId="0" applyFont="1" applyFill="1" applyBorder="1"/>
    <xf numFmtId="0" fontId="59" fillId="38" borderId="44" xfId="58" applyFont="1" applyFill="1" applyBorder="1" applyAlignment="1">
      <alignment horizontal="center" vertical="center" wrapText="1"/>
    </xf>
    <xf numFmtId="0" fontId="52" fillId="38" borderId="73" xfId="0" applyFont="1" applyFill="1" applyBorder="1" applyAlignment="1">
      <alignment vertical="center" wrapText="1"/>
    </xf>
    <xf numFmtId="0" fontId="83" fillId="0" borderId="22" xfId="0" applyFont="1" applyBorder="1"/>
    <xf numFmtId="0" fontId="84" fillId="0" borderId="23" xfId="0" applyFont="1" applyBorder="1"/>
    <xf numFmtId="0" fontId="84" fillId="0" borderId="0" xfId="0" applyFont="1" applyBorder="1"/>
    <xf numFmtId="0" fontId="85" fillId="0" borderId="33" xfId="0" applyFont="1" applyBorder="1" applyAlignment="1">
      <alignment horizontal="center" vertical="center"/>
    </xf>
    <xf numFmtId="0" fontId="85" fillId="0" borderId="33" xfId="0" applyFont="1" applyBorder="1" applyAlignment="1">
      <alignment horizontal="center" vertical="center" wrapText="1"/>
    </xf>
    <xf numFmtId="0" fontId="85" fillId="0" borderId="0" xfId="0" applyFont="1" applyBorder="1" applyAlignment="1">
      <alignment horizontal="center" vertical="center"/>
    </xf>
    <xf numFmtId="0" fontId="0" fillId="0" borderId="77" xfId="0" applyBorder="1"/>
    <xf numFmtId="0" fontId="0" fillId="0" borderId="30" xfId="0" applyBorder="1"/>
    <xf numFmtId="0" fontId="104" fillId="0" borderId="0" xfId="0" applyFont="1"/>
    <xf numFmtId="0" fontId="86" fillId="0" borderId="51" xfId="0" applyFont="1" applyBorder="1"/>
    <xf numFmtId="0" fontId="86" fillId="0" borderId="52" xfId="0" applyFont="1" applyBorder="1"/>
    <xf numFmtId="3" fontId="87" fillId="0" borderId="52" xfId="0" applyNumberFormat="1" applyFont="1" applyBorder="1"/>
    <xf numFmtId="0" fontId="87" fillId="0" borderId="52" xfId="0" applyFont="1" applyBorder="1"/>
    <xf numFmtId="0" fontId="86" fillId="0" borderId="0" xfId="0" applyFont="1" applyBorder="1"/>
    <xf numFmtId="0" fontId="82" fillId="0" borderId="0" xfId="0" applyFont="1"/>
    <xf numFmtId="3" fontId="0" fillId="0" borderId="14" xfId="0" applyNumberFormat="1" applyBorder="1"/>
    <xf numFmtId="0" fontId="0" fillId="0" borderId="0" xfId="0" applyBorder="1" applyAlignment="1">
      <alignment wrapText="1"/>
    </xf>
    <xf numFmtId="0" fontId="85" fillId="0" borderId="0" xfId="0" applyFont="1"/>
    <xf numFmtId="0" fontId="52" fillId="38" borderId="51" xfId="0" applyFont="1" applyFill="1" applyBorder="1" applyAlignment="1">
      <alignment horizontal="center" vertical="center" wrapText="1"/>
    </xf>
    <xf numFmtId="0" fontId="52" fillId="38" borderId="52" xfId="0" applyFont="1" applyFill="1" applyBorder="1" applyAlignment="1">
      <alignment horizontal="center" vertical="center" wrapText="1"/>
    </xf>
    <xf numFmtId="0" fontId="52" fillId="38" borderId="53" xfId="0" applyFont="1" applyFill="1" applyBorder="1" applyAlignment="1">
      <alignment horizontal="center" vertical="center" wrapText="1"/>
    </xf>
    <xf numFmtId="0" fontId="52" fillId="0" borderId="12" xfId="0" applyFont="1" applyBorder="1" applyAlignment="1">
      <alignment vertical="center" wrapText="1"/>
    </xf>
    <xf numFmtId="0" fontId="31" fillId="0" borderId="14" xfId="0" applyFont="1" applyBorder="1" applyAlignment="1">
      <alignment vertical="center" wrapText="1"/>
    </xf>
    <xf numFmtId="0" fontId="52" fillId="0" borderId="14" xfId="0" applyFont="1" applyBorder="1" applyAlignment="1">
      <alignment horizontal="center" vertical="center" wrapText="1"/>
    </xf>
    <xf numFmtId="0" fontId="31" fillId="0" borderId="46" xfId="0" applyFont="1" applyFill="1" applyBorder="1" applyAlignment="1">
      <alignment horizontal="center" vertical="center" wrapText="1"/>
    </xf>
    <xf numFmtId="0" fontId="52" fillId="0" borderId="20" xfId="0" applyFont="1" applyFill="1" applyBorder="1" applyAlignment="1">
      <alignment vertical="center" wrapText="1"/>
    </xf>
    <xf numFmtId="0" fontId="52" fillId="0" borderId="10" xfId="0" applyFont="1" applyBorder="1"/>
    <xf numFmtId="0" fontId="52" fillId="0" borderId="10" xfId="0" applyFont="1" applyBorder="1" applyAlignment="1">
      <alignment horizontal="center" vertical="center"/>
    </xf>
    <xf numFmtId="0" fontId="31" fillId="0" borderId="31" xfId="0" applyFont="1" applyBorder="1" applyAlignment="1">
      <alignment vertical="center" wrapText="1"/>
    </xf>
    <xf numFmtId="0" fontId="31" fillId="0" borderId="10" xfId="0" applyFont="1" applyFill="1" applyBorder="1" applyAlignment="1">
      <alignment vertical="center" wrapText="1"/>
    </xf>
    <xf numFmtId="0" fontId="52" fillId="0" borderId="10" xfId="0" applyFont="1" applyFill="1" applyBorder="1" applyAlignment="1">
      <alignment horizontal="center" vertical="center" wrapText="1"/>
    </xf>
    <xf numFmtId="0" fontId="52" fillId="0" borderId="20" xfId="0" applyFont="1" applyFill="1" applyBorder="1" applyAlignment="1">
      <alignment horizontal="left" vertical="center" wrapText="1"/>
    </xf>
    <xf numFmtId="0" fontId="31" fillId="53" borderId="31" xfId="0" applyFont="1" applyFill="1" applyBorder="1" applyAlignment="1">
      <alignment horizontal="center" vertical="center" wrapText="1"/>
    </xf>
    <xf numFmtId="0" fontId="31" fillId="0" borderId="31" xfId="0" applyFont="1" applyFill="1" applyBorder="1" applyAlignment="1">
      <alignment horizontal="center" vertical="center" wrapText="1"/>
    </xf>
    <xf numFmtId="0" fontId="52" fillId="0" borderId="20" xfId="0" applyFont="1" applyBorder="1"/>
    <xf numFmtId="0" fontId="52" fillId="0" borderId="10" xfId="0" applyFont="1" applyBorder="1" applyAlignment="1">
      <alignment horizontal="center"/>
    </xf>
    <xf numFmtId="0" fontId="31" fillId="38" borderId="31" xfId="0" applyFont="1" applyFill="1" applyBorder="1"/>
    <xf numFmtId="0" fontId="52" fillId="0" borderId="48" xfId="0" applyFont="1" applyFill="1" applyBorder="1" applyAlignment="1">
      <alignment vertical="center" wrapText="1"/>
    </xf>
    <xf numFmtId="0" fontId="52" fillId="0" borderId="33" xfId="0" applyFont="1" applyBorder="1"/>
    <xf numFmtId="0" fontId="52" fillId="0" borderId="33" xfId="0" applyFont="1" applyBorder="1" applyAlignment="1">
      <alignment horizontal="center" vertical="center"/>
    </xf>
    <xf numFmtId="0" fontId="31" fillId="0" borderId="0" xfId="0" applyFont="1" applyBorder="1"/>
    <xf numFmtId="0" fontId="31" fillId="0" borderId="18" xfId="0" applyFont="1" applyBorder="1"/>
    <xf numFmtId="0" fontId="31" fillId="0" borderId="15" xfId="0" applyFont="1" applyBorder="1"/>
    <xf numFmtId="0" fontId="31" fillId="0" borderId="104" xfId="0" applyFont="1" applyBorder="1"/>
    <xf numFmtId="0" fontId="31" fillId="0" borderId="0" xfId="0" applyFont="1" applyBorder="1" applyAlignment="1">
      <alignment horizontal="center"/>
    </xf>
    <xf numFmtId="0" fontId="52" fillId="0" borderId="43" xfId="0" applyFont="1" applyBorder="1" applyAlignment="1">
      <alignment horizontal="center" vertical="center" wrapText="1"/>
    </xf>
    <xf numFmtId="0" fontId="52" fillId="69" borderId="27" xfId="0" applyFont="1" applyFill="1" applyBorder="1" applyAlignment="1">
      <alignment horizontal="center" vertical="top" wrapText="1"/>
    </xf>
    <xf numFmtId="0" fontId="52" fillId="69" borderId="28" xfId="0" applyFont="1" applyFill="1" applyBorder="1" applyAlignment="1">
      <alignment horizontal="center" vertical="top" wrapText="1"/>
    </xf>
    <xf numFmtId="0" fontId="52" fillId="70" borderId="29" xfId="0" applyFont="1" applyFill="1" applyBorder="1" applyAlignment="1">
      <alignment horizontal="center" vertical="top" wrapText="1"/>
    </xf>
    <xf numFmtId="0" fontId="31" fillId="0" borderId="0" xfId="0" applyFont="1"/>
    <xf numFmtId="0" fontId="52" fillId="0" borderId="45" xfId="0" applyFont="1" applyBorder="1" applyAlignment="1">
      <alignment horizontal="center" vertical="center" wrapText="1"/>
    </xf>
    <xf numFmtId="0" fontId="52" fillId="36" borderId="30" xfId="0" applyFont="1" applyFill="1" applyBorder="1" applyAlignment="1">
      <alignment horizontal="center" vertical="top" wrapText="1"/>
    </xf>
    <xf numFmtId="0" fontId="52" fillId="69" borderId="10" xfId="0" applyFont="1" applyFill="1" applyBorder="1" applyAlignment="1">
      <alignment horizontal="center" vertical="top" wrapText="1"/>
    </xf>
    <xf numFmtId="0" fontId="52" fillId="69" borderId="31" xfId="0" applyFont="1" applyFill="1" applyBorder="1" applyAlignment="1">
      <alignment horizontal="center" vertical="top" wrapText="1"/>
    </xf>
    <xf numFmtId="0" fontId="52" fillId="67" borderId="32" xfId="0" applyFont="1" applyFill="1" applyBorder="1" applyAlignment="1">
      <alignment horizontal="center" vertical="top" wrapText="1"/>
    </xf>
    <xf numFmtId="0" fontId="52" fillId="36" borderId="33" xfId="0" applyFont="1" applyFill="1" applyBorder="1" applyAlignment="1">
      <alignment horizontal="center" vertical="top" wrapText="1"/>
    </xf>
    <xf numFmtId="0" fontId="52" fillId="36" borderId="34" xfId="0" applyFont="1" applyFill="1" applyBorder="1" applyAlignment="1">
      <alignment horizontal="center" vertical="top" wrapText="1"/>
    </xf>
    <xf numFmtId="0" fontId="52" fillId="0" borderId="72" xfId="0" applyFont="1" applyBorder="1" applyAlignment="1">
      <alignment horizontal="center" vertical="center" wrapText="1"/>
    </xf>
    <xf numFmtId="0" fontId="52" fillId="71" borderId="78" xfId="0" applyFont="1" applyFill="1" applyBorder="1" applyAlignment="1">
      <alignment horizontal="center" vertical="center" wrapText="1"/>
    </xf>
    <xf numFmtId="0" fontId="52" fillId="71" borderId="73" xfId="0" applyFont="1" applyFill="1" applyBorder="1" applyAlignment="1">
      <alignment horizontal="center" vertical="center" wrapText="1"/>
    </xf>
    <xf numFmtId="0" fontId="60" fillId="0" borderId="0" xfId="62" applyFont="1" applyAlignment="1">
      <alignment horizontal="center" vertical="center"/>
    </xf>
    <xf numFmtId="0" fontId="25" fillId="0" borderId="77" xfId="0" applyFont="1" applyBorder="1" applyAlignment="1">
      <alignment horizontal="center" vertical="center"/>
    </xf>
    <xf numFmtId="0" fontId="25" fillId="0" borderId="30" xfId="0" applyFont="1" applyBorder="1" applyAlignment="1">
      <alignment horizontal="center" vertical="center"/>
    </xf>
    <xf numFmtId="0" fontId="25" fillId="0" borderId="32" xfId="0" applyFont="1" applyBorder="1" applyAlignment="1">
      <alignment horizontal="center" vertical="center"/>
    </xf>
    <xf numFmtId="0" fontId="105" fillId="0" borderId="0" xfId="56" applyFont="1" applyFill="1" applyAlignment="1">
      <alignment vertical="center" wrapText="1"/>
    </xf>
    <xf numFmtId="3" fontId="31" fillId="0" borderId="104" xfId="0" applyNumberFormat="1" applyFont="1" applyBorder="1"/>
    <xf numFmtId="3" fontId="31" fillId="0" borderId="11" xfId="0" applyNumberFormat="1" applyFont="1" applyBorder="1"/>
    <xf numFmtId="3" fontId="31" fillId="0" borderId="108" xfId="0" applyNumberFormat="1" applyFont="1" applyBorder="1"/>
    <xf numFmtId="3" fontId="52" fillId="65" borderId="54" xfId="0" applyNumberFormat="1" applyFont="1" applyFill="1" applyBorder="1"/>
    <xf numFmtId="0" fontId="52" fillId="65" borderId="54" xfId="0" applyFont="1" applyFill="1" applyBorder="1"/>
    <xf numFmtId="0" fontId="31" fillId="0" borderId="11" xfId="0" applyFont="1" applyBorder="1" applyAlignment="1">
      <alignment horizontal="left" vertical="center"/>
    </xf>
    <xf numFmtId="3" fontId="31" fillId="0" borderId="12" xfId="44" applyNumberFormat="1" applyFont="1" applyFill="1" applyBorder="1"/>
    <xf numFmtId="3" fontId="31" fillId="0" borderId="20" xfId="0" applyNumberFormat="1" applyFont="1" applyBorder="1"/>
    <xf numFmtId="3" fontId="31" fillId="0" borderId="20" xfId="0" applyNumberFormat="1" applyFont="1" applyFill="1" applyBorder="1"/>
    <xf numFmtId="3" fontId="31" fillId="0" borderId="70" xfId="0" applyNumberFormat="1" applyFont="1" applyBorder="1"/>
    <xf numFmtId="0" fontId="31" fillId="0" borderId="10" xfId="0" applyFont="1" applyBorder="1" applyAlignment="1">
      <alignment horizontal="left" vertical="center"/>
    </xf>
    <xf numFmtId="0" fontId="31" fillId="0" borderId="10" xfId="0" applyFont="1" applyFill="1" applyBorder="1" applyAlignment="1">
      <alignment horizontal="left" vertical="center"/>
    </xf>
    <xf numFmtId="0" fontId="31" fillId="0" borderId="28" xfId="0" applyFont="1" applyBorder="1" applyAlignment="1">
      <alignment horizontal="left" vertical="center"/>
    </xf>
    <xf numFmtId="0" fontId="55" fillId="0" borderId="29" xfId="0" applyFont="1" applyBorder="1" applyAlignment="1">
      <alignment horizontal="left" vertical="center"/>
    </xf>
    <xf numFmtId="0" fontId="55" fillId="0" borderId="31" xfId="0" applyFont="1" applyBorder="1" applyAlignment="1">
      <alignment horizontal="left" vertical="center"/>
    </xf>
    <xf numFmtId="0" fontId="55" fillId="0" borderId="31" xfId="0" applyFont="1" applyFill="1" applyBorder="1" applyAlignment="1">
      <alignment horizontal="left" vertical="center"/>
    </xf>
    <xf numFmtId="0" fontId="55" fillId="0" borderId="34" xfId="0" applyFont="1" applyBorder="1" applyAlignment="1">
      <alignment horizontal="left" vertical="center"/>
    </xf>
    <xf numFmtId="3" fontId="31" fillId="0" borderId="12" xfId="0" applyNumberFormat="1" applyFont="1" applyBorder="1"/>
    <xf numFmtId="0" fontId="55" fillId="0" borderId="59" xfId="0" applyFont="1" applyBorder="1" applyAlignment="1">
      <alignment horizontal="left" vertical="center"/>
    </xf>
    <xf numFmtId="3" fontId="52" fillId="65" borderId="41" xfId="0" applyNumberFormat="1" applyFont="1" applyFill="1" applyBorder="1"/>
    <xf numFmtId="0" fontId="31" fillId="0" borderId="58" xfId="0" applyFont="1" applyBorder="1" applyAlignment="1">
      <alignment horizontal="center" vertical="center"/>
    </xf>
    <xf numFmtId="0" fontId="31" fillId="0" borderId="11" xfId="0" applyFont="1" applyBorder="1" applyAlignment="1">
      <alignment horizontal="center" vertical="center"/>
    </xf>
    <xf numFmtId="0" fontId="55" fillId="0" borderId="33" xfId="0" applyFont="1" applyBorder="1" applyAlignment="1">
      <alignment horizontal="left" vertical="center"/>
    </xf>
    <xf numFmtId="0" fontId="55" fillId="0" borderId="35" xfId="0" applyFont="1" applyBorder="1" applyAlignment="1">
      <alignment horizontal="left" vertical="center"/>
    </xf>
    <xf numFmtId="0" fontId="55" fillId="0" borderId="25" xfId="0" applyFont="1" applyBorder="1" applyAlignment="1">
      <alignment horizontal="center" vertical="center"/>
    </xf>
    <xf numFmtId="0" fontId="55" fillId="0" borderId="25" xfId="0" applyFont="1" applyBorder="1" applyAlignment="1">
      <alignment horizontal="left" vertical="center"/>
    </xf>
    <xf numFmtId="0" fontId="55" fillId="0" borderId="26" xfId="0" applyFont="1" applyBorder="1" applyAlignment="1">
      <alignment horizontal="left" vertical="center"/>
    </xf>
    <xf numFmtId="0" fontId="55" fillId="0" borderId="10" xfId="0" applyFont="1" applyFill="1" applyBorder="1" applyAlignment="1">
      <alignment horizontal="center" vertical="center"/>
    </xf>
    <xf numFmtId="3" fontId="31" fillId="0" borderId="18" xfId="0" applyNumberFormat="1" applyFont="1" applyBorder="1"/>
    <xf numFmtId="0" fontId="55" fillId="0" borderId="28" xfId="0" applyFont="1" applyFill="1" applyBorder="1" applyAlignment="1">
      <alignment horizontal="center" vertical="center"/>
    </xf>
    <xf numFmtId="0" fontId="103" fillId="0" borderId="28" xfId="0" applyFont="1" applyBorder="1"/>
    <xf numFmtId="0" fontId="55" fillId="0" borderId="33" xfId="0" applyFont="1" applyFill="1" applyBorder="1" applyAlignment="1">
      <alignment horizontal="center" vertical="center"/>
    </xf>
    <xf numFmtId="3" fontId="31" fillId="0" borderId="15" xfId="0" applyNumberFormat="1" applyFont="1" applyFill="1" applyBorder="1"/>
    <xf numFmtId="3" fontId="31" fillId="0" borderId="11" xfId="0" applyNumberFormat="1" applyFont="1" applyFill="1" applyBorder="1"/>
    <xf numFmtId="3" fontId="52" fillId="38" borderId="40" xfId="0" applyNumberFormat="1" applyFont="1" applyFill="1" applyBorder="1"/>
    <xf numFmtId="3" fontId="52" fillId="38" borderId="54" xfId="0" applyNumberFormat="1" applyFont="1" applyFill="1" applyBorder="1"/>
    <xf numFmtId="3" fontId="52" fillId="38" borderId="52" xfId="0" applyNumberFormat="1" applyFont="1" applyFill="1" applyBorder="1"/>
    <xf numFmtId="3" fontId="52" fillId="38" borderId="53" xfId="0" applyNumberFormat="1" applyFont="1" applyFill="1" applyBorder="1"/>
    <xf numFmtId="0" fontId="55" fillId="0" borderId="27" xfId="0" applyFont="1" applyFill="1" applyBorder="1" applyAlignment="1">
      <alignment horizontal="left" vertical="center"/>
    </xf>
    <xf numFmtId="0" fontId="55" fillId="0" borderId="30" xfId="0" applyFont="1" applyFill="1" applyBorder="1" applyAlignment="1">
      <alignment horizontal="left" vertical="center"/>
    </xf>
    <xf numFmtId="0" fontId="55" fillId="0" borderId="32" xfId="0" applyFont="1" applyFill="1" applyBorder="1" applyAlignment="1">
      <alignment horizontal="left" vertical="center"/>
    </xf>
    <xf numFmtId="0" fontId="85" fillId="0" borderId="33" xfId="0" applyFont="1" applyBorder="1" applyAlignment="1">
      <alignment horizontal="center" vertical="center" wrapText="1"/>
    </xf>
    <xf numFmtId="0" fontId="77" fillId="0" borderId="90" xfId="0" applyFont="1" applyBorder="1" applyAlignment="1">
      <alignment horizontal="left" vertical="center" wrapText="1"/>
    </xf>
    <xf numFmtId="3" fontId="60" fillId="33" borderId="93" xfId="59" applyNumberFormat="1" applyFont="1" applyFill="1" applyBorder="1" applyAlignment="1">
      <alignment vertical="center" wrapText="1"/>
    </xf>
    <xf numFmtId="0" fontId="106" fillId="0" borderId="0" xfId="0" applyFont="1" applyBorder="1"/>
    <xf numFmtId="0" fontId="107" fillId="0" borderId="22" xfId="0" applyFont="1" applyBorder="1"/>
    <xf numFmtId="0" fontId="31" fillId="0" borderId="23" xfId="0" applyFont="1" applyBorder="1"/>
    <xf numFmtId="0" fontId="108" fillId="0" borderId="51" xfId="0" applyFont="1" applyBorder="1" applyAlignment="1">
      <alignment vertical="center"/>
    </xf>
    <xf numFmtId="3" fontId="108" fillId="0" borderId="52" xfId="0" applyNumberFormat="1" applyFont="1" applyBorder="1" applyAlignment="1">
      <alignment horizontal="center" vertical="center" wrapText="1"/>
    </xf>
    <xf numFmtId="0" fontId="31" fillId="0" borderId="77" xfId="0" applyFont="1" applyBorder="1"/>
    <xf numFmtId="3" fontId="52" fillId="0" borderId="52" xfId="0" applyNumberFormat="1" applyFont="1" applyBorder="1"/>
    <xf numFmtId="0" fontId="52" fillId="0" borderId="0" xfId="0" applyFont="1" applyBorder="1"/>
    <xf numFmtId="0" fontId="52" fillId="0" borderId="23" xfId="0" applyFont="1" applyBorder="1"/>
    <xf numFmtId="3" fontId="52" fillId="0" borderId="0" xfId="0" applyNumberFormat="1" applyFont="1" applyBorder="1"/>
    <xf numFmtId="0" fontId="108" fillId="0" borderId="52" xfId="0" applyFont="1" applyBorder="1" applyAlignment="1">
      <alignment horizontal="center" vertical="center"/>
    </xf>
    <xf numFmtId="0" fontId="31" fillId="0" borderId="14" xfId="0" applyFont="1" applyBorder="1"/>
    <xf numFmtId="0" fontId="31" fillId="0" borderId="30" xfId="0" applyFont="1" applyBorder="1"/>
    <xf numFmtId="3" fontId="31" fillId="0" borderId="0" xfId="0" applyNumberFormat="1" applyFont="1" applyBorder="1"/>
    <xf numFmtId="0" fontId="52" fillId="0" borderId="40" xfId="0" applyFont="1" applyBorder="1"/>
    <xf numFmtId="0" fontId="31" fillId="0" borderId="41" xfId="0" applyFont="1" applyBorder="1"/>
    <xf numFmtId="0" fontId="108" fillId="0" borderId="41" xfId="0" applyFont="1" applyBorder="1"/>
    <xf numFmtId="3" fontId="108" fillId="0" borderId="55" xfId="0" applyNumberFormat="1" applyFont="1" applyBorder="1"/>
    <xf numFmtId="3" fontId="31" fillId="0" borderId="0" xfId="0" applyNumberFormat="1" applyFont="1"/>
    <xf numFmtId="0" fontId="107" fillId="0" borderId="0" xfId="0" applyFont="1"/>
    <xf numFmtId="0" fontId="108" fillId="0" borderId="52" xfId="0" applyFont="1" applyBorder="1" applyAlignment="1">
      <alignment vertical="center"/>
    </xf>
    <xf numFmtId="0" fontId="108" fillId="0" borderId="52" xfId="0" applyFont="1" applyBorder="1" applyAlignment="1">
      <alignment horizontal="center" vertical="center" wrapText="1"/>
    </xf>
    <xf numFmtId="0" fontId="52" fillId="0" borderId="0" xfId="0" applyFont="1" applyBorder="1" applyAlignment="1">
      <alignment horizontal="left"/>
    </xf>
    <xf numFmtId="3" fontId="108" fillId="0" borderId="55" xfId="0" applyNumberFormat="1" applyFont="1" applyBorder="1" applyAlignment="1">
      <alignment vertical="center" wrapText="1"/>
    </xf>
    <xf numFmtId="0" fontId="108" fillId="0" borderId="0" xfId="0" applyFont="1" applyBorder="1"/>
    <xf numFmtId="3" fontId="108" fillId="0" borderId="55" xfId="0" applyNumberFormat="1" applyFont="1" applyBorder="1" applyAlignment="1">
      <alignment vertical="center"/>
    </xf>
    <xf numFmtId="0" fontId="108" fillId="0" borderId="0" xfId="0" applyFont="1"/>
    <xf numFmtId="0" fontId="108" fillId="0" borderId="54" xfId="0" applyFont="1" applyBorder="1" applyAlignment="1">
      <alignment vertical="center"/>
    </xf>
    <xf numFmtId="0" fontId="106" fillId="0" borderId="20" xfId="0" applyFont="1" applyBorder="1"/>
    <xf numFmtId="0" fontId="106" fillId="0" borderId="70" xfId="0" applyFont="1" applyBorder="1"/>
    <xf numFmtId="0" fontId="108" fillId="0" borderId="76" xfId="0" applyFont="1" applyBorder="1" applyAlignment="1">
      <alignment horizontal="center" vertical="center" wrapText="1"/>
    </xf>
    <xf numFmtId="3" fontId="52" fillId="0" borderId="76" xfId="0" applyNumberFormat="1" applyFont="1" applyBorder="1"/>
    <xf numFmtId="0" fontId="108" fillId="0" borderId="55" xfId="0" applyFont="1" applyBorder="1" applyAlignment="1">
      <alignment horizontal="center" vertical="center"/>
    </xf>
    <xf numFmtId="0" fontId="52" fillId="0" borderId="15" xfId="0" applyFont="1" applyBorder="1"/>
    <xf numFmtId="3" fontId="52" fillId="0" borderId="15" xfId="0" applyNumberFormat="1" applyFont="1" applyBorder="1"/>
    <xf numFmtId="0" fontId="52" fillId="0" borderId="14" xfId="0" applyFont="1" applyBorder="1"/>
    <xf numFmtId="0" fontId="52" fillId="0" borderId="16" xfId="0" applyFont="1" applyBorder="1"/>
    <xf numFmtId="0" fontId="52" fillId="0" borderId="45" xfId="0" applyFont="1" applyBorder="1"/>
    <xf numFmtId="3" fontId="52" fillId="0" borderId="10" xfId="0" applyNumberFormat="1" applyFont="1" applyBorder="1"/>
    <xf numFmtId="3" fontId="52" fillId="0" borderId="13" xfId="0" applyNumberFormat="1" applyFont="1" applyBorder="1"/>
    <xf numFmtId="0" fontId="52" fillId="0" borderId="50" xfId="0" applyFont="1" applyBorder="1" applyAlignment="1">
      <alignment wrapText="1"/>
    </xf>
    <xf numFmtId="0" fontId="52" fillId="0" borderId="11" xfId="0" applyFont="1" applyBorder="1"/>
    <xf numFmtId="3" fontId="52" fillId="0" borderId="11" xfId="0" applyNumberFormat="1" applyFont="1" applyBorder="1"/>
    <xf numFmtId="3" fontId="52" fillId="0" borderId="108" xfId="0" applyNumberFormat="1" applyFont="1" applyBorder="1"/>
    <xf numFmtId="0" fontId="52" fillId="0" borderId="57" xfId="0" applyFont="1" applyBorder="1" applyAlignment="1">
      <alignment wrapText="1"/>
    </xf>
    <xf numFmtId="0" fontId="52" fillId="0" borderId="55" xfId="0" applyFont="1" applyBorder="1"/>
    <xf numFmtId="3" fontId="31" fillId="0" borderId="44" xfId="0" applyNumberFormat="1" applyFont="1" applyBorder="1"/>
    <xf numFmtId="3" fontId="108" fillId="0" borderId="53" xfId="0" applyNumberFormat="1" applyFont="1" applyBorder="1" applyAlignment="1">
      <alignment horizontal="center" vertical="center" wrapText="1"/>
    </xf>
    <xf numFmtId="3" fontId="31" fillId="0" borderId="31" xfId="0" applyNumberFormat="1" applyFont="1" applyBorder="1"/>
    <xf numFmtId="3" fontId="31" fillId="0" borderId="59" xfId="0" applyNumberFormat="1" applyFont="1" applyBorder="1"/>
    <xf numFmtId="3" fontId="52" fillId="0" borderId="53" xfId="0" applyNumberFormat="1" applyFont="1" applyBorder="1"/>
    <xf numFmtId="0" fontId="52" fillId="0" borderId="22" xfId="0" applyFont="1" applyBorder="1"/>
    <xf numFmtId="3" fontId="52" fillId="0" borderId="63" xfId="0" applyNumberFormat="1" applyFont="1" applyBorder="1"/>
    <xf numFmtId="3" fontId="108" fillId="0" borderId="110" xfId="0" applyNumberFormat="1" applyFont="1" applyBorder="1"/>
    <xf numFmtId="3" fontId="31" fillId="0" borderId="46" xfId="0" applyNumberFormat="1" applyFont="1" applyFill="1" applyBorder="1"/>
    <xf numFmtId="3" fontId="31" fillId="0" borderId="71" xfId="0" applyNumberFormat="1" applyFont="1" applyFill="1" applyBorder="1"/>
    <xf numFmtId="0" fontId="31" fillId="0" borderId="27" xfId="0" applyFont="1" applyBorder="1" applyAlignment="1">
      <alignment horizontal="left" vertical="center"/>
    </xf>
    <xf numFmtId="0" fontId="31" fillId="0" borderId="30" xfId="0" applyFont="1" applyBorder="1" applyAlignment="1">
      <alignment horizontal="left" vertical="center"/>
    </xf>
    <xf numFmtId="3" fontId="31" fillId="0" borderId="31" xfId="0" applyNumberFormat="1" applyFont="1" applyFill="1" applyBorder="1"/>
    <xf numFmtId="0" fontId="31" fillId="0" borderId="30" xfId="0" applyFont="1" applyFill="1" applyBorder="1" applyAlignment="1">
      <alignment horizontal="left" vertical="center"/>
    </xf>
    <xf numFmtId="0" fontId="31" fillId="0" borderId="58" xfId="0" applyFont="1" applyBorder="1" applyAlignment="1">
      <alignment horizontal="left" vertical="center"/>
    </xf>
    <xf numFmtId="3" fontId="31" fillId="0" borderId="59" xfId="0" applyNumberFormat="1" applyFont="1" applyFill="1" applyBorder="1"/>
    <xf numFmtId="0" fontId="31" fillId="0" borderId="32" xfId="0" applyFont="1" applyBorder="1" applyAlignment="1">
      <alignment horizontal="left" vertical="center"/>
    </xf>
    <xf numFmtId="3" fontId="59" fillId="38" borderId="29" xfId="0" applyNumberFormat="1" applyFont="1" applyFill="1" applyBorder="1" applyAlignment="1">
      <alignment horizontal="center" vertical="center" wrapText="1"/>
    </xf>
    <xf numFmtId="3" fontId="22" fillId="0" borderId="31" xfId="0" applyNumberFormat="1" applyFont="1" applyBorder="1" applyAlignment="1">
      <alignment horizontal="center"/>
    </xf>
    <xf numFmtId="3" fontId="30" fillId="38" borderId="31" xfId="0" applyNumberFormat="1" applyFont="1" applyFill="1" applyBorder="1" applyAlignment="1">
      <alignment horizontal="center"/>
    </xf>
    <xf numFmtId="3" fontId="59" fillId="0" borderId="31" xfId="0" applyNumberFormat="1" applyFont="1" applyFill="1" applyBorder="1" applyAlignment="1">
      <alignment horizontal="center"/>
    </xf>
    <xf numFmtId="3" fontId="0" fillId="0" borderId="0" xfId="0" applyNumberFormat="1" applyAlignment="1">
      <alignment vertical="center"/>
    </xf>
    <xf numFmtId="3" fontId="22" fillId="0" borderId="0" xfId="0" applyNumberFormat="1" applyFont="1" applyAlignment="1">
      <alignment horizontal="center" vertical="center"/>
    </xf>
    <xf numFmtId="0" fontId="0" fillId="0" borderId="62" xfId="0" applyBorder="1" applyAlignment="1">
      <alignment vertical="center"/>
    </xf>
    <xf numFmtId="0" fontId="0" fillId="0" borderId="62" xfId="0" applyFont="1" applyFill="1" applyBorder="1" applyAlignment="1">
      <alignment vertical="center"/>
    </xf>
    <xf numFmtId="0" fontId="32" fillId="0" borderId="0" xfId="0" applyFont="1" applyFill="1" applyBorder="1" applyAlignment="1">
      <alignment vertical="center"/>
    </xf>
    <xf numFmtId="3" fontId="68" fillId="0" borderId="31" xfId="42" applyNumberFormat="1" applyFont="1" applyFill="1" applyBorder="1" applyAlignment="1">
      <alignment vertical="center"/>
    </xf>
    <xf numFmtId="0" fontId="30" fillId="38" borderId="60" xfId="0" applyFont="1" applyFill="1" applyBorder="1" applyAlignment="1">
      <alignment horizontal="center" vertical="center"/>
    </xf>
    <xf numFmtId="0" fontId="30" fillId="38" borderId="78" xfId="0" applyFont="1" applyFill="1" applyBorder="1" applyAlignment="1">
      <alignment vertical="center"/>
    </xf>
    <xf numFmtId="2" fontId="30" fillId="38" borderId="33" xfId="0" applyNumberFormat="1" applyFont="1" applyFill="1" applyBorder="1"/>
    <xf numFmtId="3" fontId="30" fillId="38" borderId="34" xfId="0" applyNumberFormat="1" applyFont="1" applyFill="1" applyBorder="1" applyAlignment="1">
      <alignment horizontal="center"/>
    </xf>
    <xf numFmtId="0" fontId="109" fillId="0" borderId="0" xfId="0" applyFont="1" applyFill="1"/>
    <xf numFmtId="3" fontId="109" fillId="0" borderId="0" xfId="0" applyNumberFormat="1" applyFont="1" applyFill="1"/>
    <xf numFmtId="0" fontId="109" fillId="0" borderId="0" xfId="0" applyFont="1"/>
    <xf numFmtId="0" fontId="109" fillId="0" borderId="0" xfId="0" pivotButton="1" applyFont="1"/>
    <xf numFmtId="165" fontId="65" fillId="0" borderId="10" xfId="42" applyNumberFormat="1" applyFont="1" applyFill="1" applyBorder="1" applyAlignment="1">
      <alignment vertical="center"/>
    </xf>
    <xf numFmtId="0" fontId="31" fillId="0" borderId="35" xfId="0" applyFont="1" applyBorder="1" applyAlignment="1">
      <alignment vertical="top"/>
    </xf>
    <xf numFmtId="0" fontId="31" fillId="0" borderId="105" xfId="0" applyFont="1" applyBorder="1" applyAlignment="1">
      <alignment vertical="top"/>
    </xf>
    <xf numFmtId="0" fontId="31" fillId="0" borderId="37" xfId="0" applyFont="1" applyBorder="1" applyAlignment="1">
      <alignment vertical="top"/>
    </xf>
    <xf numFmtId="0" fontId="35" fillId="0" borderId="0" xfId="56" applyFont="1" applyAlignment="1">
      <alignment vertical="center" wrapText="1"/>
    </xf>
    <xf numFmtId="0" fontId="52" fillId="0" borderId="51" xfId="0" applyFont="1" applyBorder="1" applyAlignment="1">
      <alignment horizontal="left"/>
    </xf>
    <xf numFmtId="0" fontId="52" fillId="0" borderId="52" xfId="0" applyFont="1" applyBorder="1" applyAlignment="1">
      <alignment horizontal="left"/>
    </xf>
    <xf numFmtId="0" fontId="52" fillId="0" borderId="40" xfId="0" applyFont="1" applyBorder="1" applyAlignment="1">
      <alignment horizontal="left" vertical="center" wrapText="1"/>
    </xf>
    <xf numFmtId="0" fontId="52" fillId="0" borderId="41" xfId="0" applyFont="1" applyBorder="1" applyAlignment="1">
      <alignment horizontal="left" vertical="center" wrapText="1"/>
    </xf>
    <xf numFmtId="0" fontId="52" fillId="0" borderId="42" xfId="0" applyFont="1" applyBorder="1" applyAlignment="1">
      <alignment horizontal="left" vertical="center" wrapText="1"/>
    </xf>
    <xf numFmtId="0" fontId="108" fillId="0" borderId="40" xfId="0" applyFont="1" applyBorder="1" applyAlignment="1">
      <alignment horizontal="left" vertical="center" wrapText="1"/>
    </xf>
    <xf numFmtId="0" fontId="108" fillId="0" borderId="41" xfId="0" applyFont="1" applyBorder="1" applyAlignment="1">
      <alignment horizontal="left" vertical="center" wrapText="1"/>
    </xf>
    <xf numFmtId="0" fontId="108" fillId="0" borderId="42" xfId="0" applyFont="1" applyBorder="1" applyAlignment="1">
      <alignment horizontal="left" vertical="center" wrapText="1"/>
    </xf>
    <xf numFmtId="0" fontId="31" fillId="0" borderId="13" xfId="0" applyFont="1" applyBorder="1" applyAlignment="1">
      <alignment horizontal="left"/>
    </xf>
    <xf numFmtId="0" fontId="31" fillId="0" borderId="20" xfId="0" applyFont="1" applyBorder="1" applyAlignment="1">
      <alignment horizontal="left"/>
    </xf>
    <xf numFmtId="0" fontId="31" fillId="0" borderId="61" xfId="0" applyFont="1" applyBorder="1" applyAlignment="1">
      <alignment horizontal="left"/>
    </xf>
    <xf numFmtId="0" fontId="31" fillId="0" borderId="48" xfId="0" applyFont="1" applyBorder="1" applyAlignment="1">
      <alignment horizontal="left"/>
    </xf>
    <xf numFmtId="0" fontId="52" fillId="0" borderId="40" xfId="0" applyFont="1" applyBorder="1" applyAlignment="1">
      <alignment horizontal="left"/>
    </xf>
    <xf numFmtId="0" fontId="52" fillId="0" borderId="41" xfId="0" applyFont="1" applyBorder="1" applyAlignment="1">
      <alignment horizontal="left"/>
    </xf>
    <xf numFmtId="0" fontId="52" fillId="0" borderId="54" xfId="0" applyFont="1" applyBorder="1" applyAlignment="1">
      <alignment horizontal="left"/>
    </xf>
    <xf numFmtId="0" fontId="52" fillId="0" borderId="60" xfId="0" applyFont="1" applyBorder="1" applyAlignment="1">
      <alignment horizontal="left"/>
    </xf>
    <xf numFmtId="0" fontId="52" fillId="0" borderId="78" xfId="0" applyFont="1" applyBorder="1" applyAlignment="1">
      <alignment horizontal="left"/>
    </xf>
    <xf numFmtId="0" fontId="52" fillId="0" borderId="109" xfId="0" applyFont="1" applyBorder="1" applyAlignment="1">
      <alignment horizontal="left"/>
    </xf>
    <xf numFmtId="0" fontId="108" fillId="0" borderId="76" xfId="0" applyFont="1" applyBorder="1" applyAlignment="1">
      <alignment horizontal="left" vertical="center"/>
    </xf>
    <xf numFmtId="0" fontId="108" fillId="0" borderId="54" xfId="0" applyFont="1" applyBorder="1" applyAlignment="1">
      <alignment horizontal="left" vertical="center"/>
    </xf>
    <xf numFmtId="0" fontId="31" fillId="0" borderId="75" xfId="0" applyFont="1" applyBorder="1" applyAlignment="1">
      <alignment horizontal="left"/>
    </xf>
    <xf numFmtId="0" fontId="31" fillId="0" borderId="47" xfId="0" applyFont="1" applyBorder="1" applyAlignment="1">
      <alignment horizontal="left"/>
    </xf>
    <xf numFmtId="0" fontId="52" fillId="0" borderId="43" xfId="0" applyFont="1" applyBorder="1" applyAlignment="1">
      <alignment horizontal="center" vertical="top"/>
    </xf>
    <xf numFmtId="0" fontId="52" fillId="0" borderId="45" xfId="0" applyFont="1" applyBorder="1" applyAlignment="1">
      <alignment horizontal="center" vertical="top"/>
    </xf>
    <xf numFmtId="0" fontId="52" fillId="0" borderId="72" xfId="0" applyFont="1" applyBorder="1" applyAlignment="1">
      <alignment horizontal="center" vertical="top"/>
    </xf>
    <xf numFmtId="0" fontId="85" fillId="0" borderId="27" xfId="0" applyFont="1" applyBorder="1" applyAlignment="1">
      <alignment horizontal="center" vertical="center"/>
    </xf>
    <xf numFmtId="0" fontId="85" fillId="0" borderId="32" xfId="0" applyFont="1" applyBorder="1" applyAlignment="1">
      <alignment horizontal="center" vertical="center"/>
    </xf>
    <xf numFmtId="0" fontId="85" fillId="0" borderId="28" xfId="0" applyFont="1" applyBorder="1" applyAlignment="1">
      <alignment horizontal="center" vertical="center"/>
    </xf>
    <xf numFmtId="0" fontId="85" fillId="0" borderId="33" xfId="0" applyFont="1" applyBorder="1" applyAlignment="1">
      <alignment horizontal="center" vertical="center"/>
    </xf>
    <xf numFmtId="0" fontId="85" fillId="0" borderId="25" xfId="0" applyFont="1" applyBorder="1" applyAlignment="1">
      <alignment horizontal="center" vertical="center" wrapText="1"/>
    </xf>
    <xf numFmtId="0" fontId="85" fillId="0" borderId="38" xfId="0" applyFont="1" applyBorder="1" applyAlignment="1">
      <alignment horizontal="center" vertical="center" wrapText="1"/>
    </xf>
    <xf numFmtId="0" fontId="85" fillId="0" borderId="28" xfId="0" applyFont="1" applyBorder="1" applyAlignment="1">
      <alignment horizontal="center" vertical="center" wrapText="1"/>
    </xf>
    <xf numFmtId="0" fontId="85" fillId="0" borderId="33" xfId="0" applyFont="1" applyBorder="1" applyAlignment="1">
      <alignment horizontal="center" vertical="center" wrapText="1"/>
    </xf>
    <xf numFmtId="0" fontId="59" fillId="0" borderId="10" xfId="0" applyFont="1" applyBorder="1" applyAlignment="1">
      <alignment horizontal="center" vertical="center" wrapText="1"/>
    </xf>
    <xf numFmtId="0" fontId="59" fillId="0" borderId="22" xfId="0" applyFont="1" applyBorder="1" applyAlignment="1">
      <alignment horizontal="center" vertical="center"/>
    </xf>
    <xf numFmtId="0" fontId="59" fillId="0" borderId="23" xfId="0" applyFont="1" applyBorder="1" applyAlignment="1">
      <alignment horizontal="center" vertical="center"/>
    </xf>
    <xf numFmtId="0" fontId="59" fillId="0" borderId="44" xfId="0" applyFont="1" applyBorder="1" applyAlignment="1">
      <alignment horizontal="center" vertical="center"/>
    </xf>
    <xf numFmtId="0" fontId="59" fillId="0" borderId="60" xfId="0" applyFont="1" applyBorder="1" applyAlignment="1">
      <alignment horizontal="center" vertical="center"/>
    </xf>
    <xf numFmtId="0" fontId="59" fillId="0" borderId="78" xfId="0" applyFont="1" applyBorder="1" applyAlignment="1">
      <alignment horizontal="center" vertical="center"/>
    </xf>
    <xf numFmtId="0" fontId="59" fillId="0" borderId="73" xfId="0" applyFont="1" applyBorder="1" applyAlignment="1">
      <alignment horizontal="center" vertical="center"/>
    </xf>
    <xf numFmtId="0" fontId="59" fillId="0" borderId="43" xfId="0" applyFont="1" applyBorder="1" applyAlignment="1">
      <alignment horizontal="center" vertical="center" wrapText="1"/>
    </xf>
    <xf numFmtId="0" fontId="59" fillId="0" borderId="49" xfId="0" applyFont="1" applyBorder="1" applyAlignment="1">
      <alignment horizontal="center" vertical="center" wrapText="1"/>
    </xf>
    <xf numFmtId="0" fontId="59" fillId="0" borderId="47" xfId="0" applyFont="1" applyBorder="1" applyAlignment="1">
      <alignment horizontal="center" vertical="center" wrapText="1"/>
    </xf>
    <xf numFmtId="0" fontId="59" fillId="0" borderId="28" xfId="0" applyFont="1" applyBorder="1" applyAlignment="1">
      <alignment horizontal="center" vertical="center" wrapText="1"/>
    </xf>
    <xf numFmtId="0" fontId="59" fillId="0" borderId="75" xfId="0" applyFont="1" applyBorder="1" applyAlignment="1">
      <alignment horizontal="center" vertical="center" wrapText="1"/>
    </xf>
    <xf numFmtId="0" fontId="59" fillId="0" borderId="36" xfId="0" applyFont="1" applyBorder="1" applyAlignment="1">
      <alignment horizontal="center" vertical="center" wrapText="1"/>
    </xf>
    <xf numFmtId="0" fontId="59" fillId="0" borderId="44" xfId="0" applyFont="1" applyBorder="1" applyAlignment="1">
      <alignment horizontal="center" vertical="center" wrapText="1"/>
    </xf>
    <xf numFmtId="0" fontId="59" fillId="0" borderId="16" xfId="0" applyFont="1" applyBorder="1" applyAlignment="1">
      <alignment horizontal="center" vertical="center" wrapText="1"/>
    </xf>
    <xf numFmtId="0" fontId="59" fillId="0" borderId="80" xfId="0" applyFont="1" applyBorder="1" applyAlignment="1">
      <alignment horizontal="center" vertical="center" wrapText="1"/>
    </xf>
    <xf numFmtId="0" fontId="59" fillId="0" borderId="27" xfId="0" applyFont="1" applyBorder="1" applyAlignment="1">
      <alignment horizontal="center" vertical="center" wrapText="1"/>
    </xf>
    <xf numFmtId="0" fontId="59" fillId="0" borderId="30" xfId="0" applyFont="1" applyBorder="1" applyAlignment="1">
      <alignment horizontal="center" vertical="center" wrapText="1"/>
    </xf>
    <xf numFmtId="0" fontId="59" fillId="0" borderId="20" xfId="0" applyFont="1" applyBorder="1" applyAlignment="1">
      <alignment horizontal="center" vertical="center" wrapText="1"/>
    </xf>
    <xf numFmtId="0" fontId="102" fillId="65" borderId="40" xfId="0" applyFont="1" applyFill="1" applyBorder="1" applyAlignment="1">
      <alignment horizontal="left" vertical="center" wrapText="1"/>
    </xf>
    <xf numFmtId="0" fontId="102" fillId="65" borderId="41" xfId="0" applyFont="1" applyFill="1" applyBorder="1" applyAlignment="1">
      <alignment horizontal="left" vertical="center" wrapText="1"/>
    </xf>
    <xf numFmtId="0" fontId="102" fillId="65" borderId="42" xfId="0" applyFont="1" applyFill="1" applyBorder="1" applyAlignment="1">
      <alignment horizontal="left" vertical="center" wrapText="1"/>
    </xf>
    <xf numFmtId="0" fontId="102" fillId="65" borderId="60" xfId="0" applyFont="1" applyFill="1" applyBorder="1" applyAlignment="1">
      <alignment horizontal="left" vertical="center" wrapText="1"/>
    </xf>
    <xf numFmtId="0" fontId="102" fillId="65" borderId="78" xfId="0" applyFont="1" applyFill="1" applyBorder="1" applyAlignment="1">
      <alignment horizontal="left" vertical="center" wrapText="1"/>
    </xf>
    <xf numFmtId="0" fontId="102" fillId="65" borderId="73" xfId="0" applyFont="1" applyFill="1" applyBorder="1" applyAlignment="1">
      <alignment horizontal="left" vertical="center" wrapText="1"/>
    </xf>
    <xf numFmtId="0" fontId="52" fillId="38" borderId="60" xfId="0" applyFont="1" applyFill="1" applyBorder="1" applyAlignment="1">
      <alignment vertical="center" wrapText="1"/>
    </xf>
    <xf numFmtId="0" fontId="52" fillId="38" borderId="78" xfId="0" applyFont="1" applyFill="1" applyBorder="1" applyAlignment="1">
      <alignment vertical="center" wrapText="1"/>
    </xf>
    <xf numFmtId="0" fontId="52" fillId="38" borderId="67" xfId="0" applyFont="1" applyFill="1" applyBorder="1" applyAlignment="1">
      <alignment horizontal="center" vertical="center" wrapText="1"/>
    </xf>
    <xf numFmtId="0" fontId="52" fillId="38" borderId="102" xfId="0" applyFont="1" applyFill="1" applyBorder="1" applyAlignment="1">
      <alignment horizontal="center" vertical="center" wrapText="1"/>
    </xf>
    <xf numFmtId="0" fontId="52" fillId="38" borderId="68" xfId="0" applyFont="1" applyFill="1" applyBorder="1" applyAlignment="1">
      <alignment horizontal="center" vertical="center" wrapText="1"/>
    </xf>
    <xf numFmtId="0" fontId="102" fillId="65" borderId="40" xfId="0" applyFont="1" applyFill="1" applyBorder="1" applyAlignment="1">
      <alignment horizontal="left" vertical="center"/>
    </xf>
    <xf numFmtId="0" fontId="102" fillId="65" borderId="41" xfId="0" applyFont="1" applyFill="1" applyBorder="1" applyAlignment="1">
      <alignment horizontal="left" vertical="center"/>
    </xf>
    <xf numFmtId="0" fontId="102" fillId="65" borderId="42" xfId="0" applyFont="1" applyFill="1" applyBorder="1" applyAlignment="1">
      <alignment horizontal="left" vertical="center"/>
    </xf>
    <xf numFmtId="3" fontId="52" fillId="38" borderId="28" xfId="0" applyNumberFormat="1" applyFont="1" applyFill="1" applyBorder="1" applyAlignment="1">
      <alignment horizontal="center" vertical="center" wrapText="1"/>
    </xf>
    <xf numFmtId="3" fontId="52" fillId="38" borderId="11" xfId="0" applyNumberFormat="1" applyFont="1" applyFill="1" applyBorder="1" applyAlignment="1">
      <alignment horizontal="center" vertical="center" wrapText="1"/>
    </xf>
    <xf numFmtId="3" fontId="52" fillId="38" borderId="29" xfId="0" applyNumberFormat="1" applyFont="1" applyFill="1" applyBorder="1" applyAlignment="1">
      <alignment horizontal="center" vertical="center" wrapText="1"/>
    </xf>
    <xf numFmtId="3" fontId="52" fillId="38" borderId="59" xfId="0" applyNumberFormat="1" applyFont="1" applyFill="1" applyBorder="1" applyAlignment="1">
      <alignment horizontal="center" vertical="center" wrapText="1"/>
    </xf>
    <xf numFmtId="3" fontId="52" fillId="0" borderId="29" xfId="0" applyNumberFormat="1" applyFont="1" applyFill="1" applyBorder="1" applyAlignment="1">
      <alignment horizontal="center" vertical="center" wrapText="1"/>
    </xf>
    <xf numFmtId="3" fontId="52" fillId="0" borderId="59" xfId="0" applyNumberFormat="1" applyFont="1" applyFill="1" applyBorder="1" applyAlignment="1">
      <alignment horizontal="center" vertical="center" wrapText="1"/>
    </xf>
    <xf numFmtId="0" fontId="55" fillId="38" borderId="59" xfId="0" applyFont="1" applyFill="1" applyBorder="1" applyAlignment="1">
      <alignment horizontal="center" vertical="center" wrapText="1"/>
    </xf>
    <xf numFmtId="0" fontId="55" fillId="38" borderId="71" xfId="0" applyFont="1" applyFill="1" applyBorder="1" applyAlignment="1">
      <alignment horizontal="center" vertical="center" wrapText="1"/>
    </xf>
    <xf numFmtId="0" fontId="55" fillId="38" borderId="46" xfId="0" applyFont="1" applyFill="1" applyBorder="1" applyAlignment="1">
      <alignment horizontal="center" vertical="center" wrapText="1"/>
    </xf>
    <xf numFmtId="0" fontId="105" fillId="0" borderId="0" xfId="56" applyFont="1" applyFill="1" applyAlignment="1">
      <alignment horizontal="left" vertical="center" wrapText="1"/>
    </xf>
    <xf numFmtId="0" fontId="59" fillId="38" borderId="40" xfId="58" applyFont="1" applyFill="1" applyBorder="1" applyAlignment="1">
      <alignment horizontal="center" vertical="center" wrapText="1"/>
    </xf>
    <xf numFmtId="0" fontId="59" fillId="38" borderId="42" xfId="58" applyFont="1" applyFill="1" applyBorder="1" applyAlignment="1">
      <alignment horizontal="center" vertical="center" wrapText="1"/>
    </xf>
    <xf numFmtId="0" fontId="59" fillId="38" borderId="40" xfId="58" applyFont="1" applyFill="1" applyBorder="1" applyAlignment="1">
      <alignment vertical="center" wrapText="1"/>
    </xf>
    <xf numFmtId="0" fontId="59" fillId="38" borderId="41" xfId="58" applyFont="1" applyFill="1" applyBorder="1" applyAlignment="1">
      <alignment vertical="center" wrapText="1"/>
    </xf>
    <xf numFmtId="0" fontId="59" fillId="38" borderId="42" xfId="58" applyFont="1" applyFill="1" applyBorder="1" applyAlignment="1">
      <alignment vertical="center" wrapText="1"/>
    </xf>
    <xf numFmtId="0" fontId="59" fillId="38" borderId="43" xfId="58" applyFont="1" applyFill="1" applyBorder="1" applyAlignment="1">
      <alignment horizontal="center" vertical="center" wrapText="1"/>
    </xf>
    <xf numFmtId="0" fontId="59" fillId="38" borderId="45" xfId="58" applyFont="1" applyFill="1" applyBorder="1" applyAlignment="1">
      <alignment horizontal="center" vertical="center" wrapText="1"/>
    </xf>
    <xf numFmtId="0" fontId="76" fillId="38" borderId="57" xfId="58" applyFont="1" applyFill="1" applyBorder="1" applyAlignment="1">
      <alignment horizontal="center" vertical="center" wrapText="1"/>
    </xf>
    <xf numFmtId="0" fontId="76" fillId="38" borderId="45" xfId="58" applyFont="1" applyFill="1" applyBorder="1" applyAlignment="1">
      <alignment horizontal="center" vertical="center" wrapText="1"/>
    </xf>
    <xf numFmtId="0" fontId="76" fillId="38" borderId="72" xfId="58" applyFont="1" applyFill="1" applyBorder="1" applyAlignment="1">
      <alignment horizontal="center" vertical="center" wrapText="1"/>
    </xf>
    <xf numFmtId="0" fontId="59" fillId="38" borderId="57" xfId="58" applyFont="1" applyFill="1" applyBorder="1" applyAlignment="1">
      <alignment horizontal="center" vertical="center" wrapText="1"/>
    </xf>
    <xf numFmtId="0" fontId="59" fillId="38" borderId="49" xfId="58" applyFont="1" applyFill="1" applyBorder="1" applyAlignment="1">
      <alignment horizontal="center" vertical="center" wrapText="1"/>
    </xf>
    <xf numFmtId="0" fontId="90" fillId="0" borderId="0" xfId="58" applyFont="1" applyAlignment="1">
      <alignment horizontal="left" wrapText="1"/>
    </xf>
    <xf numFmtId="0" fontId="59" fillId="38" borderId="22" xfId="58" applyFont="1" applyFill="1" applyBorder="1" applyAlignment="1">
      <alignment horizontal="center" vertical="center" wrapText="1"/>
    </xf>
    <xf numFmtId="0" fontId="59" fillId="38" borderId="23" xfId="58" applyFont="1" applyFill="1" applyBorder="1" applyAlignment="1">
      <alignment horizontal="center" vertical="center" wrapText="1"/>
    </xf>
    <xf numFmtId="0" fontId="59" fillId="38" borderId="62" xfId="58" applyFont="1" applyFill="1" applyBorder="1" applyAlignment="1">
      <alignment horizontal="center" vertical="center" wrapText="1"/>
    </xf>
    <xf numFmtId="0" fontId="59" fillId="38" borderId="0" xfId="58" applyFont="1" applyFill="1" applyAlignment="1">
      <alignment horizontal="center" vertical="center" wrapText="1"/>
    </xf>
    <xf numFmtId="0" fontId="59" fillId="38" borderId="79" xfId="58" applyFont="1" applyFill="1" applyBorder="1" applyAlignment="1">
      <alignment horizontal="center" vertical="center" wrapText="1"/>
    </xf>
    <xf numFmtId="0" fontId="59" fillId="38" borderId="17" xfId="58" applyFont="1" applyFill="1" applyBorder="1" applyAlignment="1">
      <alignment horizontal="center" vertical="center" wrapText="1"/>
    </xf>
    <xf numFmtId="0" fontId="59" fillId="35" borderId="43" xfId="58" applyFont="1" applyFill="1" applyBorder="1" applyAlignment="1">
      <alignment horizontal="center" vertical="center" wrapText="1"/>
    </xf>
    <xf numFmtId="0" fontId="59" fillId="35" borderId="45" xfId="58" applyFont="1" applyFill="1" applyBorder="1" applyAlignment="1">
      <alignment horizontal="center" vertical="center" wrapText="1"/>
    </xf>
    <xf numFmtId="0" fontId="59" fillId="35" borderId="62" xfId="58" applyFont="1" applyFill="1" applyBorder="1" applyAlignment="1">
      <alignment horizontal="center" vertical="center" wrapText="1"/>
    </xf>
    <xf numFmtId="0" fontId="59" fillId="38" borderId="44" xfId="58" applyFont="1" applyFill="1" applyBorder="1" applyAlignment="1">
      <alignment horizontal="center" vertical="center" wrapText="1"/>
    </xf>
    <xf numFmtId="0" fontId="59" fillId="35" borderId="49" xfId="58" applyFont="1" applyFill="1" applyBorder="1" applyAlignment="1">
      <alignment horizontal="center" vertical="center" wrapText="1"/>
    </xf>
    <xf numFmtId="0" fontId="59" fillId="35" borderId="57" xfId="58" applyFont="1" applyFill="1" applyBorder="1" applyAlignment="1">
      <alignment horizontal="center" vertical="center" wrapText="1"/>
    </xf>
    <xf numFmtId="0" fontId="89" fillId="38" borderId="22" xfId="58" applyFont="1" applyFill="1" applyBorder="1" applyAlignment="1">
      <alignment horizontal="center" vertical="center" wrapText="1"/>
    </xf>
    <xf numFmtId="0" fontId="89" fillId="38" borderId="62" xfId="58" applyFont="1" applyFill="1" applyBorder="1" applyAlignment="1">
      <alignment horizontal="center" vertical="center" wrapText="1"/>
    </xf>
    <xf numFmtId="0" fontId="89" fillId="38" borderId="26" xfId="58" applyFont="1" applyFill="1" applyBorder="1" applyAlignment="1">
      <alignment horizontal="center" vertical="center" wrapText="1"/>
    </xf>
    <xf numFmtId="0" fontId="89" fillId="38" borderId="71" xfId="58" applyFont="1" applyFill="1" applyBorder="1" applyAlignment="1">
      <alignment horizontal="center" vertical="center" wrapText="1"/>
    </xf>
    <xf numFmtId="0" fontId="59" fillId="38" borderId="63" xfId="58" applyFont="1" applyFill="1" applyBorder="1" applyAlignment="1">
      <alignment horizontal="center" vertical="center" wrapText="1"/>
    </xf>
    <xf numFmtId="0" fontId="0" fillId="33" borderId="0" xfId="0" applyFill="1" applyAlignment="1">
      <alignment horizontal="center" vertical="center" wrapText="1"/>
    </xf>
    <xf numFmtId="0" fontId="0" fillId="40" borderId="0" xfId="0" applyFill="1" applyAlignment="1">
      <alignment horizontal="center" vertical="center" wrapText="1"/>
    </xf>
    <xf numFmtId="0" fontId="0" fillId="63" borderId="0" xfId="0" applyFill="1" applyAlignment="1">
      <alignment horizontal="center" vertical="center" wrapText="1"/>
    </xf>
    <xf numFmtId="0" fontId="0" fillId="57" borderId="0" xfId="0" applyFill="1" applyAlignment="1">
      <alignment horizontal="center" vertical="center" wrapText="1"/>
    </xf>
    <xf numFmtId="0" fontId="32" fillId="0" borderId="0" xfId="0" applyFont="1" applyAlignment="1">
      <alignment horizontal="left" wrapText="1"/>
    </xf>
    <xf numFmtId="165" fontId="25" fillId="57" borderId="0" xfId="44" applyNumberFormat="1" applyFont="1" applyFill="1" applyAlignment="1">
      <alignment horizontal="center" vertical="center" wrapText="1"/>
    </xf>
    <xf numFmtId="0" fontId="45" fillId="56" borderId="13" xfId="49" applyFont="1" applyFill="1" applyBorder="1" applyAlignment="1">
      <alignment horizontal="center" vertical="top"/>
    </xf>
    <xf numFmtId="0" fontId="45" fillId="56" borderId="20" xfId="49" applyFont="1" applyFill="1" applyBorder="1" applyAlignment="1">
      <alignment horizontal="center" vertical="top"/>
    </xf>
    <xf numFmtId="0" fontId="45" fillId="0" borderId="0" xfId="49" applyFont="1" applyFill="1" applyBorder="1" applyAlignment="1">
      <alignment horizontal="center" vertical="top"/>
    </xf>
    <xf numFmtId="0" fontId="25" fillId="38" borderId="10" xfId="0" applyFont="1" applyFill="1" applyBorder="1" applyAlignment="1">
      <alignment horizontal="center"/>
    </xf>
    <xf numFmtId="0" fontId="25" fillId="38" borderId="10" xfId="0" applyFont="1" applyFill="1" applyBorder="1" applyAlignment="1">
      <alignment horizontal="center" vertical="center"/>
    </xf>
    <xf numFmtId="0" fontId="25" fillId="38" borderId="13" xfId="0" applyFont="1" applyFill="1" applyBorder="1" applyAlignment="1">
      <alignment horizontal="center"/>
    </xf>
    <xf numFmtId="0" fontId="25" fillId="38" borderId="19" xfId="0" applyFont="1" applyFill="1" applyBorder="1" applyAlignment="1">
      <alignment horizontal="center"/>
    </xf>
    <xf numFmtId="0" fontId="25" fillId="38" borderId="20" xfId="0" applyFont="1" applyFill="1" applyBorder="1" applyAlignment="1">
      <alignment horizontal="center"/>
    </xf>
    <xf numFmtId="0" fontId="0" fillId="39" borderId="0" xfId="0" applyFill="1" applyAlignment="1">
      <alignment horizontal="center"/>
    </xf>
    <xf numFmtId="0" fontId="0" fillId="36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37" fillId="46" borderId="32" xfId="62" applyFont="1" applyFill="1" applyBorder="1" applyAlignment="1"/>
    <xf numFmtId="0" fontId="37" fillId="46" borderId="33" xfId="62" applyFont="1" applyFill="1" applyBorder="1" applyAlignment="1"/>
    <xf numFmtId="0" fontId="35" fillId="41" borderId="51" xfId="62" applyFont="1" applyFill="1" applyBorder="1" applyAlignment="1">
      <alignment horizontal="center"/>
    </xf>
    <xf numFmtId="0" fontId="35" fillId="41" borderId="52" xfId="62" applyFont="1" applyFill="1" applyBorder="1" applyAlignment="1">
      <alignment horizontal="center"/>
    </xf>
    <xf numFmtId="0" fontId="2" fillId="41" borderId="52" xfId="62" applyFill="1" applyBorder="1" applyAlignment="1">
      <alignment horizontal="center"/>
    </xf>
    <xf numFmtId="0" fontId="2" fillId="41" borderId="53" xfId="62" applyFill="1" applyBorder="1" applyAlignment="1">
      <alignment horizontal="center"/>
    </xf>
    <xf numFmtId="0" fontId="35" fillId="41" borderId="53" xfId="62" applyFont="1" applyFill="1" applyBorder="1" applyAlignment="1">
      <alignment horizontal="center"/>
    </xf>
    <xf numFmtId="0" fontId="86" fillId="46" borderId="27" xfId="62" applyFont="1" applyFill="1" applyBorder="1" applyAlignment="1"/>
    <xf numFmtId="0" fontId="86" fillId="46" borderId="28" xfId="62" applyFont="1" applyFill="1" applyBorder="1" applyAlignment="1"/>
    <xf numFmtId="0" fontId="86" fillId="62" borderId="30" xfId="62" applyFont="1" applyFill="1" applyBorder="1" applyAlignment="1">
      <alignment wrapText="1"/>
    </xf>
    <xf numFmtId="0" fontId="86" fillId="62" borderId="10" xfId="62" applyFont="1" applyFill="1" applyBorder="1" applyAlignment="1">
      <alignment wrapText="1"/>
    </xf>
    <xf numFmtId="0" fontId="86" fillId="46" borderId="30" xfId="62" applyFont="1" applyFill="1" applyBorder="1" applyAlignment="1"/>
    <xf numFmtId="0" fontId="86" fillId="46" borderId="10" xfId="62" applyFont="1" applyFill="1" applyBorder="1" applyAlignment="1"/>
    <xf numFmtId="0" fontId="86" fillId="62" borderId="30" xfId="62" applyFont="1" applyFill="1" applyBorder="1" applyAlignment="1"/>
    <xf numFmtId="0" fontId="86" fillId="62" borderId="10" xfId="62" applyFont="1" applyFill="1" applyBorder="1" applyAlignment="1"/>
    <xf numFmtId="0" fontId="25" fillId="38" borderId="13" xfId="0" applyFont="1" applyFill="1" applyBorder="1" applyAlignment="1">
      <alignment horizontal="center" vertical="center" wrapText="1"/>
    </xf>
    <xf numFmtId="0" fontId="25" fillId="38" borderId="19" xfId="0" applyFont="1" applyFill="1" applyBorder="1" applyAlignment="1">
      <alignment horizontal="center" vertical="center" wrapText="1"/>
    </xf>
    <xf numFmtId="0" fontId="25" fillId="38" borderId="20" xfId="0" applyFont="1" applyFill="1" applyBorder="1" applyAlignment="1">
      <alignment horizontal="center" vertical="center" wrapText="1"/>
    </xf>
    <xf numFmtId="3" fontId="0" fillId="0" borderId="10" xfId="0" applyNumberFormat="1" applyFont="1" applyFill="1" applyBorder="1" applyAlignment="1">
      <alignment horizontal="center"/>
    </xf>
    <xf numFmtId="3" fontId="25" fillId="0" borderId="0" xfId="0" applyNumberFormat="1" applyFont="1" applyFill="1" applyBorder="1" applyAlignment="1">
      <alignment horizontal="center"/>
    </xf>
    <xf numFmtId="3" fontId="0" fillId="0" borderId="13" xfId="0" applyNumberFormat="1" applyFont="1" applyFill="1" applyBorder="1" applyAlignment="1">
      <alignment horizontal="center"/>
    </xf>
    <xf numFmtId="3" fontId="0" fillId="0" borderId="20" xfId="0" applyNumberFormat="1" applyFont="1" applyFill="1" applyBorder="1" applyAlignment="1">
      <alignment horizontal="center"/>
    </xf>
    <xf numFmtId="167" fontId="98" fillId="75" borderId="10" xfId="49" applyNumberFormat="1" applyFont="1" applyFill="1" applyBorder="1" applyAlignment="1">
      <alignment horizontal="center" vertical="center"/>
    </xf>
    <xf numFmtId="0" fontId="99" fillId="75" borderId="10" xfId="49" applyNumberFormat="1" applyFont="1" applyFill="1" applyBorder="1" applyAlignment="1">
      <alignment horizontal="center" vertical="center" wrapText="1"/>
    </xf>
    <xf numFmtId="165" fontId="99" fillId="75" borderId="10" xfId="64" applyNumberFormat="1" applyFont="1" applyFill="1" applyBorder="1" applyAlignment="1">
      <alignment horizontal="center" vertical="center" wrapText="1"/>
    </xf>
    <xf numFmtId="0" fontId="52" fillId="0" borderId="22" xfId="0" applyFont="1" applyBorder="1" applyAlignment="1">
      <alignment horizontal="center" vertical="center" wrapText="1"/>
    </xf>
    <xf numFmtId="0" fontId="52" fillId="0" borderId="23" xfId="0" applyFont="1" applyBorder="1" applyAlignment="1">
      <alignment horizontal="center" vertical="center" wrapText="1"/>
    </xf>
    <xf numFmtId="0" fontId="52" fillId="0" borderId="27" xfId="0" applyFont="1" applyBorder="1" applyAlignment="1">
      <alignment horizontal="left" vertical="center" wrapText="1"/>
    </xf>
    <xf numFmtId="0" fontId="52" fillId="0" borderId="30" xfId="0" applyFont="1" applyBorder="1" applyAlignment="1">
      <alignment horizontal="left" vertical="center" wrapText="1"/>
    </xf>
    <xf numFmtId="0" fontId="52" fillId="0" borderId="10" xfId="0" applyFont="1" applyBorder="1" applyAlignment="1">
      <alignment horizontal="left" vertical="center" wrapText="1"/>
    </xf>
    <xf numFmtId="0" fontId="53" fillId="0" borderId="30" xfId="0" applyFont="1" applyBorder="1" applyAlignment="1">
      <alignment horizontal="left" vertical="center"/>
    </xf>
    <xf numFmtId="0" fontId="53" fillId="0" borderId="10" xfId="0" applyFont="1" applyBorder="1" applyAlignment="1">
      <alignment horizontal="left" vertical="center"/>
    </xf>
    <xf numFmtId="0" fontId="53" fillId="0" borderId="31" xfId="0" applyFont="1" applyBorder="1" applyAlignment="1">
      <alignment horizontal="left" vertical="center"/>
    </xf>
    <xf numFmtId="0" fontId="52" fillId="0" borderId="32" xfId="0" applyFont="1" applyBorder="1" applyAlignment="1">
      <alignment horizontal="left" vertical="center" wrapText="1"/>
    </xf>
    <xf numFmtId="0" fontId="52" fillId="0" borderId="33" xfId="0" applyFont="1" applyBorder="1" applyAlignment="1">
      <alignment horizontal="left" vertical="center" wrapText="1"/>
    </xf>
  </cellXfs>
  <cellStyles count="65">
    <cellStyle name="20% - 1. jelölőszín" xfId="19" builtinId="30" customBuiltin="1"/>
    <cellStyle name="20% - 2. jelölőszín" xfId="23" builtinId="34" customBuiltin="1"/>
    <cellStyle name="20% - 3. jelölőszín" xfId="27" builtinId="38" customBuiltin="1"/>
    <cellStyle name="20% - 4. jelölőszín" xfId="31" builtinId="42" customBuiltin="1"/>
    <cellStyle name="20% - 5. jelölőszín" xfId="35" builtinId="46" customBuiltin="1"/>
    <cellStyle name="20% - 6. jelölőszín" xfId="39" builtinId="50" customBuiltin="1"/>
    <cellStyle name="40% - 1. jelölőszín" xfId="20" builtinId="31" customBuiltin="1"/>
    <cellStyle name="40% - 2. jelölőszín" xfId="24" builtinId="35" customBuiltin="1"/>
    <cellStyle name="40% - 3. jelölőszín" xfId="28" builtinId="39" customBuiltin="1"/>
    <cellStyle name="40% - 4. jelölőszín" xfId="32" builtinId="43" customBuiltin="1"/>
    <cellStyle name="40% - 5. jelölőszín" xfId="36" builtinId="47" customBuiltin="1"/>
    <cellStyle name="40% - 6. jelölőszín" xfId="40" builtinId="51" customBuiltin="1"/>
    <cellStyle name="60% - 1. jelölőszín" xfId="21" builtinId="32" customBuiltin="1"/>
    <cellStyle name="60% - 2. jelölőszín" xfId="25" builtinId="36" customBuiltin="1"/>
    <cellStyle name="60% - 3. jelölőszín" xfId="29" builtinId="40" customBuiltin="1"/>
    <cellStyle name="60% - 4. jelölőszín" xfId="33" builtinId="44" customBuiltin="1"/>
    <cellStyle name="60% - 5. jelölőszín" xfId="37" builtinId="48" customBuiltin="1"/>
    <cellStyle name="60% - 6. jelölőszín" xfId="41" builtinId="52" customBuiltin="1"/>
    <cellStyle name="Bevitel" xfId="9" builtinId="20" customBuiltin="1"/>
    <cellStyle name="Cím" xfId="1" builtinId="15" customBuiltin="1"/>
    <cellStyle name="Címsor 1" xfId="2" builtinId="16" customBuiltin="1"/>
    <cellStyle name="Címsor 2" xfId="3" builtinId="17" customBuiltin="1"/>
    <cellStyle name="Címsor 3" xfId="4" builtinId="18" customBuiltin="1"/>
    <cellStyle name="Címsor 4" xfId="5" builtinId="19" customBuiltin="1"/>
    <cellStyle name="Ellenőrzőcella" xfId="13" builtinId="23" customBuiltin="1"/>
    <cellStyle name="Ezres" xfId="42" builtinId="3"/>
    <cellStyle name="Ezres 2" xfId="44"/>
    <cellStyle name="Ezres 2 2" xfId="53"/>
    <cellStyle name="Ezres 2 2 2" xfId="55"/>
    <cellStyle name="Ezres 3" xfId="59"/>
    <cellStyle name="Ezres 4" xfId="61"/>
    <cellStyle name="Ezres 5" xfId="64"/>
    <cellStyle name="Figyelmeztetés" xfId="14" builtinId="11" customBuiltin="1"/>
    <cellStyle name="Hivatkozott cella" xfId="12" builtinId="24" customBuiltin="1"/>
    <cellStyle name="Jegyzet" xfId="15" builtinId="10" customBuiltin="1"/>
    <cellStyle name="Jelölőszín 1" xfId="18" builtinId="29" customBuiltin="1"/>
    <cellStyle name="Jelölőszín 2" xfId="22" builtinId="33" customBuiltin="1"/>
    <cellStyle name="Jelölőszín 3" xfId="26" builtinId="37" customBuiltin="1"/>
    <cellStyle name="Jelölőszín 4" xfId="30" builtinId="41" customBuiltin="1"/>
    <cellStyle name="Jelölőszín 5" xfId="34" builtinId="45" customBuiltin="1"/>
    <cellStyle name="Jelölőszín 6" xfId="38" builtinId="49" customBuiltin="1"/>
    <cellStyle name="Jó" xfId="6" builtinId="26" customBuiltin="1"/>
    <cellStyle name="Kimenet" xfId="10" builtinId="21" customBuiltin="1"/>
    <cellStyle name="Magyarázó szöveg" xfId="16" builtinId="53" customBuiltin="1"/>
    <cellStyle name="Normál" xfId="0" builtinId="0"/>
    <cellStyle name="Normál 2" xfId="43"/>
    <cellStyle name="Normál 2 2" xfId="49"/>
    <cellStyle name="Normál 2 3" xfId="57"/>
    <cellStyle name="Normál 2 4" xfId="62"/>
    <cellStyle name="Normál 25" xfId="46"/>
    <cellStyle name="Normál 27" xfId="47"/>
    <cellStyle name="Normál 3" xfId="45"/>
    <cellStyle name="Normál 3 2" xfId="52"/>
    <cellStyle name="Normál 4" xfId="54"/>
    <cellStyle name="Normál 4 2" xfId="58"/>
    <cellStyle name="Normál 4 2 3" xfId="48"/>
    <cellStyle name="Normál 5" xfId="56"/>
    <cellStyle name="Normál 6" xfId="60"/>
    <cellStyle name="Normál 8" xfId="63"/>
    <cellStyle name="Normál 9" xfId="51"/>
    <cellStyle name="Összesen" xfId="17" builtinId="25" customBuiltin="1"/>
    <cellStyle name="Rossz" xfId="7" builtinId="27" customBuiltin="1"/>
    <cellStyle name="Semleges" xfId="8" builtinId="28" customBuiltin="1"/>
    <cellStyle name="Számítás" xfId="11" builtinId="22" customBuiltin="1"/>
    <cellStyle name="Százalék" xfId="50" builtinId="5"/>
  </cellStyles>
  <dxfs count="733">
    <dxf>
      <numFmt numFmtId="3" formatCode="#,##0"/>
    </dxf>
    <dxf>
      <numFmt numFmtId="3" formatCode="#,##0"/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none">
          <bgColor auto="1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numFmt numFmtId="3" formatCode="#,##0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-0.249977111117893"/>
        </patternFill>
      </fill>
    </dxf>
    <dxf>
      <fill>
        <patternFill patternType="solid">
          <bgColor theme="9" tint="-0.249977111117893"/>
        </patternFill>
      </fill>
    </dxf>
    <dxf>
      <fill>
        <patternFill patternType="solid">
          <bgColor theme="9" tint="-0.249977111117893"/>
        </patternFill>
      </fill>
    </dxf>
    <dxf>
      <fill>
        <patternFill patternType="solid">
          <bgColor theme="9" tint="-0.249977111117893"/>
        </patternFill>
      </fill>
    </dxf>
    <dxf>
      <fill>
        <patternFill patternType="solid">
          <bgColor theme="9" tint="-0.249977111117893"/>
        </patternFill>
      </fill>
    </dxf>
    <dxf>
      <fill>
        <patternFill patternType="solid">
          <bgColor theme="9" tint="0.39997558519241921"/>
        </patternFill>
      </fill>
    </dxf>
    <dxf>
      <fill>
        <patternFill patternType="solid">
          <bgColor theme="9" tint="0.39997558519241921"/>
        </patternFill>
      </fill>
    </dxf>
    <dxf>
      <fill>
        <patternFill patternType="solid">
          <bgColor theme="9" tint="0.39997558519241921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numFmt numFmtId="3" formatCode="#,##0"/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numFmt numFmtId="172" formatCode="#,##0_ ;[Red]\-#,##0\ 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alignment wrapText="1"/>
    </dxf>
    <dxf>
      <alignment wrapText="1"/>
    </dxf>
    <dxf>
      <alignment wrapText="1"/>
    </dxf>
    <dxf>
      <fill>
        <patternFill patternType="none">
          <bgColor auto="1"/>
        </patternFill>
      </fill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72" formatCode="#,##0_ ;[Red]\-#,##0\ "/>
    </dxf>
    <dxf>
      <font>
        <name val="Calibri"/>
      </font>
    </dxf>
    <dxf>
      <font>
        <name val="Calibri"/>
      </font>
    </dxf>
  </dxfs>
  <tableStyles count="0" defaultTableStyle="TableStyleMedium2" defaultPivotStyle="PivotStyleLight16"/>
  <colors>
    <mruColors>
      <color rgb="FF6666FF"/>
      <color rgb="FFFF0066"/>
      <color rgb="FFFF3300"/>
      <color rgb="FFFCF488"/>
      <color rgb="FFEE8B40"/>
      <color rgb="FFDA8310"/>
      <color rgb="FFCC3300"/>
      <color rgb="FF99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1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externalLink" Target="externalLinks/externalLink4.xml"/><Relationship Id="rId47" Type="http://schemas.openxmlformats.org/officeDocument/2006/relationships/externalLink" Target="externalLinks/externalLink9.xml"/><Relationship Id="rId50" Type="http://schemas.openxmlformats.org/officeDocument/2006/relationships/externalLink" Target="externalLinks/externalLink12.xml"/><Relationship Id="rId55" Type="http://schemas.openxmlformats.org/officeDocument/2006/relationships/pivotCacheDefinition" Target="pivotCache/pivotCacheDefinition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externalLink" Target="externalLinks/externalLink2.xml"/><Relationship Id="rId45" Type="http://schemas.openxmlformats.org/officeDocument/2006/relationships/externalLink" Target="externalLinks/externalLink7.xml"/><Relationship Id="rId53" Type="http://schemas.openxmlformats.org/officeDocument/2006/relationships/pivotCacheDefinition" Target="pivotCache/pivotCacheDefinition1.xml"/><Relationship Id="rId58" Type="http://schemas.openxmlformats.org/officeDocument/2006/relationships/styles" Target="styles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externalLink" Target="externalLinks/externalLink5.xml"/><Relationship Id="rId48" Type="http://schemas.openxmlformats.org/officeDocument/2006/relationships/externalLink" Target="externalLinks/externalLink10.xml"/><Relationship Id="rId56" Type="http://schemas.openxmlformats.org/officeDocument/2006/relationships/pivotCacheDefinition" Target="pivotCache/pivotCacheDefinition4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13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externalLink" Target="externalLinks/externalLink8.xml"/><Relationship Id="rId59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3.xml"/><Relationship Id="rId54" Type="http://schemas.openxmlformats.org/officeDocument/2006/relationships/pivotCacheDefinition" Target="pivotCache/pivotCacheDefinition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externalLink" Target="externalLinks/externalLink11.xml"/><Relationship Id="rId57" Type="http://schemas.openxmlformats.org/officeDocument/2006/relationships/theme" Target="theme/theme1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6.xml"/><Relationship Id="rId52" Type="http://schemas.openxmlformats.org/officeDocument/2006/relationships/externalLink" Target="externalLinks/externalLink14.xml"/><Relationship Id="rId60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INDOWS\Temporary%20Internet%20Files\OLKE3B3\KV2005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\_asztalon_volt\&#243;rarendk&#233;sz&#237;t&#233;s_k&#246;lts&#233;gtervek\2019&#337;sz\KOGNIT&#205;V\Oraadoi_ktsgterv_tablazat_2019_2020_I_oszELUP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Sales\K&#214;ZBESZERZ&#201;S\K&#246;zbeszerz&#233;sek%202017\F&#214;LDG&#193;Z\E&#246;tv&#246;s%20Lor&#225;nd%20Tudom&#225;nyegyetem\TAG\TAG_Migr&#225;l&#225;sra_K&#214;ZBESZ_ELTE.xlsm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kozos\Uzemeltetes\Terv%202019\M&#193;RTON\Terv_K&#233;p&#237;r&#243;_2019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&#211;raad&#243;i%20szerz&#337;d&#233;sek\2019_2020_I_&#337;sz\T&#225;bl&#225;zatok\ESI\ESI_Oraadoi_ktsgterv_tablazat_2019_2020_I_osz_20190415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zemeltetes\Terv%202020\&#252;zemeltet&#233;si%20terv%202020%20V2\35%20Terv_%20Huszt%20utcai%20lak&#225;sok-2020v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:\WINDOWS\Temporary%20Internet%20Files\OLKE3B3\KV200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tapai.istvan\AppData\Roaming\Microsoft\Excel\SEK%20terv2019-v02_&#252;zemeltet&#233;s-ErdeiZsuzsi%20(version%201).xlsb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fs\elte.hu\Adatrogzito\ADATROGZITO\Agatr&#246;gz&#237;t&#337;k%20Energiagazd&#225;lkod&#225;s\ELTE\ELTE%202012%20Adatr&#246;gz&#237;t&#337;%20t&#225;bla_v2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fs\elte.hu\EMT\Energiagazd&#225;lkod&#225;s\Szerz&#337;d&#246;tt%20c&#233;gek\ELTE\Adatr&#246;gz&#237;t&#233;s\ELTE%202014%20Adatr&#246;gz&#237;t&#337;%20t&#225;bla_v4_s_2014_10_06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zemeltetes\Terv%202020\&#252;zemeltet&#233;s%20terv%202020%20V1\Terv-2020-SEK-oktat&#225;s-1030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znt\energia\WINNT\Profiles\magdi.001\Asztal\energia_szamlak_2003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fs\elte.hu\Users\user\AppData\Local\Temp\szamlazas_2014%20a%202014.%20&#233;vi%20besz&#225;mol&#243;hoz%20-%20jav&#237;tott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zemeltetes\Terv%202020\&#252;zemeltet&#233;s%20terv%202020%20V1\TERV_2020_KECSKEM&#201;TI%20U.%2010-12._110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agram1"/>
      <sheetName val="kv.várható.köz.2001"/>
      <sheetName val="kv.várható.köz.2001.inf."/>
      <sheetName val="kv.várható.köz.2002.inf. "/>
      <sheetName val="kv.várható.köz.2003."/>
      <sheetName val="kv.várható.köz.2004."/>
      <sheetName val="kv.várható.köz.2004.Mód. "/>
      <sheetName val="kv.várható.köz.2005"/>
      <sheetName val="SB"/>
      <sheetName val="Segédtábla"/>
    </sheetNames>
    <sheetDataSet>
      <sheetData sheetId="0" refreshError="1"/>
      <sheetData sheetId="1">
        <row r="1">
          <cell r="B1" t="str">
            <v>Távhő</v>
          </cell>
          <cell r="F1" t="str">
            <v>Földgáz</v>
          </cell>
          <cell r="M1" t="str">
            <v xml:space="preserve"> Villamosenergia</v>
          </cell>
          <cell r="Q1" t="str">
            <v>Energia összesen</v>
          </cell>
          <cell r="T1" t="str">
            <v>Víz, csatorna</v>
          </cell>
          <cell r="X1" t="str">
            <v>Szippantás</v>
          </cell>
          <cell r="AA1" t="str">
            <v>Kéményseprés</v>
          </cell>
          <cell r="AD1" t="str">
            <v>Közmű összesen</v>
          </cell>
          <cell r="AG1" t="str">
            <v xml:space="preserve"> Telefon</v>
          </cell>
          <cell r="AJ1" t="str">
            <v>Mindösszesen</v>
          </cell>
        </row>
        <row r="3">
          <cell r="A3" t="str">
            <v>Tanulmányi ép.konyhák****</v>
          </cell>
        </row>
        <row r="4">
          <cell r="A4" t="str">
            <v xml:space="preserve">Óvoda-bölcsőde  </v>
          </cell>
        </row>
        <row r="5">
          <cell r="A5" t="str">
            <v>Gödi Okt.Közp.</v>
          </cell>
        </row>
        <row r="6">
          <cell r="A6" t="str">
            <v>B.Kenese MT</v>
          </cell>
        </row>
        <row r="7">
          <cell r="A7" t="str">
            <v>Hauszmann A. u.</v>
          </cell>
        </row>
        <row r="8">
          <cell r="A8" t="str">
            <v>Egyetem okt.ép.össz.:</v>
          </cell>
        </row>
        <row r="9">
          <cell r="A9" t="str">
            <v>Bogdánffy u.Sporttelep</v>
          </cell>
        </row>
        <row r="10">
          <cell r="A10" t="str">
            <v>Informatika épület *</v>
          </cell>
        </row>
        <row r="11">
          <cell r="A11" t="str">
            <v>Informatika Bme 2/3 **</v>
          </cell>
        </row>
        <row r="12">
          <cell r="A12" t="str">
            <v>Informatika Elte 1/3***</v>
          </cell>
        </row>
        <row r="13">
          <cell r="A13" t="str">
            <v>1.Egyetem összesen</v>
          </cell>
        </row>
        <row r="14">
          <cell r="A14" t="str">
            <v>Baross Koll.</v>
          </cell>
        </row>
        <row r="15">
          <cell r="A15" t="str">
            <v>Bercsényi Koll.</v>
          </cell>
        </row>
        <row r="16">
          <cell r="A16" t="str">
            <v>Kármán Koll.</v>
          </cell>
        </row>
        <row r="17">
          <cell r="A17" t="str">
            <v>Martos Koll.</v>
          </cell>
        </row>
        <row r="18">
          <cell r="A18" t="str">
            <v>Schönherz Koll.</v>
          </cell>
        </row>
        <row r="19">
          <cell r="A19" t="str">
            <v>Vásárhelyi Koll</v>
          </cell>
        </row>
        <row r="20">
          <cell r="A20" t="str">
            <v xml:space="preserve">Wigner Koll. </v>
          </cell>
        </row>
        <row r="21">
          <cell r="A21" t="str">
            <v>2.Kollégium össz.:</v>
          </cell>
        </row>
        <row r="22">
          <cell r="A22" t="str">
            <v>3. B.Lelle ifj.Tábor</v>
          </cell>
        </row>
        <row r="23">
          <cell r="A23" t="str">
            <v>1,2,3,Összesen</v>
          </cell>
        </row>
        <row r="25">
          <cell r="A25" t="str">
            <v>A Hauszmann A.u-i sporttelep költségeit MAFC téríti.</v>
          </cell>
        </row>
        <row r="26">
          <cell r="A26" t="str">
            <v>* Informatika épület a BME -hez beérkezett  számlák alapján 2000.évi felhasznált teljes épületre vonatkozó hőmennyiségek szerepelnek.</v>
          </cell>
        </row>
        <row r="27">
          <cell r="A27" t="str">
            <v>**és*** jelölt Informatika vizszintes sorokban szereplő természetes mértékegységek és forint összegek mennyiségei az 1.Egyetem összesen sor adataiban nem szerepelnek.</v>
          </cell>
        </row>
        <row r="28">
          <cell r="A28" t="str">
            <v>****A földgáz természetes mértékegység mennyiségénél az 1999.évről 2000.évre áthuzódó ki nem fizetett számla ,valamint fogyasztás mérők név átírása miatti csökkentett mennyiség lett figyelembe véve.</v>
          </cell>
        </row>
        <row r="29">
          <cell r="A29" t="str">
            <v>(Kármán,Martos koll. földgáz felhasználás a gázkazán miatti vetített mennyiség)</v>
          </cell>
        </row>
        <row r="30">
          <cell r="A30" t="str">
            <v>Az Informatika épület víz-csatorna ill.villamosenergia díjakat ELTE fizeti.</v>
          </cell>
        </row>
      </sheetData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nka1"/>
      <sheetName val="ELUP"/>
    </sheetNames>
    <sheetDataSet>
      <sheetData sheetId="0">
        <row r="751">
          <cell r="A751" t="str">
            <v>Nappali BA</v>
          </cell>
        </row>
      </sheetData>
      <sheetData sheetId="1">
        <row r="751">
          <cell r="A751" t="str">
            <v>Nappali BA</v>
          </cell>
        </row>
        <row r="752">
          <cell r="A752" t="str">
            <v>Nappali MA</v>
          </cell>
        </row>
        <row r="753">
          <cell r="A753" t="str">
            <v>Egyéb</v>
          </cell>
        </row>
        <row r="754">
          <cell r="A754" t="str">
            <v>PhD</v>
          </cell>
        </row>
        <row r="755">
          <cell r="A755" t="str">
            <v>Levelező BA</v>
          </cell>
        </row>
        <row r="756">
          <cell r="A756" t="str">
            <v>Levelező MA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G"/>
      <sheetName val="LM"/>
      <sheetName val="Munka3"/>
      <sheetName val="Key"/>
      <sheetName val="ker"/>
      <sheetName val="elo"/>
      <sheetName val="SAP ,migrtag fordító"/>
      <sheetName val="bankkulcs_lista"/>
      <sheetName val="Ellenőrzés"/>
      <sheetName val="ET"/>
    </sheetNames>
    <sheetDataSet>
      <sheetData sheetId="0"/>
      <sheetData sheetId="1"/>
      <sheetData sheetId="2"/>
      <sheetData sheetId="3">
        <row r="2">
          <cell r="C2" t="str">
            <v>FIXH</v>
          </cell>
          <cell r="D2" t="str">
            <v>m3/h</v>
          </cell>
        </row>
        <row r="3">
          <cell r="D3" t="str">
            <v>MJ/h</v>
          </cell>
        </row>
      </sheetData>
      <sheetData sheetId="4">
        <row r="1">
          <cell r="B1" t="str">
            <v>15X-E2-HUN-----4</v>
          </cell>
        </row>
      </sheetData>
      <sheetData sheetId="5">
        <row r="1">
          <cell r="B1" t="str">
            <v>39X60ALPIQCSEP1M</v>
          </cell>
        </row>
      </sheetData>
      <sheetData sheetId="6"/>
      <sheetData sheetId="7"/>
      <sheetData sheetId="8"/>
      <sheetData sheetId="9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nkaszám"/>
      <sheetName val="épület neve"/>
      <sheetName val="Tervezésui irányelvek"/>
      <sheetName val="épületek"/>
      <sheetName val="M-anyagcsoportok"/>
      <sheetName val="tevékenységek"/>
      <sheetName val="technikai"/>
      <sheetName val="Munkaszám technikai"/>
    </sheetNames>
    <sheetDataSet>
      <sheetData sheetId="0">
        <row r="1">
          <cell r="A1" t="str">
            <v>A15001/16 ÁJK üzemeltetés</v>
          </cell>
        </row>
        <row r="2">
          <cell r="A2" t="str">
            <v>B15001/16 PPKüzemeltetés</v>
          </cell>
        </row>
        <row r="3">
          <cell r="A3" t="str">
            <v>C15001/16 BTK üzemeltetés</v>
          </cell>
        </row>
        <row r="4">
          <cell r="A4" t="str">
            <v>D15001/16 TTK üzemeltetés</v>
          </cell>
        </row>
        <row r="5">
          <cell r="A5" t="str">
            <v>E15001/16 IK üzemeltetés</v>
          </cell>
        </row>
        <row r="6">
          <cell r="A6" t="str">
            <v>F15001/16 TÁTK üzemeltetés</v>
          </cell>
        </row>
        <row r="7">
          <cell r="A7" t="str">
            <v>G15001/16 BGGYK üzemeltetés</v>
          </cell>
        </row>
        <row r="8">
          <cell r="A8" t="str">
            <v>H15001/16 TÓK üzemeltetés</v>
          </cell>
        </row>
        <row r="9">
          <cell r="A9" t="str">
            <v>S12401/16 Füvészkert üzemeltetés</v>
          </cell>
        </row>
        <row r="10">
          <cell r="A10" t="str">
            <v>S13201/16 Gothard Obsz.üzemeltetés</v>
          </cell>
        </row>
        <row r="11">
          <cell r="A11" t="str">
            <v>S14102/16 Tatai Geológus Kert üzemeltetés</v>
          </cell>
        </row>
        <row r="12">
          <cell r="A12" t="str">
            <v>R14202/16 Bibó István Szakkoll üzemeltetés</v>
          </cell>
        </row>
        <row r="13">
          <cell r="A13" t="str">
            <v>R14402/16 Eötvös József Collegüzemeltetés</v>
          </cell>
        </row>
        <row r="14">
          <cell r="A14" t="str">
            <v>R15102/16 Egyetemi Könyvtár, levéltárüzemelt</v>
          </cell>
        </row>
        <row r="15">
          <cell r="A15" t="str">
            <v>N13002/16 KCSSK üzemeltetés</v>
          </cell>
        </row>
        <row r="16">
          <cell r="A16" t="str">
            <v>N13102/16 NUKüzemeltetés</v>
          </cell>
        </row>
        <row r="17">
          <cell r="A17" t="str">
            <v>N13202/16 NFKüzemeltetés</v>
          </cell>
        </row>
        <row r="18">
          <cell r="A18" t="str">
            <v>N13302/16 VUKüzemeltetés</v>
          </cell>
        </row>
        <row r="19">
          <cell r="A19" t="str">
            <v>N13402/16 ADKüzemeltetés</v>
          </cell>
        </row>
        <row r="20">
          <cell r="A20" t="str">
            <v>N13502/16 KUKüzemeltetés</v>
          </cell>
        </row>
        <row r="21">
          <cell r="A21" t="str">
            <v>N13602/16 DUKüzemeltetés</v>
          </cell>
        </row>
        <row r="22">
          <cell r="A22" t="str">
            <v>N13802/16 MÁSZ-Kunigunda üzemeltetés</v>
          </cell>
        </row>
        <row r="23">
          <cell r="A23" t="str">
            <v>N13902/16 MÁSZ-Debrecen üzemeltetés</v>
          </cell>
        </row>
        <row r="24">
          <cell r="A24" t="str">
            <v>N14002/16 MÁSZ-Pécs üzemeltetés</v>
          </cell>
        </row>
        <row r="25">
          <cell r="A25" t="str">
            <v>N14102/16 MÁSZ-Szeged üzemeltetés</v>
          </cell>
        </row>
        <row r="26">
          <cell r="A26" t="str">
            <v>K02001/17 Damjanich üzemeltetés</v>
          </cell>
        </row>
        <row r="27">
          <cell r="A27" t="str">
            <v>K02002/17 Kecskemétiüzemeltetés</v>
          </cell>
        </row>
        <row r="28">
          <cell r="A28" t="str">
            <v>K02201/16 Lágymányosi üzemeltetés</v>
          </cell>
        </row>
        <row r="29">
          <cell r="A29" t="str">
            <v>K02601/16 Gépjármű üzemeltetés</v>
          </cell>
        </row>
        <row r="30">
          <cell r="A30" t="str">
            <v>K02701/16 Üdülők üzemeltetése</v>
          </cell>
        </row>
        <row r="31">
          <cell r="A31" t="str">
            <v>K04802/16 lektori lakások üzemeltetése</v>
          </cell>
        </row>
        <row r="32">
          <cell r="A32" t="str">
            <v>KK9926/11 központi üzemeltetés</v>
          </cell>
        </row>
        <row r="33">
          <cell r="A33" t="str">
            <v>N14401/17 SEK üzemeltetés</v>
          </cell>
        </row>
        <row r="34">
          <cell r="A34" t="str">
            <v>N14403/17 SEKgépjármű üzemeltetés</v>
          </cell>
        </row>
        <row r="35">
          <cell r="A35" t="str">
            <v>N12601/18 Egyetem tér 5. üzemeltetése</v>
          </cell>
        </row>
      </sheetData>
      <sheetData sheetId="1">
        <row r="2">
          <cell r="AE2">
            <v>490000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17 BSc N"/>
      <sheetName val="SPB17 BSc N"/>
      <sheetName val="SPREB17 BSc N"/>
      <sheetName val="SPSPB17 BSc N"/>
      <sheetName val="REKM17 MSc N"/>
      <sheetName val="REKB13 BSc N"/>
      <sheetName val="SSZB13 BSc N"/>
      <sheetName val="Általános testnevelés"/>
      <sheetName val="ESI kiegészítő költségek"/>
      <sheetName val="Munk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AB5" t="str">
            <v>Nappali BA</v>
          </cell>
        </row>
        <row r="6">
          <cell r="AB6" t="str">
            <v>Nappali MA</v>
          </cell>
        </row>
        <row r="7">
          <cell r="AB7" t="str">
            <v>Levelező BA</v>
          </cell>
        </row>
        <row r="8">
          <cell r="AB8" t="str">
            <v>Levelező MA</v>
          </cell>
        </row>
        <row r="11">
          <cell r="AB11" t="str">
            <v>PhD</v>
          </cell>
        </row>
        <row r="12">
          <cell r="AB12" t="str">
            <v>Egyéb</v>
          </cell>
        </row>
      </sheetData>
      <sheetData sheetId="8"/>
      <sheetData sheetId="9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vékenységek"/>
      <sheetName val="terv - épület neve"/>
      <sheetName val="Tervezési irányelvek"/>
      <sheetName val="épületek"/>
      <sheetName val="anyagcsoportok SAP-ban"/>
      <sheetName val="M-anyagcsoportok"/>
      <sheetName val="munkaszám"/>
      <sheetName val="technikai"/>
      <sheetName val="Munkaszám technikai"/>
    </sheetNames>
    <sheetDataSet>
      <sheetData sheetId="0">
        <row r="2">
          <cell r="H2" t="str">
            <v>nem bontható 2200 PPP konstrukcióhoz kapcs.</v>
          </cell>
        </row>
        <row r="3">
          <cell r="H3" t="str">
            <v>nem bontható Ing üzemelt nem bontható szerz</v>
          </cell>
        </row>
        <row r="4">
          <cell r="H4" t="str">
            <v>nem bontható Nem bontható üzemeltetési szerz. alapján végzett hibajavítás</v>
          </cell>
        </row>
        <row r="5">
          <cell r="H5" t="str">
            <v>nem bontható Nem bontható üzemeltetési szerz. alapján végzett eseti munkák</v>
          </cell>
        </row>
        <row r="8">
          <cell r="H8" t="str">
            <v>építészet Épület szerkezet karbantartás</v>
          </cell>
        </row>
        <row r="9">
          <cell r="H9" t="str">
            <v>építészet 2370 Építőmesteri munkák</v>
          </cell>
        </row>
        <row r="10">
          <cell r="H10" t="str">
            <v>építészet 2371 Szakipari munkák építészet</v>
          </cell>
        </row>
        <row r="11">
          <cell r="H11" t="str">
            <v>építészet Bútorjavítás</v>
          </cell>
        </row>
        <row r="12">
          <cell r="H12" t="str">
            <v>építészet 2404 Irányító-eligazító táblák, felirato</v>
          </cell>
        </row>
        <row r="13">
          <cell r="H13" t="str">
            <v>építészet 9297 Karbantartási anyag barkács egyéb(é</v>
          </cell>
        </row>
        <row r="14">
          <cell r="H14" t="str">
            <v>park,közmű és út 2372 Közművek karbantartása, kisjavítása</v>
          </cell>
        </row>
        <row r="15">
          <cell r="H15" t="str">
            <v>park,közmű és út 2378 Megújuló energiahasznosító berendez</v>
          </cell>
        </row>
        <row r="16">
          <cell r="H16" t="str">
            <v>park,közmű és út 2379 Víz.,csatornahálózat, HMV rendszer</v>
          </cell>
        </row>
        <row r="17">
          <cell r="H17" t="str">
            <v>park,közmű és út 2373 Utak, térburkolatok, parkolók</v>
          </cell>
        </row>
        <row r="18">
          <cell r="H18" t="str">
            <v>park,közmű és út parkosítás, növényvédelem</v>
          </cell>
        </row>
        <row r="19">
          <cell r="H19" t="str">
            <v>park,közmű és út kerti tároló karb jav</v>
          </cell>
        </row>
        <row r="21">
          <cell r="H21" t="str">
            <v>park,közmű és út 2374 Sportpályák</v>
          </cell>
        </row>
        <row r="22">
          <cell r="H22" t="str">
            <v>park,közmű és út 2375 Térvilágítás - épületen kívüli</v>
          </cell>
        </row>
        <row r="24">
          <cell r="H24" t="str">
            <v>technológiai berendezések Laboratórium karb jav</v>
          </cell>
        </row>
        <row r="25">
          <cell r="H25" t="str">
            <v>technológiai berendezések Könyvtár karb jav</v>
          </cell>
        </row>
        <row r="26">
          <cell r="H26" t="str">
            <v>technológiai berendezések Audiovizuális berendezések karb jav</v>
          </cell>
        </row>
        <row r="27">
          <cell r="H27" t="str">
            <v>elektromos munkák elektr energ ellátás, erősáram karb jav</v>
          </cell>
        </row>
        <row r="28">
          <cell r="H28" t="str">
            <v>elektromos munkák 2360 Akku karb.,javítás,csere</v>
          </cell>
        </row>
        <row r="29">
          <cell r="H29" t="str">
            <v>elektromos munkák 2376 Épületautomatika,épületfelügyelet</v>
          </cell>
        </row>
        <row r="30">
          <cell r="H30" t="str">
            <v>elektromos munkák Tűz és füstvédelem elektromos</v>
          </cell>
        </row>
        <row r="31">
          <cell r="H31" t="str">
            <v>elektromos munkák 2407 Elektromos biztonságtechnikai mérés</v>
          </cell>
        </row>
        <row r="32">
          <cell r="H32" t="str">
            <v>elektromos munkák Megújuló energiahasznosító ber karban, j</v>
          </cell>
        </row>
        <row r="33">
          <cell r="H33" t="str">
            <v>elektromos munkák 2367 Villamos karbantartás</v>
          </cell>
        </row>
        <row r="34">
          <cell r="H34" t="str">
            <v>elektromos munkák 2368 Villamos javítás</v>
          </cell>
        </row>
        <row r="35">
          <cell r="H35" t="str">
            <v>elektromos munkák 2369 Tűzjelző rendszer karbantartása, ki</v>
          </cell>
        </row>
        <row r="36">
          <cell r="H36" t="str">
            <v xml:space="preserve">elektromos munkák </v>
          </cell>
        </row>
        <row r="37">
          <cell r="H37" t="str">
            <v>elektromos munkák 2384 Kéziszerszámok érintésvédelmi felül</v>
          </cell>
        </row>
        <row r="38">
          <cell r="H38" t="str">
            <v>elektromos munkák 2361 Felvonó karbantartás</v>
          </cell>
        </row>
        <row r="39">
          <cell r="H39" t="str">
            <v>elektromos munkák 2362 Felvonó javítás</v>
          </cell>
        </row>
        <row r="40">
          <cell r="H40" t="str">
            <v>elektromos munkák 2406 Felvonó szakértői vizsgálat</v>
          </cell>
        </row>
        <row r="41">
          <cell r="H41" t="str">
            <v>elektromos munkák 2396 Tűz- és riasztás átjelzés díja</v>
          </cell>
        </row>
        <row r="42">
          <cell r="H42" t="str">
            <v>elektromos munkák 9293 Karbantartási anyag villanyszerelés</v>
          </cell>
        </row>
        <row r="43">
          <cell r="H43" t="str">
            <v>elektromos munkák Egyéb elektr berend karb jav munk</v>
          </cell>
        </row>
        <row r="44">
          <cell r="H44" t="str">
            <v>gépészet 2380 Fűtési rendszer és víz csat. hálóza</v>
          </cell>
        </row>
        <row r="45">
          <cell r="H45" t="str">
            <v>gépészet Ép gép szerelv berend karbjav</v>
          </cell>
        </row>
        <row r="46">
          <cell r="H46" t="str">
            <v>gépészet 2381 Szellőzőberendezések karbantartása,</v>
          </cell>
        </row>
        <row r="47">
          <cell r="H47" t="str">
            <v>gépészet 2382 Légkondícionáló berendezések karb-k</v>
          </cell>
        </row>
        <row r="48">
          <cell r="H48" t="str">
            <v>gépészet 2411 Tanuszoda üzemeltetési munkák</v>
          </cell>
        </row>
        <row r="49">
          <cell r="H49" t="str">
            <v>gépészet 2412 Uszoda víz vizsgálat</v>
          </cell>
        </row>
        <row r="50">
          <cell r="H50" t="str">
            <v>gépészet 2363 Gázérzékelő karbantartás</v>
          </cell>
        </row>
        <row r="51">
          <cell r="H51" t="str">
            <v>gépészet 2364 Kazán karbantartás</v>
          </cell>
        </row>
        <row r="52">
          <cell r="H52" t="str">
            <v>gépészet 2365 Kazán javítás</v>
          </cell>
        </row>
        <row r="53">
          <cell r="H53" t="str">
            <v>gépészet 2366 Kazán légsz.mérés</v>
          </cell>
        </row>
        <row r="54">
          <cell r="H54" t="str">
            <v>gépészet 2241 EgyGépHazKarbJavKtg</v>
          </cell>
        </row>
        <row r="55">
          <cell r="H55" t="str">
            <v>gépészet 9296 Karbantartási anyag épületgépészet</v>
          </cell>
        </row>
        <row r="56">
          <cell r="H56" t="str">
            <v>ing tisztántartása 2262 Takarítás rendszeres</v>
          </cell>
        </row>
        <row r="57">
          <cell r="H57" t="str">
            <v>ing tisztántartása 2394 Takarítás eseti</v>
          </cell>
        </row>
        <row r="58">
          <cell r="H58" t="str">
            <v>ing tisztántartása 2263 Kártevő mentesítés rendszeres</v>
          </cell>
        </row>
        <row r="59">
          <cell r="H59" t="str">
            <v>ing tisztántartása 2395 Kártevő mentesítés  eseti</v>
          </cell>
        </row>
        <row r="60">
          <cell r="H60" t="str">
            <v>ing tisztántartása 2408 Mosatási ktg.</v>
          </cell>
        </row>
        <row r="61">
          <cell r="H61" t="str">
            <v>ing tisztántartása 2210 Szőnyegbérlet</v>
          </cell>
        </row>
        <row r="62">
          <cell r="H62" t="str">
            <v>ing tisztántartása Üzi tisztítószer beszerz</v>
          </cell>
        </row>
        <row r="63">
          <cell r="H63" t="str">
            <v>ing tisztántartása 2410 Zsír- és olajfogó</v>
          </cell>
        </row>
        <row r="64">
          <cell r="H64" t="str">
            <v>porta, vagyonvéd 2398 Portaszolgálat, - élőerős</v>
          </cell>
        </row>
        <row r="65">
          <cell r="H65" t="str">
            <v>porta, vagyonvéd 2399 Őrzés-védelem - élőerős</v>
          </cell>
        </row>
        <row r="66">
          <cell r="H66" t="str">
            <v>porta, vagyonvéd 2400 Ruhatár</v>
          </cell>
        </row>
        <row r="67">
          <cell r="H67" t="str">
            <v>tűz és munkavédelem 2401 Munkavédelmi felelős, szakértői szo</v>
          </cell>
        </row>
        <row r="68">
          <cell r="H68" t="str">
            <v>tűz és munkavédelem 2403 Figyelmeztető táblák, feliratok fel</v>
          </cell>
        </row>
        <row r="69">
          <cell r="H69" t="str">
            <v>tűz és munkavédelem 2402 Tűzvédelmi felelős szakértői szolgá</v>
          </cell>
        </row>
        <row r="70">
          <cell r="H70" t="str">
            <v>tűz és munkavédelem 2385 Tűzoltókészülék karbantartása, javí</v>
          </cell>
        </row>
        <row r="71">
          <cell r="H71" t="str">
            <v>tűz és munkavédelem 2386 Tűzivízhálózat, túzcsapok vizhozam</v>
          </cell>
        </row>
        <row r="72">
          <cell r="H72" t="str">
            <v>tűz és munkavédelem 8200 EG12 Munkaruha</v>
          </cell>
        </row>
        <row r="73">
          <cell r="H73" t="str">
            <v>tűz és munkavédelem Védőruha</v>
          </cell>
        </row>
        <row r="74">
          <cell r="H74" t="str">
            <v xml:space="preserve">beruházás </v>
          </cell>
        </row>
        <row r="75">
          <cell r="H75" t="str">
            <v>közmű 1291 Villamosenergia-szolgálta</v>
          </cell>
        </row>
        <row r="76">
          <cell r="H76" t="str">
            <v>közmű 1292 Gázenergia-szolgáltatási</v>
          </cell>
        </row>
        <row r="77">
          <cell r="H77" t="str">
            <v>közmű 1293 Távho- és melegvíz-szolgáltatás</v>
          </cell>
        </row>
        <row r="78">
          <cell r="H78" t="str">
            <v>közmű 1294 Vízdíj</v>
          </cell>
        </row>
        <row r="79">
          <cell r="H79" t="str">
            <v>közmű 1296 Csatornadíjak</v>
          </cell>
        </row>
        <row r="80">
          <cell r="H80" t="str">
            <v>közmű 2265 Kéményseprési díjak költségei</v>
          </cell>
        </row>
        <row r="81">
          <cell r="H81" t="str">
            <v>közmű 2266 Egyéb szemétszállítási díjak költsé</v>
          </cell>
        </row>
        <row r="82">
          <cell r="H82" t="str">
            <v>közmű Energetikai tanácsadások</v>
          </cell>
        </row>
        <row r="83">
          <cell r="H83" t="str">
            <v>közmű 2264 Kommunális hulladékszállítás költsé</v>
          </cell>
        </row>
        <row r="84">
          <cell r="H84" t="str">
            <v>közmű Szeméttároló bérlés, lízing</v>
          </cell>
        </row>
        <row r="85">
          <cell r="H85" t="str">
            <v>hatdíj, illeték hatósági díjak, illetékek</v>
          </cell>
        </row>
        <row r="86">
          <cell r="H86" t="str">
            <v>hatdíj, illeték 2405 Közös költség</v>
          </cell>
        </row>
        <row r="87">
          <cell r="H87" t="str">
            <v>gkj 6200 Üzemanyag gépjárműbe</v>
          </cell>
        </row>
        <row r="88">
          <cell r="H88" t="str">
            <v>gkj 6201 üzemanyag kerti gépbe</v>
          </cell>
        </row>
        <row r="89">
          <cell r="H89" t="str">
            <v>gkj 6202 egyéb hajtó- és kenőanyagok gépjárm</v>
          </cell>
        </row>
        <row r="90">
          <cell r="H90" t="str">
            <v>gkj 6203 egyéb hajtó- és kenőanyagok kerti g</v>
          </cell>
        </row>
        <row r="91">
          <cell r="H91" t="str">
            <v>gkj Szgk. Karban anyagok</v>
          </cell>
        </row>
        <row r="92">
          <cell r="H92" t="str">
            <v>gkj 2243 SzgjHazKarKisjKtg</v>
          </cell>
        </row>
        <row r="93">
          <cell r="H93" t="str">
            <v xml:space="preserve">gkj </v>
          </cell>
        </row>
        <row r="94">
          <cell r="H94" t="str">
            <v>gkj 2280 Kötelező gépjármű felelősségbiztosí</v>
          </cell>
        </row>
        <row r="95">
          <cell r="H95" t="str">
            <v>gkj 2281 CASCO költségei</v>
          </cell>
        </row>
        <row r="96">
          <cell r="H96" t="str">
            <v>gkj Autópálya, úthaszn. és parkolási díjak</v>
          </cell>
        </row>
        <row r="97">
          <cell r="H97" t="str">
            <v>gkj 2409 Gépkocsi mosatás</v>
          </cell>
        </row>
        <row r="98">
          <cell r="H98" t="str">
            <v>gkj 2272 AnyagÁruSzállítKtg</v>
          </cell>
        </row>
        <row r="99">
          <cell r="H99" t="str">
            <v>gkj 2391 selejtszállítás</v>
          </cell>
        </row>
        <row r="100">
          <cell r="H100" t="str">
            <v>gkj 2344 Egyéb különf.ráford(gép.köt vizs,kö</v>
          </cell>
        </row>
        <row r="101">
          <cell r="H101" t="str">
            <v>gkj 2214 Személygépjármű lízing díj költsége</v>
          </cell>
        </row>
        <row r="102">
          <cell r="H102" t="str">
            <v>gkj 2216 Személygépjármű bérleti díj költség</v>
          </cell>
        </row>
        <row r="103">
          <cell r="H103" t="str">
            <v>üdülő 2397 gondnoki tevékenység(Visegrád)</v>
          </cell>
        </row>
        <row r="104">
          <cell r="H104" t="str">
            <v>üdülő 2291 TV előfizetési díj</v>
          </cell>
        </row>
        <row r="105">
          <cell r="H105" t="str">
            <v>biztosítás 2388 Központi felelősségbiztosítás</v>
          </cell>
        </row>
        <row r="106">
          <cell r="H106" t="str">
            <v>biztosítás 2318 Központilag fizetett vagyonbiztosít</v>
          </cell>
        </row>
        <row r="107">
          <cell r="H107" t="str">
            <v>biztosítás 2389 Lektori lakások biztosítása</v>
          </cell>
        </row>
        <row r="108">
          <cell r="H108" t="str">
            <v>biztosítás 2390 egyéb felelősségbizt.</v>
          </cell>
        </row>
        <row r="109">
          <cell r="H109" t="str">
            <v>biztosítás 2283 Helyi szinten fizetett vagyonbiztos</v>
          </cell>
        </row>
        <row r="110">
          <cell r="H110" t="str">
            <v>bérlet,lízing 2202 Egyéb gépek bérleti és lízing díj k</v>
          </cell>
        </row>
        <row r="111">
          <cell r="H111" t="str">
            <v>bérlet,lízing 2206 Ingatlan bérleti díj - szállás diák</v>
          </cell>
        </row>
        <row r="112">
          <cell r="H112" t="str">
            <v>bérlet,lízing 2207 Ingatlan bérleti díj - iroda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agram1"/>
      <sheetName val="kv.várható.köz.2001"/>
      <sheetName val="kv.várható.köz.2001.inf."/>
      <sheetName val="kv.várható.köz.2002.inf. "/>
      <sheetName val="kv.várható.köz.2003."/>
      <sheetName val="kv.várható.köz.2004."/>
      <sheetName val="kv.várható.köz.2004.Mód. "/>
      <sheetName val="kv.várható.köz.2005"/>
      <sheetName val="SB"/>
    </sheetNames>
    <sheetDataSet>
      <sheetData sheetId="0" refreshError="1"/>
      <sheetData sheetId="1">
        <row r="1">
          <cell r="B1" t="str">
            <v>Távhő</v>
          </cell>
          <cell r="F1" t="str">
            <v>Földgáz</v>
          </cell>
          <cell r="M1" t="str">
            <v xml:space="preserve"> Villamosenergia</v>
          </cell>
          <cell r="Q1" t="str">
            <v>Energia összesen</v>
          </cell>
          <cell r="T1" t="str">
            <v>Víz, csatorna</v>
          </cell>
          <cell r="X1" t="str">
            <v>Szippantás</v>
          </cell>
          <cell r="AA1" t="str">
            <v>Kéményseprés</v>
          </cell>
          <cell r="AD1" t="str">
            <v>Közmű összesen</v>
          </cell>
          <cell r="AG1" t="str">
            <v xml:space="preserve"> Telefon</v>
          </cell>
          <cell r="AJ1" t="str">
            <v>Mindösszesen</v>
          </cell>
        </row>
        <row r="3">
          <cell r="A3" t="str">
            <v>Tanulmányi ép.konyhák****</v>
          </cell>
        </row>
        <row r="4">
          <cell r="A4" t="str">
            <v xml:space="preserve">Óvoda-bölcsőde  </v>
          </cell>
        </row>
        <row r="5">
          <cell r="A5" t="str">
            <v>Gödi Okt.Közp.</v>
          </cell>
        </row>
        <row r="6">
          <cell r="A6" t="str">
            <v>B.Kenese MT</v>
          </cell>
        </row>
        <row r="7">
          <cell r="A7" t="str">
            <v>Hauszmann A. u.</v>
          </cell>
        </row>
        <row r="8">
          <cell r="A8" t="str">
            <v>Egyetem okt.ép.össz.:</v>
          </cell>
        </row>
        <row r="9">
          <cell r="A9" t="str">
            <v>Bogdánffy u.Sporttelep</v>
          </cell>
        </row>
        <row r="10">
          <cell r="A10" t="str">
            <v>Informatika épület *</v>
          </cell>
        </row>
        <row r="11">
          <cell r="A11" t="str">
            <v>Informatika Bme 2/3 **</v>
          </cell>
        </row>
        <row r="12">
          <cell r="A12" t="str">
            <v>Informatika Elte 1/3***</v>
          </cell>
        </row>
        <row r="13">
          <cell r="A13" t="str">
            <v>1.Egyetem összesen</v>
          </cell>
        </row>
        <row r="14">
          <cell r="A14" t="str">
            <v>Baross Koll.</v>
          </cell>
        </row>
        <row r="15">
          <cell r="A15" t="str">
            <v>Bercsényi Koll.</v>
          </cell>
        </row>
        <row r="16">
          <cell r="A16" t="str">
            <v>Kármán Koll.</v>
          </cell>
        </row>
        <row r="17">
          <cell r="A17" t="str">
            <v>Martos Koll.</v>
          </cell>
        </row>
        <row r="18">
          <cell r="A18" t="str">
            <v>Schönherz Koll.</v>
          </cell>
        </row>
        <row r="19">
          <cell r="A19" t="str">
            <v>Vásárhelyi Koll</v>
          </cell>
        </row>
        <row r="20">
          <cell r="A20" t="str">
            <v xml:space="preserve">Wigner Koll. </v>
          </cell>
        </row>
        <row r="21">
          <cell r="A21" t="str">
            <v>2.Kollégium össz.:</v>
          </cell>
        </row>
        <row r="22">
          <cell r="A22" t="str">
            <v>3. B.Lelle ifj.Tábor</v>
          </cell>
        </row>
        <row r="23">
          <cell r="A23" t="str">
            <v>1,2,3,Összesen</v>
          </cell>
        </row>
        <row r="25">
          <cell r="A25" t="str">
            <v>A Hauszmann A.u-i sporttelep költségeit MAFC téríti.</v>
          </cell>
        </row>
        <row r="26">
          <cell r="A26" t="str">
            <v>* Informatika épület a BME -hez beérkezett  számlák alapján 2000.évi felhasznált teljes épületre vonatkozó hőmennyiségek szerepelnek.</v>
          </cell>
        </row>
        <row r="27">
          <cell r="A27" t="str">
            <v>**és*** jelölt Informatika vizszintes sorokban szereplő természetes mértékegységek és forint összegek mennyiségei az 1.Egyetem összesen sor adataiban nem szerepelnek.</v>
          </cell>
        </row>
        <row r="28">
          <cell r="A28" t="str">
            <v>****A földgáz természetes mértékegység mennyiségénél az 1999.évről 2000.évre áthuzódó ki nem fizetett számla ,valamint fogyasztás mérők név átírása miatti csökkentett mennyiség lett figyelembe véve.</v>
          </cell>
        </row>
        <row r="29">
          <cell r="A29" t="str">
            <v>(Kármán,Martos koll. földgáz felhasználás a gázkazán miatti vetített mennyiség)</v>
          </cell>
        </row>
        <row r="30">
          <cell r="A30" t="str">
            <v>Az Informatika épület víz-csatorna ill.villamosenergia díjakat ELTE fizeti.</v>
          </cell>
        </row>
      </sheetData>
      <sheetData sheetId="2"/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nkaszám"/>
      <sheetName val="épület neve"/>
      <sheetName val="Tervezésui irányelvek"/>
      <sheetName val="épületek"/>
      <sheetName val="M-anyagcsoportok"/>
      <sheetName val="tevékenységek"/>
      <sheetName val="technikai"/>
      <sheetName val="Munkaszám technikai"/>
      <sheetName val="mátrix"/>
    </sheetNames>
    <sheetDataSet>
      <sheetData sheetId="0">
        <row r="1">
          <cell r="A1" t="str">
            <v>A15001/16 ÁJK üzemeltetés</v>
          </cell>
        </row>
        <row r="2">
          <cell r="A2" t="str">
            <v>B15001/16 PPKüzemeltetés</v>
          </cell>
        </row>
        <row r="3">
          <cell r="A3" t="str">
            <v>C15001/16 BTK üzemeltetés</v>
          </cell>
        </row>
        <row r="4">
          <cell r="A4" t="str">
            <v>D15001/16 TTK üzemeltetés</v>
          </cell>
        </row>
        <row r="5">
          <cell r="A5" t="str">
            <v>E15001/16 IK üzemeltetés</v>
          </cell>
        </row>
        <row r="6">
          <cell r="A6" t="str">
            <v>F15001/16 TÁTK üzemeltetés</v>
          </cell>
        </row>
        <row r="7">
          <cell r="A7" t="str">
            <v>G15001/16 BGGYK üzemeltetés</v>
          </cell>
        </row>
        <row r="8">
          <cell r="A8" t="str">
            <v>H15001/16 TÓK üzemeltetés</v>
          </cell>
        </row>
        <row r="9">
          <cell r="A9" t="str">
            <v>S12401/16 Füvészkert üzemeltetés</v>
          </cell>
        </row>
        <row r="10">
          <cell r="A10" t="str">
            <v>S13201/16 Gothard Obsz.üzemeltetés</v>
          </cell>
        </row>
        <row r="11">
          <cell r="A11" t="str">
            <v>S14102/16 Tatai Geológus Kert üzemeltetés</v>
          </cell>
        </row>
        <row r="12">
          <cell r="A12" t="str">
            <v>R14202/16 Bibó István Szakkoll üzemeltetés</v>
          </cell>
        </row>
        <row r="13">
          <cell r="A13" t="str">
            <v>R14402/16 Eötvös József Collegüzemeltetés</v>
          </cell>
        </row>
        <row r="14">
          <cell r="A14" t="str">
            <v>R15102/16 Egyetemi Könyvtár, levéltárüzemelt</v>
          </cell>
        </row>
        <row r="15">
          <cell r="A15" t="str">
            <v>N13002/16 KCSSK üzemeltetés</v>
          </cell>
        </row>
        <row r="16">
          <cell r="A16" t="str">
            <v>N13102/16 NUKüzemeltetés</v>
          </cell>
        </row>
        <row r="17">
          <cell r="A17" t="str">
            <v>N13202/16 NFKüzemeltetés</v>
          </cell>
        </row>
        <row r="18">
          <cell r="A18" t="str">
            <v>N13302/16 VUKüzemeltetés</v>
          </cell>
        </row>
        <row r="19">
          <cell r="A19" t="str">
            <v>N13402/16 ADKüzemeltetés</v>
          </cell>
        </row>
        <row r="20">
          <cell r="A20" t="str">
            <v>N13502/16 KUKüzemeltetés</v>
          </cell>
        </row>
        <row r="21">
          <cell r="A21" t="str">
            <v>N13602/16 DUKüzemeltetés</v>
          </cell>
        </row>
        <row r="22">
          <cell r="A22" t="str">
            <v>N13802/16 MÁSZ-Kunigunda üzemeltetés</v>
          </cell>
        </row>
        <row r="23">
          <cell r="A23" t="str">
            <v>N13902/16 MÁSZ-Debrecen üzemeltetés</v>
          </cell>
        </row>
        <row r="24">
          <cell r="A24" t="str">
            <v>N14002/16 MÁSZ-Pécs üzemeltetés</v>
          </cell>
        </row>
        <row r="25">
          <cell r="A25" t="str">
            <v>N14102/16 MÁSZ-Szeged üzemeltetés</v>
          </cell>
        </row>
        <row r="26">
          <cell r="A26" t="str">
            <v>K02001/17 Damjanich üzemeltetés</v>
          </cell>
        </row>
        <row r="27">
          <cell r="A27" t="str">
            <v>K02002/17 Kecskemétiüzemeltetés</v>
          </cell>
        </row>
        <row r="28">
          <cell r="A28" t="str">
            <v>K02201/16 Lágymányosi üzemeltetés</v>
          </cell>
        </row>
        <row r="29">
          <cell r="A29" t="str">
            <v>K02601/16 Gépjármű üzemeltetés</v>
          </cell>
        </row>
        <row r="30">
          <cell r="A30" t="str">
            <v>K02701/16 Üdülők üzemeltetése</v>
          </cell>
        </row>
        <row r="31">
          <cell r="A31" t="str">
            <v>K04802/16 lektori lakások üzemeltetése</v>
          </cell>
        </row>
        <row r="32">
          <cell r="A32" t="str">
            <v>N14401/17 SEK üzemeltetés</v>
          </cell>
        </row>
        <row r="33">
          <cell r="A33" t="str">
            <v>N14403/17 SEKgépjármű üzemeltetés</v>
          </cell>
        </row>
      </sheetData>
      <sheetData sheetId="1"/>
      <sheetData sheetId="2"/>
      <sheetData sheetId="3">
        <row r="1">
          <cell r="F1" t="str">
            <v>EFD10 6 Nagyrákos Nemesszer u. 8.</v>
          </cell>
        </row>
      </sheetData>
      <sheetData sheetId="4"/>
      <sheetData sheetId="5"/>
      <sheetData sheetId="6"/>
      <sheetData sheetId="7"/>
      <sheetData sheetId="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talványrendelet 50-ig"/>
      <sheetName val="Utalványrendelet 12-ig"/>
      <sheetName val="Visszaigazolt számlák"/>
      <sheetName val="háttér adatbázis"/>
      <sheetName val="szam-szoveg"/>
      <sheetName val="szam-szoveg (2)"/>
      <sheetName val="fhelyek"/>
      <sheetName val="mero gyari szamok"/>
      <sheetName val="Átadás-átvétel"/>
    </sheetNames>
    <sheetDataSet>
      <sheetData sheetId="0" refreshError="1"/>
      <sheetData sheetId="1" refreshError="1"/>
      <sheetData sheetId="2" refreshError="1"/>
      <sheetData sheetId="3">
        <row r="1">
          <cell r="A1" t="str">
            <v>Bankszámlaszáma</v>
          </cell>
        </row>
        <row r="2">
          <cell r="M2" t="str">
            <v>villamos energia</v>
          </cell>
          <cell r="Y2" t="str">
            <v>éves elszámoló számla</v>
          </cell>
        </row>
        <row r="3">
          <cell r="M3" t="str">
            <v>földgáz</v>
          </cell>
        </row>
        <row r="4">
          <cell r="H4" t="str">
            <v>Szerb u. 21.</v>
          </cell>
          <cell r="M4" t="str">
            <v>vízszolgáltatás</v>
          </cell>
        </row>
        <row r="5">
          <cell r="H5" t="str">
            <v>Szerb u. 23.</v>
          </cell>
          <cell r="M5" t="str">
            <v>csatorna</v>
          </cell>
        </row>
        <row r="6">
          <cell r="H6" t="str">
            <v>Királyi P. u.</v>
          </cell>
          <cell r="M6" t="str">
            <v>távhő</v>
          </cell>
        </row>
        <row r="7">
          <cell r="M7" t="str">
            <v>kémény</v>
          </cell>
        </row>
        <row r="8">
          <cell r="H8" t="str">
            <v>Kecskeméti u. 10.</v>
          </cell>
          <cell r="M8" t="str">
            <v>szemét</v>
          </cell>
        </row>
        <row r="9">
          <cell r="H9" t="str">
            <v>Kecskeméti u. 10. Magyar u.</v>
          </cell>
        </row>
        <row r="10">
          <cell r="H10" t="str">
            <v>Kecskeméti u. 10. HÖK</v>
          </cell>
        </row>
        <row r="11">
          <cell r="H11" t="str">
            <v>Egyetem tér 1-3</v>
          </cell>
        </row>
        <row r="12">
          <cell r="H12" t="str">
            <v>Ferenciek tere 10..</v>
          </cell>
        </row>
        <row r="13">
          <cell r="H13" t="str">
            <v>Szerb u. 3.</v>
          </cell>
        </row>
        <row r="15">
          <cell r="H15" t="str">
            <v>Gerlóczy u.</v>
          </cell>
        </row>
        <row r="16">
          <cell r="H16" t="str">
            <v>Gerlóczy u.</v>
          </cell>
        </row>
        <row r="17">
          <cell r="H17" t="str">
            <v>Gerlóczy u.</v>
          </cell>
        </row>
        <row r="18">
          <cell r="H18" t="str">
            <v>Izabella u. 46.</v>
          </cell>
        </row>
        <row r="20">
          <cell r="H20" t="str">
            <v>Papnövelde u. 4-6. (Cukor utca 6)</v>
          </cell>
        </row>
        <row r="21">
          <cell r="H21" t="str">
            <v>Papnövelde u. 4-6.</v>
          </cell>
        </row>
        <row r="22">
          <cell r="H22" t="str">
            <v>Trefort kert</v>
          </cell>
        </row>
        <row r="23">
          <cell r="H23" t="str">
            <v>Múzeum krt. 4/a</v>
          </cell>
        </row>
        <row r="24">
          <cell r="H24" t="str">
            <v>Múzeum krt. 4/b-c</v>
          </cell>
        </row>
        <row r="25">
          <cell r="H25" t="str">
            <v>Múzeum krt. 6-8.</v>
          </cell>
        </row>
        <row r="26">
          <cell r="H26" t="str">
            <v>Puskin u. 3.</v>
          </cell>
        </row>
        <row r="27">
          <cell r="H27" t="str">
            <v>Puskin u. 5-7.</v>
          </cell>
        </row>
        <row r="28">
          <cell r="H28" t="str">
            <v>Puskin u. 9. "SOTE"</v>
          </cell>
        </row>
        <row r="29">
          <cell r="H29" t="str">
            <v>Puskin u. 11-13.</v>
          </cell>
        </row>
        <row r="30">
          <cell r="H30" t="str">
            <v>Gólyavár</v>
          </cell>
        </row>
        <row r="31">
          <cell r="H31" t="str">
            <v>Múzeum krt. 6-8. "Ifj."</v>
          </cell>
        </row>
        <row r="32">
          <cell r="H32" t="str">
            <v>Trefort u. 8.</v>
          </cell>
        </row>
        <row r="33">
          <cell r="H33" t="str">
            <v>Kazinczy u. 23-27.</v>
          </cell>
        </row>
        <row r="34">
          <cell r="H34" t="str">
            <v>Rigó u. ITK</v>
          </cell>
        </row>
        <row r="35">
          <cell r="H35" t="str">
            <v>Rákóczi u. 5.</v>
          </cell>
        </row>
        <row r="36">
          <cell r="H36" t="str">
            <v>Ajtósi Dürer sor 23 (ADS koll)</v>
          </cell>
        </row>
        <row r="37">
          <cell r="H37" t="str">
            <v>Cházár A. u. 10.</v>
          </cell>
        </row>
        <row r="38">
          <cell r="H38" t="str">
            <v>Vezér u. 112. "koll."</v>
          </cell>
        </row>
        <row r="39">
          <cell r="H39" t="str">
            <v>Pázmány P.</v>
          </cell>
        </row>
        <row r="40">
          <cell r="H40" t="str">
            <v>Pázmány P. 2/a "É:"</v>
          </cell>
        </row>
        <row r="41">
          <cell r="H41" t="str">
            <v>Pázmány P. 3/a "D"</v>
          </cell>
        </row>
        <row r="42">
          <cell r="H42" t="str">
            <v>Pázmány P. 1/b "V"</v>
          </cell>
        </row>
        <row r="43">
          <cell r="H43" t="str">
            <v>Pázmány P. 1/c "I"</v>
          </cell>
        </row>
        <row r="44">
          <cell r="H44" t="str">
            <v>Pázmány P. 3 "PED"</v>
          </cell>
        </row>
        <row r="45">
          <cell r="H45" t="str">
            <v>Bogdánfi u.10/b "Bar"</v>
          </cell>
        </row>
        <row r="46">
          <cell r="H46" t="str">
            <v>Mérnök u. csarnok</v>
          </cell>
        </row>
        <row r="48">
          <cell r="H48" t="str">
            <v>Bogdánfi u. 10/a"Sportcsarnok"</v>
          </cell>
        </row>
        <row r="49">
          <cell r="H49" t="str">
            <v>Bogdánfi u. 10/a"Öltöző"</v>
          </cell>
        </row>
        <row r="50">
          <cell r="H50" t="str">
            <v>Bogdánfi u. 10/a"Porta"</v>
          </cell>
        </row>
        <row r="51">
          <cell r="H51" t="str">
            <v>Bogdánfi u. 10/a"Barakk"</v>
          </cell>
        </row>
        <row r="52">
          <cell r="H52" t="str">
            <v>Ménesi u. 12. "koll."</v>
          </cell>
        </row>
        <row r="53">
          <cell r="H53" t="str">
            <v>Ménesi u. 11-13."coll."</v>
          </cell>
        </row>
        <row r="54">
          <cell r="H54" t="str">
            <v>Dajka G.u.4.</v>
          </cell>
        </row>
        <row r="55">
          <cell r="H55" t="str">
            <v>Dajka G. u. 4. Kőrösi "A"</v>
          </cell>
        </row>
        <row r="56">
          <cell r="H56" t="str">
            <v>Dajka G. u. 4. Kőrösi "B"</v>
          </cell>
        </row>
        <row r="57">
          <cell r="H57" t="str">
            <v>Dajka G. u. 4. Kőrösi "C"</v>
          </cell>
        </row>
        <row r="58">
          <cell r="H58" t="str">
            <v>Dajka G. u. 4. Kőrösi "D"</v>
          </cell>
        </row>
        <row r="59">
          <cell r="H59" t="str">
            <v>Dajka G. u. 4. Kőrösi "nyaktag"</v>
          </cell>
        </row>
        <row r="61">
          <cell r="H61" t="str">
            <v>Nagytétényi u.162"A"</v>
          </cell>
        </row>
        <row r="62">
          <cell r="H62" t="str">
            <v>Nagytétényi u.162"B"</v>
          </cell>
        </row>
        <row r="63">
          <cell r="H63" t="str">
            <v>Nagytétényi u.162"C"</v>
          </cell>
        </row>
        <row r="64">
          <cell r="H64" t="str">
            <v>Nagytétényi u.162"D"</v>
          </cell>
        </row>
        <row r="65">
          <cell r="H65" t="str">
            <v>Nándorfejérvári u. 13</v>
          </cell>
        </row>
        <row r="66">
          <cell r="H66" t="str">
            <v>Illés u. 25. "Botanikus"</v>
          </cell>
        </row>
        <row r="67">
          <cell r="H67" t="str">
            <v>Jávorka u. 14</v>
          </cell>
        </row>
        <row r="69">
          <cell r="H69" t="str">
            <v>Szt. Imre Herceg u.112. Obsz.</v>
          </cell>
        </row>
        <row r="70">
          <cell r="H70" t="str">
            <v>Szt. Imre Herceg u.112. Kupola</v>
          </cell>
        </row>
        <row r="71">
          <cell r="H71" t="str">
            <v>Szt. Imre Herceg u.112. Szem.</v>
          </cell>
        </row>
        <row r="72">
          <cell r="H72" t="str">
            <v>Visegrád Fő u. 117</v>
          </cell>
        </row>
        <row r="74">
          <cell r="H74" t="str">
            <v>Kikötő u. 6. Közp.</v>
          </cell>
        </row>
        <row r="75">
          <cell r="H75" t="str">
            <v>Kikötő u. 6. Faház</v>
          </cell>
        </row>
        <row r="77">
          <cell r="H77" t="str">
            <v>Maglódi út 8.  Levéltár</v>
          </cell>
        </row>
        <row r="78">
          <cell r="H78" t="str">
            <v>Maglódi út 8. Raktár</v>
          </cell>
        </row>
        <row r="79">
          <cell r="H79" t="str">
            <v>Kerekes u. "koll."</v>
          </cell>
        </row>
        <row r="80">
          <cell r="H80" t="str">
            <v>Vízisport u. 48</v>
          </cell>
        </row>
        <row r="81">
          <cell r="H81" t="str">
            <v>Kisfaludi üdülőtelep</v>
          </cell>
        </row>
        <row r="82">
          <cell r="H82" t="str">
            <v>Tata</v>
          </cell>
        </row>
        <row r="83">
          <cell r="H83" t="str">
            <v>Bugac</v>
          </cell>
        </row>
        <row r="84">
          <cell r="H84" t="str">
            <v>Ecseri u. 10.</v>
          </cell>
        </row>
        <row r="85">
          <cell r="H85" t="str">
            <v>Damjanich u. 41-43.</v>
          </cell>
        </row>
        <row r="86">
          <cell r="H86" t="str">
            <v>Kiss J. alt.40. "telep"</v>
          </cell>
        </row>
        <row r="87">
          <cell r="H87" t="str">
            <v>Kiss J. alt.40. "A"</v>
          </cell>
        </row>
        <row r="88">
          <cell r="H88" t="str">
            <v>Kiss J. alt. 40."Gy.I."</v>
          </cell>
        </row>
        <row r="89">
          <cell r="H89" t="str">
            <v>Csörsz u.."Gy.O."</v>
          </cell>
        </row>
        <row r="90">
          <cell r="H90" t="str">
            <v>Kiss J. alt. 29."Gy.O."</v>
          </cell>
        </row>
        <row r="91">
          <cell r="H91" t="str">
            <v>Bezerédi u. 16/a</v>
          </cell>
        </row>
        <row r="93">
          <cell r="H93" t="str">
            <v>Kiss J. alt. 31</v>
          </cell>
        </row>
        <row r="94">
          <cell r="H94" t="str">
            <v>Beethoven u. 3</v>
          </cell>
        </row>
        <row r="95">
          <cell r="H95" t="str">
            <v>Nagyrákos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m"/>
      <sheetName val="Utalványrendelet 50-ig"/>
      <sheetName val="Utalványrendelet 12-ig"/>
      <sheetName val="Visszaigazolt számlák"/>
      <sheetName val="háttér adatbázis"/>
      <sheetName val="Átadás-átvétel fekvő"/>
      <sheetName val="Átadás-átvétel fekvő (érték)"/>
      <sheetName val="Kifizetések segédlet"/>
      <sheetName val="Utólagos rögzítések"/>
      <sheetName val="Utalványrendelet 15-ig (demo)"/>
      <sheetName val="szam-szoveg"/>
      <sheetName val="szam-szoveg (2)"/>
    </sheetNames>
    <sheetDataSet>
      <sheetData sheetId="0"/>
      <sheetData sheetId="1"/>
      <sheetData sheetId="2"/>
      <sheetData sheetId="3"/>
      <sheetData sheetId="4">
        <row r="2">
          <cell r="M2" t="str">
            <v>villamos energia</v>
          </cell>
        </row>
        <row r="3">
          <cell r="M3" t="str">
            <v>földgáz</v>
          </cell>
        </row>
        <row r="4">
          <cell r="M4" t="str">
            <v>vízszolgáltatás</v>
          </cell>
        </row>
        <row r="5">
          <cell r="M5" t="str">
            <v>csatorna</v>
          </cell>
        </row>
        <row r="6">
          <cell r="M6" t="str">
            <v>távhő</v>
          </cell>
        </row>
        <row r="7">
          <cell r="M7" t="str">
            <v>kémény</v>
          </cell>
        </row>
        <row r="8">
          <cell r="M8" t="str">
            <v>szemét</v>
          </cell>
        </row>
        <row r="9">
          <cell r="M9" t="str">
            <v>késedelmi kamat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épületek"/>
      <sheetName val="mátrix"/>
      <sheetName val="terv - épület neve"/>
      <sheetName val="Tervezési irányelvek"/>
      <sheetName val="anyagcsoportok SAP-ban"/>
      <sheetName val="M-anyagcsoportok"/>
      <sheetName val="tevékenységek"/>
      <sheetName val="munkaszám"/>
      <sheetName val="technikai"/>
      <sheetName val="Munkaszám technikai"/>
    </sheetNames>
    <sheetDataSet>
      <sheetData sheetId="0">
        <row r="3">
          <cell r="F3" t="str">
            <v>EA100 24041 Budapest V. Szerb u. 21.</v>
          </cell>
        </row>
        <row r="4">
          <cell r="F4" t="str">
            <v>EA200 24150 Budapest V. Kecskeméti u. 10-12.</v>
          </cell>
        </row>
        <row r="5">
          <cell r="F5" t="str">
            <v>EA200 24150 Budapest V. Kecskeméti u. 10-12.</v>
          </cell>
        </row>
        <row r="6">
          <cell r="F6" t="str">
            <v>EA300 24037/2 Budapest V. Egyetem tér 1-3.</v>
          </cell>
        </row>
        <row r="7">
          <cell r="F7" t="str">
            <v>EA350  Budapest V. Egyetem tér 5.</v>
          </cell>
        </row>
        <row r="8">
          <cell r="F8" t="str">
            <v>EA400 24186 Budapest V. Ferenciek tere 6-10.</v>
          </cell>
        </row>
        <row r="9">
          <cell r="F9" t="str">
            <v>EA500 23950 Budapest V. Szerb u. 3.</v>
          </cell>
        </row>
        <row r="10">
          <cell r="F10" t="str">
            <v>EA600 24036 Budapest V. Papnövelde u.7.</v>
          </cell>
        </row>
        <row r="11">
          <cell r="F11" t="str">
            <v>EA700 29507 Budapest VI. Izabella u. 46.</v>
          </cell>
        </row>
        <row r="12">
          <cell r="F12" t="str">
            <v>EA800 24105/0/A/7 Budapest V. Képíró u. 8., III/1.</v>
          </cell>
        </row>
        <row r="13">
          <cell r="F13" t="str">
            <v>EA900 24019 Budapest V. Papnövelde u. 4-6.</v>
          </cell>
        </row>
        <row r="14">
          <cell r="F14" t="str">
            <v>EB110 36558/5 A Budapest VIII. Múzeum krt. 4/a.</v>
          </cell>
        </row>
        <row r="15">
          <cell r="F15" t="str">
            <v>EB120 36558/5 B-C Budapest VIII. Múzeum krt. 4/b-c.</v>
          </cell>
        </row>
        <row r="16">
          <cell r="F16" t="str">
            <v>EB130 36558/5 Gólyavár Budapest VIII. Múzeum krt. 6-8.</v>
          </cell>
        </row>
        <row r="17">
          <cell r="F17" t="str">
            <v>EB130 36558/5 Ifjusági Budapest VIII. Múzeum krt. 6-8.</v>
          </cell>
        </row>
        <row r="18">
          <cell r="F18" t="str">
            <v>EB130 36558/5 Főépület Budapest VIII. Múzeum krt. 6-8.</v>
          </cell>
        </row>
        <row r="19">
          <cell r="F19" t="str">
            <v>EB140 36558/5 I Budapest VIII. Puskin u. 3.</v>
          </cell>
        </row>
        <row r="20">
          <cell r="F20" t="str">
            <v>EB150 36558/5 D Budapest VIII. Puskin u. 5-7.</v>
          </cell>
        </row>
        <row r="21">
          <cell r="F21" t="str">
            <v>EB160 36558/5 E Budapest VIII. Puskin u. 9.</v>
          </cell>
        </row>
        <row r="22">
          <cell r="F22" t="str">
            <v>EB170 36558/5 F Budapest VIII. Puskin u. 11-13.</v>
          </cell>
        </row>
        <row r="23">
          <cell r="F23" t="str">
            <v>EB200 36539 Budapest VIII. Trefort u. 6-8.</v>
          </cell>
        </row>
        <row r="24">
          <cell r="F24" t="str">
            <v>EB300 34263 Budapest VII. Kazinczy u. 23-27.</v>
          </cell>
        </row>
        <row r="25">
          <cell r="F25" t="str">
            <v>EB400 35214 Budapest VIII. Rigó u. 16.</v>
          </cell>
        </row>
        <row r="26">
          <cell r="F26" t="str">
            <v>EB900 36556 RA 5 Budapest VIII. Rákóczi út 5.</v>
          </cell>
        </row>
        <row r="27">
          <cell r="F27" t="str">
            <v>EC210 32705 Budapest XIV. Ajtósi Dürer sor 23.</v>
          </cell>
        </row>
        <row r="28">
          <cell r="F28" t="str">
            <v>EC410 32745 Budapest XIV. CházárA. u. 10.</v>
          </cell>
        </row>
        <row r="29">
          <cell r="F29" t="str">
            <v xml:space="preserve">EC510 39738 Budapest XIV. Vezér u. 112-114. </v>
          </cell>
        </row>
        <row r="30">
          <cell r="F30" t="str">
            <v>ED100 4082/31 Budapest XI. Pázmány s. 1/A.</v>
          </cell>
        </row>
        <row r="31">
          <cell r="F31" t="str">
            <v>ED200 4082/23 Budapest XI. Bogdánfy u. 10/A.</v>
          </cell>
        </row>
        <row r="32">
          <cell r="F32" t="str">
            <v>ED300 681576 Budapest XI. Mérnök u. 35.</v>
          </cell>
        </row>
        <row r="33">
          <cell r="F33" t="str">
            <v>ED500 4082/26 Budapest XI. Bogdánfy u. 10/B.</v>
          </cell>
        </row>
        <row r="34">
          <cell r="F34" t="str">
            <v>EE110 4968 Budapest XI. Ménesi út 12.</v>
          </cell>
        </row>
        <row r="35">
          <cell r="F35" t="str">
            <v>EE200 5069 EJC Budapest XI. Ménesi út 11-13.</v>
          </cell>
        </row>
        <row r="36">
          <cell r="F36" t="str">
            <v>EE300 245505 Budapest XI. Dayka G. u. 4.</v>
          </cell>
        </row>
        <row r="37">
          <cell r="F37" t="str">
            <v>EE400 228805 Budapest XXII. Nagytétényi út 162-164.</v>
          </cell>
        </row>
        <row r="38">
          <cell r="F38" t="str">
            <v>EE500 725068 NFK Budapest XI. Nándorfejérvári út 13</v>
          </cell>
        </row>
        <row r="39">
          <cell r="F39" t="str">
            <v>EE710 18777 MÁSZ Budapest III.  Kunigunda útja 35.</v>
          </cell>
        </row>
        <row r="40">
          <cell r="F40" t="str">
            <v>EE720 20442/1 MÁSZ Debrecen Egyetem sugárút 13.</v>
          </cell>
        </row>
        <row r="41">
          <cell r="F41" t="str">
            <v>EE730 1816/19 MÁSZ Pécs Ráczvárosi út 70/2</v>
          </cell>
        </row>
        <row r="42">
          <cell r="F42" t="str">
            <v>EE740 25562/6 MÁSZ Szeged Kálvária sugárút 87.</v>
          </cell>
        </row>
        <row r="43">
          <cell r="F43" t="str">
            <v>EF100 36177/2 Budapest VIII. Illés u. 25.</v>
          </cell>
        </row>
        <row r="44">
          <cell r="F44" t="str">
            <v>EF200 367 Göd Jávorka u. 14.</v>
          </cell>
        </row>
        <row r="45">
          <cell r="F45" t="str">
            <v>EF300 811 Szombathely Szt. Imre u. 112.</v>
          </cell>
        </row>
        <row r="46">
          <cell r="F46" t="str">
            <v>EF400 298 Visegrád Fő u. 117.</v>
          </cell>
        </row>
        <row r="47">
          <cell r="F47" t="str">
            <v>EF500 1044230 Balatonkenese Kikötő u. 6.</v>
          </cell>
        </row>
        <row r="48">
          <cell r="F48" t="str">
            <v>EF700 40991/35 Budapest X. Maglódi út 8.</v>
          </cell>
        </row>
        <row r="49">
          <cell r="F49" t="str">
            <v>EF900 184116 Sport Kft 
Budapest XXIII. Vízisport u. 48.</v>
          </cell>
        </row>
        <row r="50">
          <cell r="F50" t="str">
            <v>EFA00 3928/I/20 Balatonfüred Kosztolányi u. 4.</v>
          </cell>
        </row>
        <row r="51">
          <cell r="F51" t="str">
            <v>EFB00 235/4 Tata Fekete u. 2.</v>
          </cell>
        </row>
        <row r="52">
          <cell r="F52" t="str">
            <v>EFD10 6 Nagyrákos Nemesszer u. 8.</v>
          </cell>
        </row>
        <row r="53">
          <cell r="F53" t="str">
            <v>EG100 38236/170 Budapest IX. Ecseri út 3.</v>
          </cell>
        </row>
        <row r="54">
          <cell r="F54" t="str">
            <v>EG200 33458 Budapest VII. Damjanich u. 41-43.</v>
          </cell>
        </row>
        <row r="55">
          <cell r="F55" t="str">
            <v>EH110 2186709 Budapest XII. Kiss altb. u. 40.</v>
          </cell>
        </row>
        <row r="56">
          <cell r="F56" t="str">
            <v>EH120 7894 Budapest XII. Kiss altb. u. 42-44.</v>
          </cell>
        </row>
        <row r="57">
          <cell r="F57" t="str">
            <v xml:space="preserve">EI210 31159/4/B/119 Budapest XIV. Huszt u. 11., I/2. </v>
          </cell>
        </row>
        <row r="58">
          <cell r="F58" t="str">
            <v xml:space="preserve">EI220 31159/4/B/122 Budapest XIV. Huszt u. 11., II/2. </v>
          </cell>
        </row>
        <row r="59">
          <cell r="F59" t="str">
            <v>EI230 31159/4/B/125 Budapest XIV. Huszt u. 11., III/2.</v>
          </cell>
        </row>
        <row r="60">
          <cell r="F60" t="str">
            <v>EI300  Budapest Szerémi sor 8.</v>
          </cell>
        </row>
        <row r="61">
          <cell r="F61" t="str">
            <v>EI400  Budapest Hamzsabégi út 20.</v>
          </cell>
        </row>
        <row r="62">
          <cell r="F62" t="str">
            <v>EI500  Budapest Régiposta u. 11.</v>
          </cell>
        </row>
        <row r="63">
          <cell r="F63" t="str">
            <v>ES 320  5941/6 Szombathely
Pável Koll II Ady E tér  Ady Eendre. tér 3/A</v>
          </cell>
        </row>
        <row r="64">
          <cell r="F64" t="str">
            <v>ES110 5555 Szombathely
Campus A épület Károlyi G. tér 4.</v>
          </cell>
        </row>
        <row r="65">
          <cell r="F65" t="str">
            <v>ES120 5555 Szombathely
Campus B épület Károlyi G. tér 4.</v>
          </cell>
        </row>
        <row r="66">
          <cell r="F66" t="str">
            <v>ES130 5555 Szombathely
Campus C épület Károlyi G. tér 4.</v>
          </cell>
        </row>
        <row r="67">
          <cell r="F67" t="str">
            <v>ES140 6272 Szombathely
Campus D épület Berzsenyi tér. 2.</v>
          </cell>
        </row>
        <row r="68">
          <cell r="F68" t="str">
            <v>ES150 5555 Szombathely
Campus E épület Károlyi G. tér 4.</v>
          </cell>
        </row>
        <row r="69">
          <cell r="F69" t="str">
            <v>ES160 5531/9 Szombathely
Géfin utcai zenei tanszék Géfin Gyula utca 28.</v>
          </cell>
        </row>
        <row r="70">
          <cell r="F70" t="str">
            <v>ES170 5531/5 Szombathely
Géfin utcai rajztermek Géfin Gyula utca 22.</v>
          </cell>
        </row>
        <row r="71">
          <cell r="F71" t="str">
            <v>ES180 5555 Szombathely
Forrásközpont Károlyi G. tér 4.</v>
          </cell>
        </row>
        <row r="72">
          <cell r="F72" t="str">
            <v xml:space="preserve">ES190  Szombatghely
Campus központ </v>
          </cell>
        </row>
        <row r="73">
          <cell r="F73" t="str">
            <v>ES200 2808/8 Szombathely
Bolyai iskola Bolyai János utca 11.</v>
          </cell>
        </row>
        <row r="74">
          <cell r="F74" t="str">
            <v>ES310 6029 Szombathely
Pável koll I magyar u. Magyar László utca 1.</v>
          </cell>
        </row>
        <row r="75">
          <cell r="F75" t="str">
            <v>ES330 6040 Szombathely
Pável koll III. Deák F u Deák Ferenc. u. 57.</v>
          </cell>
        </row>
        <row r="76">
          <cell r="F76" t="str">
            <v>ES410 5555 Szombathely
Campus Sportcsarnok Károlyi G. tér 4.</v>
          </cell>
        </row>
        <row r="77">
          <cell r="F77" t="str">
            <v>ES420 5555 Szombathely
Campus Menza Károlyi G. tér 4.</v>
          </cell>
        </row>
        <row r="78">
          <cell r="F78" t="str">
            <v xml:space="preserve"> 1206 Martonvásár Dréher út 12.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ZÁMELEK"/>
      <sheetName val="SZÁMGÁZ"/>
      <sheetName val="SZÁMVÍZ"/>
      <sheetName val="SZÁMCSAT"/>
      <sheetName val="SZÁMHŐ"/>
      <sheetName val="VEGYTÜZ"/>
      <sheetName val="KÉMSZLA"/>
      <sheetName val="SZEMÉT"/>
      <sheetName val="KTG"/>
      <sheetName val="Elektromos"/>
      <sheetName val="Gáz"/>
      <sheetName val="Víz"/>
      <sheetName val="Csatorna"/>
      <sheetName val="Távhő"/>
      <sheetName val="Vegyes"/>
      <sheetName val="Kémény"/>
      <sheetName val="felbontás"/>
      <sheetName val="kódok"/>
      <sheetName val="számo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>
        <row r="1">
          <cell r="A1" t="str">
            <v>Épületkód</v>
          </cell>
        </row>
        <row r="2">
          <cell r="A2" t="str">
            <v>A10</v>
          </cell>
        </row>
        <row r="3">
          <cell r="A3" t="str">
            <v>A20</v>
          </cell>
        </row>
        <row r="4">
          <cell r="A4" t="str">
            <v>A30</v>
          </cell>
        </row>
        <row r="5">
          <cell r="A5" t="str">
            <v>A40</v>
          </cell>
        </row>
        <row r="6">
          <cell r="A6" t="str">
            <v>A50</v>
          </cell>
        </row>
        <row r="7">
          <cell r="A7" t="str">
            <v>A60</v>
          </cell>
        </row>
        <row r="8">
          <cell r="A8" t="str">
            <v>A70</v>
          </cell>
        </row>
        <row r="9">
          <cell r="A9" t="str">
            <v>A80</v>
          </cell>
        </row>
        <row r="10">
          <cell r="A10" t="str">
            <v>A90</v>
          </cell>
        </row>
        <row r="11">
          <cell r="A11" t="str">
            <v>B11</v>
          </cell>
        </row>
        <row r="12">
          <cell r="A12" t="str">
            <v>B12</v>
          </cell>
        </row>
        <row r="13">
          <cell r="A13" t="str">
            <v>B13</v>
          </cell>
        </row>
        <row r="14">
          <cell r="A14" t="str">
            <v>B14</v>
          </cell>
        </row>
        <row r="15">
          <cell r="A15" t="str">
            <v>B15</v>
          </cell>
        </row>
        <row r="16">
          <cell r="A16" t="str">
            <v>B16</v>
          </cell>
        </row>
        <row r="17">
          <cell r="A17" t="str">
            <v>B17</v>
          </cell>
        </row>
        <row r="18">
          <cell r="A18" t="str">
            <v>B18</v>
          </cell>
        </row>
        <row r="19">
          <cell r="A19" t="str">
            <v>B19</v>
          </cell>
        </row>
        <row r="20">
          <cell r="A20" t="str">
            <v>B20</v>
          </cell>
        </row>
        <row r="21">
          <cell r="A21" t="str">
            <v>B30</v>
          </cell>
        </row>
        <row r="22">
          <cell r="A22" t="str">
            <v>B40</v>
          </cell>
        </row>
        <row r="23">
          <cell r="A23" t="str">
            <v>B50</v>
          </cell>
        </row>
        <row r="24">
          <cell r="A24" t="str">
            <v>B60</v>
          </cell>
        </row>
        <row r="25">
          <cell r="A25" t="str">
            <v>B90</v>
          </cell>
        </row>
        <row r="26">
          <cell r="A26" t="str">
            <v>C10</v>
          </cell>
        </row>
        <row r="27">
          <cell r="A27" t="str">
            <v>C11</v>
          </cell>
        </row>
        <row r="28">
          <cell r="A28" t="str">
            <v>C12</v>
          </cell>
        </row>
        <row r="29">
          <cell r="A29" t="str">
            <v>C13</v>
          </cell>
        </row>
        <row r="30">
          <cell r="A30" t="str">
            <v>C15</v>
          </cell>
        </row>
        <row r="31">
          <cell r="A31" t="str">
            <v>C16</v>
          </cell>
        </row>
        <row r="32">
          <cell r="A32" t="str">
            <v>C20</v>
          </cell>
        </row>
        <row r="33">
          <cell r="A33" t="str">
            <v>C31</v>
          </cell>
        </row>
        <row r="34">
          <cell r="A34" t="str">
            <v>C32</v>
          </cell>
        </row>
        <row r="35">
          <cell r="A35" t="str">
            <v>C33</v>
          </cell>
        </row>
        <row r="36">
          <cell r="A36" t="str">
            <v>C40</v>
          </cell>
        </row>
        <row r="37">
          <cell r="A37" t="str">
            <v>C50</v>
          </cell>
        </row>
        <row r="38">
          <cell r="A38" t="str">
            <v>D11</v>
          </cell>
        </row>
        <row r="39">
          <cell r="A39" t="str">
            <v>D12</v>
          </cell>
        </row>
        <row r="40">
          <cell r="A40" t="str">
            <v>D13</v>
          </cell>
        </row>
        <row r="41">
          <cell r="A41" t="str">
            <v>D14</v>
          </cell>
        </row>
        <row r="42">
          <cell r="A42" t="str">
            <v>D20</v>
          </cell>
        </row>
        <row r="43">
          <cell r="A43" t="str">
            <v>D23</v>
          </cell>
        </row>
        <row r="44">
          <cell r="A44" t="str">
            <v>D30</v>
          </cell>
        </row>
        <row r="45">
          <cell r="A45" t="str">
            <v>E10</v>
          </cell>
        </row>
        <row r="46">
          <cell r="A46" t="str">
            <v>E20</v>
          </cell>
        </row>
        <row r="47">
          <cell r="A47" t="str">
            <v>E31</v>
          </cell>
        </row>
        <row r="48">
          <cell r="A48" t="str">
            <v>E32</v>
          </cell>
        </row>
        <row r="49">
          <cell r="A49" t="str">
            <v>E33</v>
          </cell>
        </row>
        <row r="50">
          <cell r="A50" t="str">
            <v>E34</v>
          </cell>
        </row>
        <row r="51">
          <cell r="A51" t="str">
            <v>E40</v>
          </cell>
        </row>
        <row r="52">
          <cell r="A52" t="str">
            <v>E50</v>
          </cell>
        </row>
        <row r="53">
          <cell r="A53" t="str">
            <v>F10</v>
          </cell>
        </row>
        <row r="54">
          <cell r="A54" t="str">
            <v>F20</v>
          </cell>
        </row>
        <row r="55">
          <cell r="A55" t="str">
            <v>F30</v>
          </cell>
        </row>
        <row r="56">
          <cell r="A56" t="str">
            <v>F40</v>
          </cell>
        </row>
        <row r="57">
          <cell r="A57" t="str">
            <v>F50</v>
          </cell>
        </row>
        <row r="58">
          <cell r="A58" t="str">
            <v>F60</v>
          </cell>
        </row>
        <row r="59">
          <cell r="A59" t="str">
            <v>F70</v>
          </cell>
        </row>
        <row r="60">
          <cell r="A60" t="str">
            <v>F80</v>
          </cell>
        </row>
        <row r="61">
          <cell r="A61" t="str">
            <v>F90</v>
          </cell>
        </row>
        <row r="62">
          <cell r="A62" t="str">
            <v>FA0</v>
          </cell>
        </row>
        <row r="63">
          <cell r="A63" t="str">
            <v>FB0</v>
          </cell>
        </row>
        <row r="64">
          <cell r="A64" t="str">
            <v>FD0</v>
          </cell>
        </row>
        <row r="65">
          <cell r="A65" t="str">
            <v>G10</v>
          </cell>
        </row>
        <row r="66">
          <cell r="A66" t="str">
            <v>G20</v>
          </cell>
        </row>
        <row r="67">
          <cell r="A67" t="str">
            <v>Épületkód</v>
          </cell>
        </row>
        <row r="68">
          <cell r="A68" t="str">
            <v>H11</v>
          </cell>
        </row>
        <row r="69">
          <cell r="A69" t="str">
            <v>H12</v>
          </cell>
        </row>
        <row r="70">
          <cell r="A70" t="str">
            <v>H13</v>
          </cell>
        </row>
        <row r="71">
          <cell r="A71" t="str">
            <v>H20</v>
          </cell>
        </row>
        <row r="72">
          <cell r="A72" t="str">
            <v>IB0</v>
          </cell>
        </row>
        <row r="73">
          <cell r="A73" t="str">
            <v>I00</v>
          </cell>
        </row>
        <row r="74">
          <cell r="A74" t="str">
            <v>I00</v>
          </cell>
        </row>
        <row r="75">
          <cell r="A75" t="str">
            <v>I00</v>
          </cell>
        </row>
        <row r="76">
          <cell r="A76" t="str">
            <v>I00</v>
          </cell>
        </row>
        <row r="77">
          <cell r="A77" t="str">
            <v>I00</v>
          </cell>
        </row>
        <row r="78">
          <cell r="A78" t="str">
            <v>I00</v>
          </cell>
        </row>
        <row r="79">
          <cell r="A79" t="str">
            <v>I00</v>
          </cell>
        </row>
        <row r="80">
          <cell r="A80" t="str">
            <v>I00</v>
          </cell>
        </row>
        <row r="81">
          <cell r="A81" t="str">
            <v>I00</v>
          </cell>
        </row>
        <row r="82">
          <cell r="A82" t="str">
            <v>I00</v>
          </cell>
        </row>
        <row r="83">
          <cell r="A83" t="str">
            <v>I00</v>
          </cell>
        </row>
        <row r="84">
          <cell r="A84" t="str">
            <v>I00</v>
          </cell>
        </row>
        <row r="85">
          <cell r="A85" t="str">
            <v>I00</v>
          </cell>
        </row>
        <row r="86">
          <cell r="A86" t="str">
            <v>I00</v>
          </cell>
        </row>
        <row r="87">
          <cell r="A87" t="str">
            <v>I00</v>
          </cell>
        </row>
        <row r="88">
          <cell r="A88" t="str">
            <v>I00</v>
          </cell>
        </row>
        <row r="89">
          <cell r="A89" t="str">
            <v>I00</v>
          </cell>
        </row>
        <row r="90">
          <cell r="A90" t="str">
            <v>I00</v>
          </cell>
        </row>
        <row r="91">
          <cell r="A91" t="str">
            <v>I00</v>
          </cell>
        </row>
      </sheetData>
      <sheetData sheetId="18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ÁZ"/>
      <sheetName val="VÍZ"/>
      <sheetName val="ÁRAM"/>
      <sheetName val="Rovatrend"/>
      <sheetName val="Ellátás_Szerződések"/>
      <sheetName val="SZÁMLA"/>
      <sheetName val="SZERZŐDÉSEK"/>
      <sheetName val="Idegen_szerz."/>
      <sheetName val="TERV 802"/>
      <sheetName val="802"/>
      <sheetName val="TERV 804"/>
      <sheetName val="TERV 699"/>
      <sheetName val="804"/>
      <sheetName val="539"/>
      <sheetName val="699"/>
      <sheetName val="873"/>
      <sheetName val="803"/>
      <sheetName val="420"/>
      <sheetName val="811"/>
      <sheetName val="893"/>
      <sheetName val="415"/>
      <sheetName val="422"/>
      <sheetName val="709"/>
      <sheetName val="Keretátadás"/>
      <sheetName val="jogcím"/>
      <sheetName val="Új cím"/>
      <sheetName val="Régi cím"/>
      <sheetName val="SZÁMOL"/>
      <sheetName val="ÖSSZESI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>
        <row r="7">
          <cell r="A7" t="str">
            <v>EA11</v>
          </cell>
        </row>
        <row r="8">
          <cell r="A8" t="str">
            <v>EA12</v>
          </cell>
        </row>
        <row r="9">
          <cell r="A9" t="str">
            <v>EA21</v>
          </cell>
        </row>
        <row r="10">
          <cell r="A10" t="str">
            <v>EA22</v>
          </cell>
        </row>
        <row r="11">
          <cell r="A11" t="str">
            <v>EA23</v>
          </cell>
        </row>
        <row r="12">
          <cell r="A12" t="str">
            <v>EA30</v>
          </cell>
        </row>
        <row r="13">
          <cell r="A13" t="str">
            <v>EA40</v>
          </cell>
        </row>
        <row r="14">
          <cell r="A14" t="str">
            <v>EA50</v>
          </cell>
        </row>
        <row r="15">
          <cell r="A15" t="str">
            <v>EA61</v>
          </cell>
        </row>
        <row r="16">
          <cell r="A16" t="str">
            <v>EA62</v>
          </cell>
        </row>
        <row r="17">
          <cell r="A17" t="str">
            <v>EA63</v>
          </cell>
        </row>
        <row r="18">
          <cell r="A18" t="str">
            <v>EA70</v>
          </cell>
        </row>
        <row r="19">
          <cell r="A19" t="str">
            <v>EA80</v>
          </cell>
        </row>
        <row r="20">
          <cell r="A20" t="str">
            <v>EA91</v>
          </cell>
        </row>
        <row r="21">
          <cell r="A21" t="str">
            <v>EA92</v>
          </cell>
        </row>
        <row r="22">
          <cell r="A22" t="str">
            <v>EB11</v>
          </cell>
        </row>
        <row r="23">
          <cell r="A23" t="str">
            <v>EB12</v>
          </cell>
        </row>
        <row r="24">
          <cell r="A24" t="str">
            <v>EB13</v>
          </cell>
        </row>
        <row r="25">
          <cell r="A25" t="str">
            <v>EB14</v>
          </cell>
        </row>
        <row r="26">
          <cell r="A26" t="str">
            <v>EB15</v>
          </cell>
        </row>
        <row r="27">
          <cell r="A27" t="str">
            <v>EB16</v>
          </cell>
        </row>
        <row r="28">
          <cell r="A28" t="str">
            <v>EB17</v>
          </cell>
        </row>
        <row r="29">
          <cell r="A29" t="str">
            <v>EB18</v>
          </cell>
        </row>
        <row r="30">
          <cell r="A30" t="str">
            <v>EB19</v>
          </cell>
        </row>
        <row r="31">
          <cell r="A31" t="str">
            <v>EB20</v>
          </cell>
        </row>
        <row r="32">
          <cell r="A32" t="str">
            <v>EB31</v>
          </cell>
        </row>
        <row r="33">
          <cell r="A33" t="str">
            <v>EB32</v>
          </cell>
        </row>
        <row r="34">
          <cell r="A34" t="str">
            <v>EB40</v>
          </cell>
        </row>
        <row r="35">
          <cell r="A35" t="str">
            <v>EB90</v>
          </cell>
        </row>
        <row r="36">
          <cell r="A36" t="str">
            <v>EC21</v>
          </cell>
        </row>
        <row r="37">
          <cell r="A37" t="str">
            <v>EC22</v>
          </cell>
        </row>
        <row r="38">
          <cell r="A38" t="str">
            <v>EC41</v>
          </cell>
        </row>
        <row r="39">
          <cell r="A39" t="str">
            <v>EC42</v>
          </cell>
        </row>
        <row r="40">
          <cell r="A40" t="str">
            <v>EC51</v>
          </cell>
        </row>
        <row r="41">
          <cell r="A41" t="str">
            <v>EC52</v>
          </cell>
        </row>
        <row r="42">
          <cell r="A42" t="str">
            <v>ED11</v>
          </cell>
        </row>
        <row r="43">
          <cell r="A43" t="str">
            <v>ED12</v>
          </cell>
        </row>
        <row r="44">
          <cell r="A44" t="str">
            <v>ED13</v>
          </cell>
        </row>
        <row r="45">
          <cell r="A45" t="str">
            <v>ED21</v>
          </cell>
        </row>
        <row r="46">
          <cell r="A46" t="str">
            <v>ED22</v>
          </cell>
        </row>
        <row r="47">
          <cell r="A47" t="str">
            <v>ED23</v>
          </cell>
        </row>
        <row r="48">
          <cell r="A48" t="str">
            <v>ED24</v>
          </cell>
        </row>
        <row r="49">
          <cell r="A49" t="str">
            <v>ED25</v>
          </cell>
        </row>
        <row r="50">
          <cell r="A50" t="str">
            <v>ED26</v>
          </cell>
        </row>
        <row r="51">
          <cell r="A51" t="str">
            <v>ED31</v>
          </cell>
        </row>
        <row r="52">
          <cell r="A52" t="str">
            <v>ED32</v>
          </cell>
        </row>
        <row r="53">
          <cell r="A53" t="str">
            <v>ED33</v>
          </cell>
        </row>
        <row r="54">
          <cell r="A54" t="str">
            <v>ED40</v>
          </cell>
        </row>
        <row r="55">
          <cell r="A55" t="str">
            <v>ED51</v>
          </cell>
        </row>
        <row r="56">
          <cell r="A56" t="str">
            <v>ED52</v>
          </cell>
        </row>
        <row r="57">
          <cell r="A57" t="str">
            <v>ED53</v>
          </cell>
        </row>
        <row r="58">
          <cell r="A58" t="str">
            <v>ED54</v>
          </cell>
        </row>
        <row r="59">
          <cell r="A59" t="str">
            <v>EE11</v>
          </cell>
        </row>
        <row r="60">
          <cell r="A60" t="str">
            <v>EE21</v>
          </cell>
        </row>
        <row r="61">
          <cell r="A61" t="str">
            <v>EE22</v>
          </cell>
        </row>
        <row r="62">
          <cell r="A62" t="str">
            <v>EE31</v>
          </cell>
        </row>
        <row r="63">
          <cell r="A63" t="str">
            <v>EE32</v>
          </cell>
        </row>
        <row r="64">
          <cell r="A64" t="str">
            <v>EE33</v>
          </cell>
        </row>
        <row r="65">
          <cell r="A65" t="str">
            <v>EE34</v>
          </cell>
        </row>
        <row r="66">
          <cell r="A66" t="str">
            <v>EE35</v>
          </cell>
        </row>
        <row r="67">
          <cell r="A67" t="str">
            <v>EE36</v>
          </cell>
        </row>
        <row r="68">
          <cell r="A68" t="str">
            <v>EE37</v>
          </cell>
        </row>
        <row r="69">
          <cell r="A69" t="str">
            <v>EE41</v>
          </cell>
        </row>
        <row r="70">
          <cell r="A70" t="str">
            <v>EE42</v>
          </cell>
        </row>
        <row r="71">
          <cell r="A71" t="str">
            <v>EE43</v>
          </cell>
        </row>
        <row r="72">
          <cell r="A72" t="str">
            <v>EE44</v>
          </cell>
        </row>
        <row r="73">
          <cell r="A73" t="str">
            <v>EE45</v>
          </cell>
        </row>
        <row r="74">
          <cell r="A74" t="str">
            <v>EE51</v>
          </cell>
        </row>
        <row r="75">
          <cell r="A75" t="str">
            <v>EE52</v>
          </cell>
        </row>
        <row r="76">
          <cell r="A76" t="str">
            <v>EE53</v>
          </cell>
        </row>
        <row r="77">
          <cell r="A77" t="str">
            <v>EE60</v>
          </cell>
        </row>
        <row r="78">
          <cell r="A78" t="str">
            <v>EF1A</v>
          </cell>
        </row>
        <row r="79">
          <cell r="A79" t="str">
            <v>EF11</v>
          </cell>
        </row>
        <row r="80">
          <cell r="A80" t="str">
            <v>EF12</v>
          </cell>
        </row>
        <row r="81">
          <cell r="A81" t="str">
            <v>EF13</v>
          </cell>
        </row>
        <row r="82">
          <cell r="A82" t="str">
            <v>EF14</v>
          </cell>
        </row>
        <row r="83">
          <cell r="A83" t="str">
            <v>EF15</v>
          </cell>
        </row>
        <row r="84">
          <cell r="A84" t="str">
            <v>EF16</v>
          </cell>
        </row>
        <row r="85">
          <cell r="A85" t="str">
            <v>EF17</v>
          </cell>
        </row>
        <row r="86">
          <cell r="A86" t="str">
            <v>EF18</v>
          </cell>
        </row>
        <row r="87">
          <cell r="A87" t="str">
            <v>EF19</v>
          </cell>
        </row>
        <row r="88">
          <cell r="A88" t="str">
            <v>EF1B</v>
          </cell>
        </row>
        <row r="89">
          <cell r="A89" t="str">
            <v>EF1C</v>
          </cell>
        </row>
        <row r="90">
          <cell r="A90" t="str">
            <v>EF21</v>
          </cell>
        </row>
        <row r="91">
          <cell r="A91" t="str">
            <v>EF22</v>
          </cell>
        </row>
        <row r="92">
          <cell r="A92" t="str">
            <v>EF23</v>
          </cell>
        </row>
        <row r="93">
          <cell r="A93" t="str">
            <v>EF24</v>
          </cell>
        </row>
        <row r="94">
          <cell r="A94" t="str">
            <v>EF25</v>
          </cell>
        </row>
        <row r="95">
          <cell r="A95" t="str">
            <v>EF26</v>
          </cell>
        </row>
        <row r="96">
          <cell r="A96" t="str">
            <v>EF27</v>
          </cell>
        </row>
        <row r="97">
          <cell r="A97" t="str">
            <v>EF28</v>
          </cell>
        </row>
        <row r="98">
          <cell r="A98" t="str">
            <v>EF29</v>
          </cell>
        </row>
        <row r="99">
          <cell r="A99" t="str">
            <v>EF2A</v>
          </cell>
        </row>
        <row r="100">
          <cell r="A100" t="str">
            <v>EF2B</v>
          </cell>
        </row>
        <row r="101">
          <cell r="A101" t="str">
            <v>EF2C</v>
          </cell>
        </row>
        <row r="102">
          <cell r="A102" t="str">
            <v>EF2D</v>
          </cell>
        </row>
        <row r="103">
          <cell r="A103" t="str">
            <v>EF2E</v>
          </cell>
        </row>
        <row r="104">
          <cell r="A104" t="str">
            <v>EF2F</v>
          </cell>
        </row>
        <row r="105">
          <cell r="A105" t="str">
            <v>EF2G</v>
          </cell>
        </row>
        <row r="106">
          <cell r="A106" t="str">
            <v>EF2H</v>
          </cell>
        </row>
        <row r="107">
          <cell r="A107" t="str">
            <v>EF2I</v>
          </cell>
        </row>
        <row r="108">
          <cell r="A108" t="str">
            <v>EF2M</v>
          </cell>
        </row>
        <row r="109">
          <cell r="A109" t="str">
            <v>EF31</v>
          </cell>
        </row>
        <row r="110">
          <cell r="A110" t="str">
            <v>EF32</v>
          </cell>
        </row>
        <row r="111">
          <cell r="A111" t="str">
            <v>EF33</v>
          </cell>
        </row>
        <row r="112">
          <cell r="A112" t="str">
            <v>EF41</v>
          </cell>
        </row>
        <row r="113">
          <cell r="A113" t="str">
            <v>EF51</v>
          </cell>
        </row>
        <row r="114">
          <cell r="A114" t="str">
            <v>EF52</v>
          </cell>
        </row>
        <row r="115">
          <cell r="A115" t="str">
            <v>EF71</v>
          </cell>
        </row>
        <row r="116">
          <cell r="A116" t="str">
            <v>EF72</v>
          </cell>
        </row>
        <row r="117">
          <cell r="A117" t="str">
            <v>EF73</v>
          </cell>
        </row>
        <row r="118">
          <cell r="A118" t="str">
            <v>EF74</v>
          </cell>
        </row>
        <row r="119">
          <cell r="A119" t="str">
            <v>EF75</v>
          </cell>
        </row>
        <row r="120">
          <cell r="A120" t="str">
            <v>EF76</v>
          </cell>
        </row>
        <row r="121">
          <cell r="A121" t="str">
            <v>EF77</v>
          </cell>
        </row>
        <row r="122">
          <cell r="A122" t="str">
            <v>EF78</v>
          </cell>
        </row>
        <row r="123">
          <cell r="A123" t="str">
            <v>EF80</v>
          </cell>
        </row>
        <row r="124">
          <cell r="A124" t="str">
            <v>EF91</v>
          </cell>
        </row>
        <row r="125">
          <cell r="A125" t="str">
            <v>EF92</v>
          </cell>
        </row>
        <row r="126">
          <cell r="A126" t="str">
            <v>EF93</v>
          </cell>
        </row>
        <row r="127">
          <cell r="A127" t="str">
            <v>EFA0</v>
          </cell>
        </row>
        <row r="128">
          <cell r="A128" t="str">
            <v>EFB0</v>
          </cell>
        </row>
        <row r="129">
          <cell r="A129" t="str">
            <v>EFB1</v>
          </cell>
        </row>
        <row r="130">
          <cell r="A130" t="str">
            <v>EFB2</v>
          </cell>
        </row>
        <row r="131">
          <cell r="A131" t="str">
            <v>EFB3</v>
          </cell>
        </row>
        <row r="132">
          <cell r="A132" t="str">
            <v>EFB4</v>
          </cell>
        </row>
        <row r="133">
          <cell r="A133" t="str">
            <v>EFB5</v>
          </cell>
        </row>
        <row r="134">
          <cell r="A134" t="str">
            <v>EFB6</v>
          </cell>
        </row>
        <row r="135">
          <cell r="A135" t="str">
            <v>EFD0</v>
          </cell>
        </row>
        <row r="136">
          <cell r="A136" t="str">
            <v>EFD1</v>
          </cell>
        </row>
        <row r="137">
          <cell r="A137" t="str">
            <v>EFD2</v>
          </cell>
        </row>
        <row r="138">
          <cell r="A138" t="str">
            <v>EI20</v>
          </cell>
        </row>
        <row r="139">
          <cell r="A139" t="str">
            <v>EI21</v>
          </cell>
        </row>
        <row r="140">
          <cell r="A140" t="str">
            <v>EI22</v>
          </cell>
        </row>
        <row r="141">
          <cell r="A141" t="str">
            <v>EG11</v>
          </cell>
        </row>
        <row r="142">
          <cell r="A142" t="str">
            <v>EG12</v>
          </cell>
        </row>
        <row r="143">
          <cell r="A143" t="str">
            <v>EG21</v>
          </cell>
        </row>
        <row r="144">
          <cell r="A144" t="str">
            <v>EG22</v>
          </cell>
        </row>
        <row r="145">
          <cell r="A145" t="str">
            <v>EH11</v>
          </cell>
        </row>
        <row r="146">
          <cell r="A146" t="str">
            <v>EH12</v>
          </cell>
        </row>
        <row r="147">
          <cell r="A147" t="str">
            <v>EH14</v>
          </cell>
        </row>
        <row r="148">
          <cell r="A148" t="str">
            <v>EH31</v>
          </cell>
        </row>
        <row r="149">
          <cell r="A149" t="str">
            <v>EH32</v>
          </cell>
        </row>
      </sheetData>
      <sheetData sheetId="26" refreshError="1"/>
      <sheetData sheetId="27"/>
      <sheetData sheetId="28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chnikai"/>
      <sheetName val="KECSKEMÉTI U. 10-12."/>
      <sheetName val="Tervezési irányelvek"/>
      <sheetName val="épületek"/>
      <sheetName val="anyagcsoportok SAP-ban"/>
      <sheetName val="M-anyagcsoportok"/>
      <sheetName val="tevékenységek"/>
      <sheetName val="munkaszám"/>
      <sheetName val="Munkaszám technikai"/>
    </sheetNames>
    <sheetDataSet>
      <sheetData sheetId="0">
        <row r="1">
          <cell r="A1" t="str">
            <v>eseti</v>
          </cell>
          <cell r="C1" t="str">
            <v>napi</v>
          </cell>
          <cell r="D1" t="str">
            <v>kötelező</v>
          </cell>
        </row>
        <row r="2">
          <cell r="A2" t="str">
            <v>rendszeres</v>
          </cell>
          <cell r="C2" t="str">
            <v>heti</v>
          </cell>
          <cell r="D2" t="str">
            <v>javasolt</v>
          </cell>
        </row>
        <row r="3">
          <cell r="C3" t="str">
            <v>havi</v>
          </cell>
        </row>
        <row r="4">
          <cell r="C4" t="str">
            <v>né</v>
          </cell>
        </row>
        <row r="5">
          <cell r="C5" t="str">
            <v>fé</v>
          </cell>
        </row>
        <row r="6">
          <cell r="C6" t="str">
            <v>éves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/2022_tervez&#233;s/bdpk_letszam_tanszek_20220322.xlsx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Gyüge Péter" refreshedDate="44290.608353009258" createdVersion="6" refreshedVersion="6" minRefreshableVersion="3" recordCount="645">
  <cacheSource type="worksheet">
    <worksheetSource ref="A1:L1048576" sheet="1 kari főtábla"/>
  </cacheSource>
  <cacheFields count="12">
    <cacheField name="2.a melléklet sorszáma" numFmtId="0">
      <sharedItems containsBlank="1" containsMixedTypes="1" containsNumber="1" containsInteger="1" minValue="2" maxValue="50"/>
    </cacheField>
    <cacheField name="Kari tanács" numFmtId="0">
      <sharedItems containsBlank="1"/>
    </cacheField>
    <cacheField name="Kari Tanács B/K" numFmtId="0">
      <sharedItems containsBlank="1"/>
    </cacheField>
    <cacheField name="Kari Tanács sorszám" numFmtId="0">
      <sharedItems containsBlank="1"/>
    </cacheField>
    <cacheField name="Sor neve" numFmtId="0">
      <sharedItems containsBlank="1"/>
    </cacheField>
    <cacheField name="Kiadás/ Bevétel" numFmtId="0">
      <sharedItems containsBlank="1"/>
    </cacheField>
    <cacheField name="Űrlapsorszám" numFmtId="0">
      <sharedItems containsString="0" containsBlank="1" containsNumber="1" containsInteger="1" minValue="1" maxValue="350"/>
    </cacheField>
    <cacheField name="Űrlapsor neve" numFmtId="0">
      <sharedItems containsBlank="1"/>
    </cacheField>
    <cacheField name="PPK SZH" numFmtId="0">
      <sharedItems containsBlank="1" containsMixedTypes="1" containsNumber="1" minValue="-77441011.623756886" maxValue="402526458"/>
    </cacheField>
    <cacheField name="KARI főcsoport ÖSSZESEN" numFmtId="0">
      <sharedItems containsBlank="1" containsMixedTypes="1" containsNumber="1" minValue="-76480027.007349283" maxValue="402526457.93341732"/>
    </cacheField>
    <cacheField name="Eltérés" numFmtId="0">
      <sharedItems containsString="0" containsBlank="1" containsNumber="1" minValue="-246802042.40593541" maxValue="290133291.27089614"/>
    </cacheField>
    <cacheField name="TERVEZÉS ÖSSZESEN (karon kívülre átadásnál 0)" numFmtId="0">
      <sharedItems containsString="0" containsBlank="1" containsNumber="1" minValue="-76480027.007349283" maxValue="402526457.9334173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Tóth András" refreshedDate="44330.648428935187" createdVersion="6" refreshedVersion="6" minRefreshableVersion="3" recordCount="628">
  <cacheSource type="worksheet">
    <worksheetSource ref="G1:BH1048576" sheet="1 kari főtábla"/>
  </cacheSource>
  <cacheFields count="38">
    <cacheField name="Űrlapsorszám" numFmtId="0">
      <sharedItems containsString="0" containsBlank="1" containsNumber="1" minValue="1" maxValue="350" count="212">
        <m/>
        <n v="5.13"/>
        <n v="320"/>
        <n v="343"/>
        <n v="333"/>
        <n v="349"/>
        <n v="255"/>
        <n v="294"/>
        <n v="286"/>
        <n v="301"/>
        <n v="233"/>
        <n v="234"/>
        <n v="235"/>
        <n v="236"/>
        <n v="237"/>
        <n v="238"/>
        <n v="239"/>
        <n v="240"/>
        <n v="241"/>
        <n v="242"/>
        <n v="243"/>
        <n v="244"/>
        <n v="245"/>
        <n v="246"/>
        <n v="247"/>
        <n v="248"/>
        <n v="249"/>
        <n v="250"/>
        <n v="251"/>
        <n v="252"/>
        <n v="253"/>
        <n v="254"/>
        <n v="256"/>
        <n v="257"/>
        <n v="258"/>
        <n v="259"/>
        <n v="260"/>
        <n v="261"/>
        <n v="262"/>
        <n v="263"/>
        <n v="264"/>
        <n v="265"/>
        <n v="266"/>
        <n v="267"/>
        <n v="268"/>
        <n v="269"/>
        <n v="270"/>
        <n v="271"/>
        <n v="272"/>
        <n v="273"/>
        <n v="274"/>
        <n v="275"/>
        <n v="276"/>
        <n v="277"/>
        <n v="278"/>
        <n v="279"/>
        <n v="280"/>
        <n v="281"/>
        <n v="282"/>
        <n v="283"/>
        <n v="284"/>
        <n v="322"/>
        <n v="285"/>
        <n v="332"/>
        <n v="298"/>
        <n v="342"/>
        <n v="297"/>
        <n v="341"/>
        <n v="1"/>
        <n v="346"/>
        <n v="344"/>
        <n v="335"/>
        <n v="293"/>
        <n v="340"/>
        <n v="290"/>
        <n v="336"/>
        <n v="291"/>
        <n v="337"/>
        <n v="288"/>
        <n v="350"/>
        <n v="292"/>
        <n v="327"/>
        <n v="299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3"/>
        <n v="74"/>
        <n v="75"/>
        <n v="76"/>
        <n v="77"/>
        <n v="78"/>
        <n v="79"/>
        <n v="80"/>
        <n v="81"/>
        <n v="84"/>
        <n v="85"/>
        <n v="86"/>
        <n v="87"/>
        <n v="88"/>
        <n v="90"/>
        <n v="91"/>
        <n v="92"/>
        <n v="93"/>
        <n v="96"/>
        <n v="97"/>
        <n v="98"/>
        <n v="99"/>
        <n v="100"/>
        <n v="102"/>
        <n v="104"/>
        <n v="105"/>
        <n v="106"/>
        <n v="108"/>
        <n v="109"/>
        <n v="110"/>
        <n v="112"/>
        <n v="113"/>
        <n v="115"/>
        <n v="116"/>
        <n v="117"/>
        <n v="118"/>
        <n v="119"/>
        <n v="120"/>
        <n v="122"/>
        <n v="123"/>
        <n v="124"/>
        <n v="125"/>
        <n v="126"/>
        <n v="127"/>
        <n v="128"/>
        <n v="129"/>
        <n v="130"/>
        <n v="131"/>
        <n v="132"/>
        <n v="133"/>
        <n v="134"/>
        <n v="137"/>
        <n v="138"/>
        <n v="139"/>
        <n v="141"/>
        <n v="142"/>
        <n v="144"/>
        <n v="145"/>
        <n v="146"/>
        <n v="147"/>
        <n v="148"/>
        <n v="149"/>
        <n v="158"/>
        <n v="203"/>
        <n v="210"/>
        <n v="334"/>
        <n v="287"/>
        <n v="300"/>
        <n v="345"/>
        <n v="295" u="1"/>
        <n v="339" u="1"/>
      </sharedItems>
    </cacheField>
    <cacheField name="Űrlapsor neve" numFmtId="0">
      <sharedItems containsBlank="1" containsMixedTypes="1" containsNumber="1" minValue="15.13" maxValue="15.13" count="223">
        <m/>
        <n v="15.13"/>
        <s v="ÖSSZEGZŐ SOR"/>
        <s v="Működési költségvetés támogatása - Képzés"/>
        <s v="T Átoktatásra támogatás ÁTADÁS"/>
        <s v="T Képzési finanszírozás átadás"/>
        <s v="T Átoktatásra támogatás ÁTVÉTEL"/>
        <s v="Ell.díjak - Neptun - Önktg. Költségtérítés"/>
        <s v="SB Átoktatásra bevétel ÁTADÁS"/>
        <s v="SB Képzési finanszírozás átadás"/>
        <s v="SB Átoktatásra bevétel ÁTVÉTEL"/>
        <s v="ÖSSZESEN: töltendő, ha nincs alábontás"/>
        <s v="Vásárolt. saját előállítású  jegyzet. tankönyv értékesít."/>
        <s v="Egyéb áru és készletértékesítés"/>
        <s v="Gyakorló kert bevételei"/>
        <s v="ÁRU-ÉS KÉSZLET ÉRTÉKESÍTÉS ELLENÉRTÉKE"/>
        <s v="Oktatási bevételek (tanfolyamok stb.)"/>
        <s v="K + F tevékenység bevételei"/>
        <s v="Tárgyi eszköz bérbeadásából származó bevétel"/>
        <s v="Bérleti és lízing díjbevételek"/>
        <s v="Parkolási díjbevétel"/>
        <s v="Vendéglátók által üzem0101tett étterem. büfé bérleti díja"/>
        <s v="Kollégiumhasznosítással kapcs.bevételek (5% ÁFA)"/>
        <s v="Egyéb szolgáltatások bevételei"/>
        <s v="Étkezési térítési díj (alkalmazotti)"/>
        <s v="Lakbér"/>
        <s v="Üdülési díj"/>
        <s v="SZOLGÁLTATÁSOK ELLENÉRTÉKE"/>
        <s v="Közvetített szolgáltatások ellenértéke ÁH-n belül"/>
        <s v="Közvetített szolgáltatások ellenértéke ÁH-n kívül (Áfa mentes)"/>
        <s v="KÖZVETÍTETT SZOLGÁLTATÁSOK BEVÉTELE"/>
        <s v="Ell.díjak - Köznevelési ell. - Óvodai ellátottak térítési díja"/>
        <s v="Ell.díjak - Köznevelési ell. - Általános iskolások étkezési díja"/>
        <s v="Ell.díjak - Köznevelési ell. - Középiskolások étkezési díja"/>
        <s v="Ell.díjak-Neptun-Egyéb szolg.d.- Felv.iratk.díjak (regiszt.) KTGTÉR"/>
        <s v="Ell.díjak-Neptun-Egyéb szolg.d.-Tantárgyi vizsgaismétlési díj (UV díj)"/>
        <s v="Ell.díjak-Neptun-Egyéb szolg.d. - Tantárgyismétlési díj"/>
        <s v="Ell.díjak-Neptun-Egyéb szolg.d.-Oklevél, diplomakiállítási díj"/>
        <s v="Ell.díjak-Neptun-Egyéb szolg.d.-Kredittúllépés, kreditkihagyási díj"/>
        <s v="Ell.díjak-Neptun-Egyéb szolg.d. - Nyelvvizsga díj"/>
        <s v="Ell.díjak-Neptun-Egyéb szolg.d. - Utólagos kurzusfelvétel. leadás"/>
        <s v="Ell.díjak-Neptun-Egyéb szolg.d. - Késedelmes leadás. felvétel"/>
        <s v="Ell.díjak-Neptun-Egyéb szolg.d. - Késedelmes befizetés"/>
        <s v="Ell.díjak-Neptun-Egyéb szolg.d.-Kreditenkénti költségtérítés - túlfutók"/>
        <s v="Ell.díjak-Neptun-Egyéb szolg.d.- Doktori eljárási díjak"/>
        <s v="Ell.díjak-Neptun-Egyéb szolg.d.-Egyéb különeljárási és késedelmi díjak"/>
        <s v="Ell.díjak - Neptun - Kollégiumi bevételek"/>
        <s v="Ell.díjak - NEM Neptun -Habilitációs díjak"/>
        <s v="Ell.díjak - NEM Neptun rendszeren keresztül beszedett bev."/>
        <s v="ELLÁTÁSI DÍJAK"/>
        <s v="Egyenes adós ÁFA anyag"/>
        <s v="Egyenes adós ÁFA szolgáltatás"/>
        <s v="Egyenes adós ÁFA beruházás (Értékesített t.eszk.áfa)"/>
        <s v="KISZÁMLÁZOTT ÁFA"/>
        <s v="Működési kiadásokhoz kapcs ÁFA visszatér bev"/>
        <s v="ÁFA VISSZATÉRÜLÉS"/>
        <s v="Áht kiv. egyéb kamat-, kamatjellegű e/bevét"/>
        <s v="KAMATBEVÉTELEK"/>
        <s v="Évközi realizált árf. nyereség AUT"/>
        <s v="Évközi realizált árf. nyereség"/>
        <s v="Egyéb pénzügyi műv.e.eredmsz.bevétele"/>
        <s v="EGYÉB PÉNZÜGYI MŰVELETEK BEVÉTELEI"/>
        <s v="Biztosító által fizetett kártérítés"/>
        <s v="Működési költségvetés támogatása - Céltámogatás"/>
        <s v="SB ÁKTH ÁTADÁS"/>
        <s v="T ÁKTH ÁTADÁS"/>
        <s v="SB Kiválósági Alap"/>
        <s v="T Kiválósági Alap"/>
        <s v="SB Kari kiválósági keret"/>
        <s v="T Kari kiválósági keret"/>
        <s v="NEM TERVEZENDŐ"/>
        <s v="T tanárképzés közös ktg"/>
        <s v="T Belső működésre átadás"/>
        <s v="T SZOCHO megtakarítás"/>
        <s v="SB Folyóiratok finanszírozása"/>
        <s v="T Folyóiratok finanszírozása"/>
        <s v="SB Közterületesítési különbözet"/>
        <s v="T Közterületesítési különbözet"/>
        <s v="SB Informatikai közvetlen költségek"/>
        <s v="T Informatikai közvetlen költségek"/>
        <s v="SB Üzemeltetési feladatok"/>
        <s v="T Üzemeltetési feladatok"/>
        <s v="SB Nemzetköziesítési feladatok"/>
        <s v="Maradvány"/>
        <s v="Működési költségvetés támogatása - Stipendium"/>
        <s v="MARADVÁNY ÖSSZEGZŐ SOR"/>
        <s v="bizonylatok sorszáma: 8560, 8561, 8602"/>
        <s v="bizonylat sorszáma: 8655"/>
        <s v="bizonylatok sorszáma: 8562, 8563, 8564, 8567, 8568, 8571, 8572"/>
        <s v="bizonylat sorszáma: 8666"/>
        <s v="SB Belső működési átadás"/>
        <s v="idei forrás ÖSSZESEN: töltendő, ha nincs alábontás"/>
        <s v="Oktatók alapilletményei"/>
        <s v="Kutatók alapilletményei"/>
        <s v="Működést támogató közalkalmazottak alapilletményei"/>
        <s v="ALAPILLETMÉNY ÖSSZESEN"/>
        <s v="Illetménykiegészítés"/>
        <s v="Nyelvpótlék"/>
        <s v="Egyéb kötelező illetménypótlékok"/>
        <s v="Egyéb feltételtől függő pótlékok és juttatások"/>
        <s v="Rendszeres keresetkiegészítés"/>
        <s v="Eseti keresetkiegészítés"/>
        <s v="Egyéb juttatások kiadásai"/>
        <s v="Hallgatói munkadíjak"/>
        <s v="Üres álláshelyekre tervezett illetmény (okt+kut+egyéb+hallg)"/>
        <s v="Üres"/>
        <s v="TÖRVÉNY SZERINTI ILLETMÉNYEK"/>
        <s v="Céljuttatás, projektprémium"/>
        <s v="Készenlét. ügyelet. helyettesítési díj, túlóra"/>
        <s v="Végkielégítés"/>
        <s v="Jubileumi jutalom"/>
        <s v="Iskolarendsz.képzés hozzájár."/>
        <s v="Iskolakezdési támogatás teljesítése"/>
        <s v="Egyéb béren kívüli juttatás teljesítése"/>
        <s v="Munkábajárás útiköltsége, bérlet"/>
        <s v="Munkábajárás útiköltsége - saját gk. (9 Ft/km)"/>
        <s v="Egyéb költségtérítések (bankköltség)"/>
        <s v="Lakhatási támogatás,albérleti hozzájárulás"/>
        <s v="Szociális jellegű juttatások"/>
        <s v="Foglalkoztatottak e.szem.jutt.  (Távolléti díj)"/>
        <s v="Saját munkavállaló oktatási megbízási díj"/>
        <s v="Külföldi napidíj teljesítése"/>
        <s v="Bérkompenzáció (teljes és részmunkaidős foglalk.)"/>
        <s v="FOGLALKOZTATOTTAK SZEM. JUTTAT."/>
        <s v="Külső megbízott megbízási díj teljesítése"/>
        <s v="Külsős tiszteletdíj,szerzői díj,honoráriuma"/>
        <s v="Külsős belföldi napidíj teljesítése"/>
        <s v="Külsős külföldi napidíj teljesítése"/>
        <s v="MVÉGZÉSRE IR. E. JOGVISZONYBAN FIZETETT JUTTATÁSOK"/>
        <s v="Felmentési bér teljesítése"/>
        <s v="Munkaviszonyban nem állók költségtérítése"/>
        <s v="Ktg.és egyéb juttatások"/>
        <s v="Ktg.és egyéb jutt./vas.gyém.rubin okl.,ö.díj kieg.,OTKA p.)"/>
        <s v="Reprezentáció"/>
        <s v="EGYÉB KÜLSŐ SZEMÉLYI JUTTATÁSOK"/>
        <s v="KÜLSŐ SZEMÉLYI JUTTATÁSOK"/>
        <s v="SZEMÉLYI JUTTATÁSOK"/>
        <s v="SZOCHÓ (15,5%)"/>
        <s v="EKHO (15,5%)"/>
        <s v="Kifizetői 15,5 %-os SZOCHO"/>
        <s v="Kifizető által fizetett SZJA"/>
        <s v="Rehabilitációs hozzájárulás"/>
        <s v="MUNKAADÓKAT T.JÁRULÉKOK ÉS SZOCIÁLIS HOZZÁJÁRULÁSI ADÓ"/>
        <s v="Gyógyszerbeszerzés"/>
        <s v="Vegyszerbeszerzés"/>
        <s v="Egyéb szakmai anyagbeszerzés"/>
        <s v="Könyvbeszerzés (5% ÁFA)"/>
        <s v="Egy éven belül elhasználódó szakmai anyag"/>
        <s v="Irodaszer. sokszorosítási. számítástechnikai anyagok"/>
        <s v="Nyomtatvány beszerzés"/>
        <s v="Hajtó- és kenőanyag beszerzése"/>
        <s v="Munka-. védő- és formaruha beszerzés"/>
        <s v="Karbantartási anyagok. alkatrészek.szerszámok beszerz"/>
        <s v="Bútorok.berend..felszer. tárgyak. textíliák beszerz."/>
        <s v="Tisztítószerek. tisztálkodási szerek beszerzése"/>
        <s v="Számítástechnikai alkatrészek.készletek beszerzése"/>
        <s v="Egyéb készletbeszerzés"/>
        <s v="Számítástechnikai oktatási szolg."/>
        <s v="Inform.eszközök, szolg.bérlet,lízingelés ktg."/>
        <s v="Informatikai eszközök karbantartása. kisjav."/>
        <s v="Adatfeldolgozási szolgáltatások"/>
        <s v="Adatátviteli célú távközlési díjak"/>
        <s v="TV előfizetési díj"/>
        <s v="Egyéb kommunikációs szolgáltatások"/>
        <s v="Nem adatátviteli célú távközlési díjak"/>
        <s v="Nem járulékköteles távközlési díj"/>
        <s v="Villamosenergia szolgáltatás díja"/>
        <s v="Gázenergia szolgáltatás díja"/>
        <s v="Távhő és melegvíz szolgáltatás díja"/>
        <s v="Víz- és csatornadíjak"/>
        <s v="ÁFA mentes villamosenergia szolgáltatás díja"/>
        <s v="Vásárolt élelmezés"/>
        <s v="PPP szolgáltatás"/>
        <s v="Egyéb kül. bérleti és lízing díjak (PPP nélkül)"/>
        <s v="Ingatlan bérleti díj költségei (Áfa mentes)"/>
        <s v="Ingatlanok karbantartása. kisjavítása"/>
        <s v="Gépek berendezések karbantartása, kisjavítása ktg."/>
        <s v="Járművekkel kapcsolatos karbantartási, kisjav. kiadások"/>
        <s v="AHT-n belüli közvetített szolgáltatások"/>
        <s v="AHT-n kívüli közvetített szolgáltatások"/>
        <s v="Vásárolt közszolgáltatások (pld. egészségügyi)"/>
        <s v="Jogi szolgáltatások"/>
        <s v="Számlázott (okt..kut.)szellemi tev.kiad."/>
        <s v="Szakmai szolgáltatások"/>
        <s v="Sport és kulturális szolgáltatás"/>
        <s v="Tanfolyamok. továbbképzések"/>
        <s v="Egyéb pénzügyi szoltáltatások (bankktg.)"/>
        <s v="Anyag- és áruszállítás költségei"/>
        <s v="Egyéb szállítás költségei"/>
        <s v="Postai levél. csomag. feladott távirat"/>
        <s v="Takarítás"/>
        <s v="Rovarirtás"/>
        <s v="Kommunális hulladék szállítási költségei"/>
        <s v="Kéményseprési díjak költségei"/>
        <s v="Nyomdai költség"/>
        <s v="Ingatlanok üzemelt. fenntartási kiad."/>
        <s v="Egyéb üzemelt. Kiadások (mosás, rakodás)"/>
        <s v="Egyéb más jellegű szolg. Költségei (audit, ell.)"/>
        <s v="Biztosítási díj (központilag fizetett vagyonbiztosítás)"/>
        <s v="Külföldi kiküldetések kiadásai"/>
        <s v="Belföldi kiküldetések kiadásai"/>
        <s v="Reklám- és propaganda költségei"/>
        <s v="Nem levonható egyenes adós ÁFA anyag, szolg."/>
        <s v="Egyenes adózású ÁFA befizetés"/>
        <s v="Külf.pénzért.szóló köt.p.ügy.real.árfoly.veszt."/>
        <s v="H. adók.e. vám, illeték és adójell. befiz. ráf."/>
        <s v="Díjak, egyéb befiz., ráford. tagsági díjak kiad."/>
        <s v="Turizmusfejlesztési hozzájárulás (4%)"/>
        <s v="Különféle egyéb dologi kiad. miatti egyéb ráfordítások"/>
        <s v="Kollégiumok FK keret fele"/>
        <s v="U-s munkaszámokon átfordult maradvány"/>
        <s v="7.sz.melléklet szerint külön tervezendő"/>
        <s v="negatív esetén forrásátadás"/>
        <s v="12.sz.melléklet szerint külön tervezendő"/>
        <s v="Szakmai gyakorlat"/>
        <s v="Épületek felújítása"/>
        <s v="Nem levonható egyenes adós ÁFA felújítás"/>
        <s v="űrlapsor szerinti bontás külön tervezendő"/>
        <s v="T BDPK keresztfinanszírozás"/>
        <s v="SB BDPK keresztfinanszírozás"/>
        <s v=" "/>
        <s v="SB Belső keresztfinanszírozás"/>
        <s v="T Belső keresztfinanszírozás"/>
      </sharedItems>
    </cacheField>
    <cacheField name="PPK SZH" numFmtId="0">
      <sharedItems containsBlank="1" containsMixedTypes="1" containsNumber="1" minValue="-77441011.623756886" maxValue="402526458"/>
    </cacheField>
    <cacheField name="KARI főcsoport ÖSSZESEN" numFmtId="0">
      <sharedItems containsBlank="1" containsMixedTypes="1" containsNumber="1" minValue="-76480027.007349297" maxValue="402526457.93341732"/>
    </cacheField>
    <cacheField name="Eltérés" numFmtId="0">
      <sharedItems containsString="0" containsBlank="1" containsNumber="1" minValue="-213359970.25272799" maxValue="103010412.66260937"/>
    </cacheField>
    <cacheField name="TERVEZÉS ÖSSZESEN (karon kívülre átadásnál 0)" numFmtId="0">
      <sharedItems containsString="0" containsBlank="1" containsNumber="1" minValue="-80770811.871743351" maxValue="458559864.50892359"/>
    </cacheField>
    <cacheField name="Felosztás" numFmtId="0">
      <sharedItems containsBlank="1" containsMixedTypes="1" containsNumber="1" containsInteger="1" minValue="0" maxValue="15"/>
    </cacheField>
    <cacheField name="Pedagógiai és Pszichológiai Intézet" numFmtId="0">
      <sharedItems containsBlank="1" containsMixedTypes="1" containsNumber="1" minValue="-44660135.397968397" maxValue="158053989.63551742"/>
    </cacheField>
    <cacheField name="Sporttudományi Intézet" numFmtId="0">
      <sharedItems containsBlank="1" containsMixedTypes="1" containsNumber="1" minValue="-69785125.857451901" maxValue="216334275.29789996"/>
    </cacheField>
    <cacheField name="PPK Általános" numFmtId="0">
      <sharedItems containsBlank="1" containsMixedTypes="1" containsNumber="1" minValue="-114445261.70768903" maxValue="120437616.27102068"/>
    </cacheField>
    <cacheField name="Kari kiválósági munkaszám" numFmtId="0">
      <sharedItems containsBlank="1" containsMixedTypes="1" containsNumber="1" minValue="-0.45000000018626451" maxValue="16772128.208422858"/>
    </cacheField>
    <cacheField name="Egyéb  célfeladataok" numFmtId="0">
      <sharedItems containsBlank="1" containsMixedTypes="1" containsNumber="1" containsInteger="1" minValue="0" maxValue="0"/>
    </cacheField>
    <cacheField name="Kari informatika" numFmtId="0">
      <sharedItems containsString="0" containsBlank="1" containsNumber="1" containsInteger="1" minValue="0" maxValue="0"/>
    </cacheField>
    <cacheField name="FIKP" numFmtId="0">
      <sharedItems containsBlank="1" containsMixedTypes="1" containsNumber="1" containsInteger="1" minValue="0" maxValue="0"/>
    </cacheField>
    <cacheField name="TEKP" numFmtId="0">
      <sharedItems containsBlank="1" containsMixedTypes="1" containsNumber="1" containsInteger="1" minValue="0" maxValue="0"/>
    </cacheField>
    <cacheField name="Képzési munkaszámok" numFmtId="0">
      <sharedItems containsBlank="1" containsMixedTypes="1" containsNumber="1" minValue="-103010412.66260937" maxValue="105166091.74698077"/>
    </cacheField>
    <cacheField name="Üzemeltetés" numFmtId="0">
      <sharedItems containsBlank="1" containsMixedTypes="1" containsNumber="1" minValue="-22229172.469999999" maxValue="99328260.161519602"/>
    </cacheField>
    <cacheField name="Közterületesítés különbözet" numFmtId="0">
      <sharedItems containsBlank="1" containsMixedTypes="1" containsNumber="1" containsInteger="1" minValue="-6694998" maxValue="0"/>
    </cacheField>
    <cacheField name="ÁKTH SZH" numFmtId="0">
      <sharedItems containsBlank="1" containsMixedTypes="1" containsNumber="1" minValue="0" maxValue="79480049.606689543"/>
    </cacheField>
    <cacheField name="SZOCHO átadás " numFmtId="0">
      <sharedItems containsBlank="1" containsMixedTypes="1" containsNumber="1" containsInteger="1" minValue="0" maxValue="14953560"/>
    </cacheField>
    <cacheField name="Nemzetköziesítéshez átadás" numFmtId="0">
      <sharedItems containsBlank="1" containsMixedTypes="1" containsNumber="1" containsInteger="1" minValue="0" maxValue="0"/>
    </cacheField>
    <cacheField name="Kiválósági Alap 0,5%" numFmtId="0">
      <sharedItems containsBlank="1" containsMixedTypes="1" containsNumber="1" minValue="0" maxValue="2091580.2528076195"/>
    </cacheField>
    <cacheField name="Kiválósági Alap 5%" numFmtId="0">
      <sharedItems containsBlank="1" containsMixedTypes="1" containsNumber="1" containsInteger="1" minValue="0" maxValue="0"/>
    </cacheField>
    <cacheField name="EISZ" numFmtId="0">
      <sharedItems containsBlank="1" containsMixedTypes="1" containsNumber="1" containsInteger="1" minValue="0" maxValue="0"/>
    </cacheField>
    <cacheField name="Belföldi folyóirat" numFmtId="0">
      <sharedItems containsBlank="1" containsMixedTypes="1" containsNumber="1" containsInteger="1" minValue="0" maxValue="0"/>
    </cacheField>
    <cacheField name="Külföldi folyóirat" numFmtId="0">
      <sharedItems containsBlank="1" containsMixedTypes="1" containsNumber="1" containsInteger="1" minValue="0" maxValue="0"/>
    </cacheField>
    <cacheField name="Bp. tanárképzés működés" numFmtId="0">
      <sharedItems containsBlank="1" containsMixedTypes="1" containsNumber="1" containsInteger="1" minValue="0" maxValue="0"/>
    </cacheField>
    <cacheField name="Bp. tanárképzés gyakorlat" numFmtId="0">
      <sharedItems containsBlank="1" containsMixedTypes="1" containsNumber="1" containsInteger="1" minValue="0" maxValue="0"/>
    </cacheField>
    <cacheField name="Anyanyelvi kritériumvizsga" numFmtId="0">
      <sharedItems containsBlank="1" containsMixedTypes="1" containsNumber="1" containsInteger="1" minValue="0" maxValue="0"/>
    </cacheField>
    <cacheField name="Szhely. tanárképzés gyakorlat" numFmtId="0">
      <sharedItems containsBlank="1" containsMixedTypes="1" containsNumber="1" minValue="0" maxValue="14167162.406577878"/>
    </cacheField>
    <cacheField name="Átoktatás bevételből" numFmtId="0">
      <sharedItems containsBlank="1" containsMixedTypes="1" containsNumber="1" minValue="-18348552.708645355" maxValue="138909.41664954461"/>
    </cacheField>
    <cacheField name="Átoktatás támogatásból" numFmtId="0">
      <sharedItems containsBlank="1" containsMixedTypes="1" containsNumber="1" minValue="-219522475.78041548" maxValue="2155679.0843714089"/>
    </cacheField>
    <cacheField name="Átoktatás stipendiumból" numFmtId="0">
      <sharedItems containsBlank="1" containsMixedTypes="1" containsNumber="1" containsInteger="1" minValue="0" maxValue="0"/>
    </cacheField>
    <cacheField name="Átoktatás egyéb" numFmtId="0">
      <sharedItems containsBlank="1" containsMixedTypes="1" containsNumber="1" minValue="-466733.1982256826" maxValue="0"/>
    </cacheField>
    <cacheField name="SH 2021" numFmtId="0">
      <sharedItems containsBlank="1" containsMixedTypes="1" containsNumber="1" containsInteger="1" minValue="0" maxValue="0"/>
    </cacheField>
    <cacheField name="Kiválósági ösztöndíj" numFmtId="0">
      <sharedItems containsBlank="1" containsMixedTypes="1" containsNumber="1" minValue="0" maxValue="24408712.8712871"/>
    </cacheField>
    <cacheField name="SEK Keresztfinansz." numFmtId="0">
      <sharedItems containsBlank="1" containsMixedTypes="1" containsNumber="1" minValue="0" maxValue="26229616.671423346"/>
    </cacheField>
    <cacheField name="PALYREZSI" numFmtId="0">
      <sharedItems containsString="0" containsBlank="1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user" refreshedDate="44648.588804398147" createdVersion="7" refreshedVersion="7" minRefreshableVersion="3" recordCount="1311">
  <cacheSource type="worksheet">
    <worksheetSource ref="A1:AV1312" sheet="Lista2" r:id="rId2"/>
  </cacheSource>
  <cacheFields count="48">
    <cacheField name="Nyomtatási név" numFmtId="0">
      <sharedItems/>
    </cacheField>
    <cacheField name="Hallgató Neptun kódja" numFmtId="0">
      <sharedItems/>
    </cacheField>
    <cacheField name="Státusz ID" numFmtId="0">
      <sharedItems/>
    </cacheField>
    <cacheField name="Hallgató képzése" numFmtId="0">
      <sharedItems/>
    </cacheField>
    <cacheField name="Tanszék1" numFmtId="0">
      <sharedItems count="17">
        <s v="Angol"/>
        <s v="Biológia"/>
        <s v="BDPK"/>
        <s v="Fizika"/>
        <s v="Német"/>
        <s v="Rajz"/>
        <s v="Ének"/>
        <s v="Matematika"/>
        <s v="Tesi"/>
        <s v="Történelem"/>
        <s v="PPK"/>
        <s v="Szláv"/>
        <s v="Földrajz"/>
        <s v="Kémia"/>
        <s v="Magyar"/>
        <s v="IK"/>
        <s v="Tanító"/>
      </sharedItems>
    </cacheField>
    <cacheField name="Modul neve" numFmtId="0">
      <sharedItems/>
    </cacheField>
    <cacheField name="Modulkód" numFmtId="0">
      <sharedItems/>
    </cacheField>
    <cacheField name="Születési hely" numFmtId="0">
      <sharedItems/>
    </cacheField>
    <cacheField name="Születési megye" numFmtId="0">
      <sharedItems containsBlank="1"/>
    </cacheField>
    <cacheField name="Születési név" numFmtId="0">
      <sharedItems/>
    </cacheField>
    <cacheField name="Születési ország" numFmtId="0">
      <sharedItems/>
    </cacheField>
    <cacheField name="Születési dátum" numFmtId="164">
      <sharedItems containsSemiMixedTypes="0" containsNonDate="0" containsDate="1" containsString="0" minDate="1957-08-08T00:00:00" maxDate="2003-07-01T00:00:00"/>
    </cacheField>
    <cacheField name="Törzskönyvi szám" numFmtId="0">
      <sharedItems/>
    </cacheField>
    <cacheField name="Képzési szint" numFmtId="0">
      <sharedItems count="6">
        <s v="alapképzés (BA/BSc/BProf)"/>
        <s v="Nemzetközi program képzése"/>
        <s v="szakirányú továbbképzés"/>
        <s v="Vendéghallgató"/>
        <s v="mesterképzés (MA/MSc)"/>
        <s v="osztatlan képzés"/>
      </sharedItems>
    </cacheField>
    <cacheField name="Pénzügyi státusz ID" numFmtId="0">
      <sharedItems/>
    </cacheField>
    <cacheField name="Felvétel féléve" numFmtId="0">
      <sharedItems/>
    </cacheField>
    <cacheField name="Tagozat" numFmtId="0">
      <sharedItems/>
    </cacheField>
    <cacheField name="Hallgatói időszak előtti egyenleg" numFmtId="0">
      <sharedItems containsString="0" containsBlank="1" containsNumber="1" containsInteger="1" minValue="-15" maxValue="16"/>
    </cacheField>
    <cacheField name="Hallgatói időszaki felhasználás" numFmtId="0">
      <sharedItems containsString="0" containsBlank="1" containsNumber="1" containsInteger="1" minValue="1" maxValue="2"/>
    </cacheField>
    <cacheField name="Hallgatói támogatási idő féléve" numFmtId="0">
      <sharedItems containsBlank="1"/>
    </cacheField>
    <cacheField name="Félévszám" numFmtId="0">
      <sharedItems containsSemiMixedTypes="0" containsString="0" containsNumber="1" containsInteger="1" minValue="0" maxValue="10"/>
    </cacheField>
    <cacheField name="Oktatási azonosító" numFmtId="0">
      <sharedItems/>
    </cacheField>
    <cacheField name="Félév szám" numFmtId="0">
      <sharedItems containsSemiMixedTypes="0" containsString="0" containsNumber="1" containsInteger="1" minValue="0" maxValue="12"/>
    </cacheField>
    <cacheField name="Képzési terület" numFmtId="0">
      <sharedItems containsBlank="1" count="5">
        <s v="bölcsészettudomány"/>
        <s v="természettudomány"/>
        <m/>
        <s v="pedagógusképzés"/>
        <s v="művészetközvetítés"/>
      </sharedItems>
    </cacheField>
    <cacheField name="Felvétel módja" numFmtId="0">
      <sharedItems containsBlank="1"/>
    </cacheField>
    <cacheField name="Felvételi összes pontszám" numFmtId="0">
      <sharedItems containsString="0" containsBlank="1" containsNumber="1" containsInteger="1" minValue="67" maxValue="480"/>
    </cacheField>
    <cacheField name="Képzés jogviszony vége" numFmtId="0">
      <sharedItems containsNonDate="0" containsString="0" containsBlank="1"/>
    </cacheField>
    <cacheField name="Jogviszony megszűnés oka" numFmtId="0">
      <sharedItems containsNonDate="0" containsString="0" containsBlank="1"/>
    </cacheField>
    <cacheField name="Jogviszony létrejöttének oka" numFmtId="0">
      <sharedItems/>
    </cacheField>
    <cacheField name="Képzés jogviszony kezdete" numFmtId="164">
      <sharedItems containsSemiMixedTypes="0" containsNonDate="0" containsDate="1" containsString="0" minDate="2011-09-05T00:00:00" maxDate="2022-02-02T00:00:00"/>
    </cacheField>
    <cacheField name="Felvételi azonosító" numFmtId="0">
      <sharedItems containsBlank="1"/>
    </cacheField>
    <cacheField name="Szervezet kódja" numFmtId="0">
      <sharedItems/>
    </cacheField>
    <cacheField name="Nyomtatási név2" numFmtId="0">
      <sharedItems/>
    </cacheField>
    <cacheField name="Felvétel dátuma" numFmtId="164">
      <sharedItems containsSemiMixedTypes="0" containsNonDate="0" containsDate="1" containsString="0" minDate="2011-07-17T00:00:00" maxDate="2022-02-02T00:00:00"/>
    </cacheField>
    <cacheField name="Várható befejezés dátuma" numFmtId="164">
      <sharedItems containsSemiMixedTypes="0" containsNonDate="0" containsDate="1" containsString="0" minDate="2022-06-30T00:00:00" maxDate="2028-07-16T00:00:00"/>
    </cacheField>
    <cacheField name="Önköltség" numFmtId="0">
      <sharedItems containsString="0" containsBlank="1" containsNumber="1" containsInteger="1" minValue="140000" maxValue="500000"/>
    </cacheField>
    <cacheField name="Államilag finanszírozott (felhasznált) félévek száma" numFmtId="0">
      <sharedItems containsString="0" containsBlank="1" containsNumber="1" containsInteger="1" minValue="0" maxValue="2"/>
    </cacheField>
    <cacheField name="Államilag támogatott félév" numFmtId="0">
      <sharedItems containsString="0" containsBlank="1" containsNumber="1" containsInteger="1" minValue="0" maxValue="11"/>
    </cacheField>
    <cacheField name="Nem" numFmtId="0">
      <sharedItems/>
    </cacheField>
    <cacheField name="Önköltség összege" numFmtId="0">
      <sharedItems containsString="0" containsBlank="1" containsNumber="1" containsInteger="1" minValue="140000" maxValue="500000"/>
    </cacheField>
    <cacheField name="Email cím" numFmtId="0">
      <sharedItems/>
    </cacheField>
    <cacheField name="Anyja nyomtatási neve" numFmtId="0">
      <sharedItems/>
    </cacheField>
    <cacheField name="Aktív félévek" numFmtId="0">
      <sharedItems containsString="0" containsBlank="1" containsNumber="1" containsInteger="1" minValue="0" maxValue="22"/>
    </cacheField>
    <cacheField name="Státusz" numFmtId="0">
      <sharedItems/>
    </cacheField>
    <cacheField name="Elhasznált támogatott félévek összesen" numFmtId="0">
      <sharedItems containsString="0" containsBlank="1" containsNumber="1" containsInteger="1" minValue="0" maxValue="14"/>
    </cacheField>
    <cacheField name="Szemeszter" numFmtId="0">
      <sharedItems containsSemiMixedTypes="0" containsString="0" containsNumber="1" containsInteger="1" minValue="0" maxValue="22"/>
    </cacheField>
    <cacheField name="Állampolgárságok" numFmtId="0">
      <sharedItems/>
    </cacheField>
    <cacheField name="Kivetett önköltség" numFmtId="0">
      <sharedItems containsString="0" containsBlank="1" containsNumber="1" containsInteger="1" minValue="100000" maxValue="5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ELTE-User" refreshedDate="44707.714414699076" createdVersion="6" refreshedVersion="6" minRefreshableVersion="3" recordCount="526">
  <cacheSource type="worksheet">
    <worksheetSource ref="A1:AY1048576" sheet="1 kari főtábla"/>
  </cacheSource>
  <cacheFields count="51">
    <cacheField name="2.a melléklet sorszáma" numFmtId="0">
      <sharedItems containsBlank="1" containsMixedTypes="1" containsNumber="1" containsInteger="1" minValue="2" maxValue="52"/>
    </cacheField>
    <cacheField name="Kari tanács" numFmtId="0">
      <sharedItems containsBlank="1" containsMixedTypes="1" containsNumber="1" minValue="28.25" maxValue="28.25" count="88">
        <m/>
        <s v="Támogatás allokáció célszervezetre átoktatás után (2019. évi felosztási logika)"/>
        <s v="Képzési támogatás"/>
        <s v="Átoktatás átadás, támogatás"/>
        <s v="Átoktatással csökkentett képzési támogatás"/>
        <s v="Átoktatás átvétel, támogatás"/>
        <s v="Képzési saját bevételek célszervezetre átoktatás után"/>
        <s v="Önköltséges képzési bevétel"/>
        <s v="Átoktatás átadás, önköltséges"/>
        <s v="Átoktatással csökkentett önköltséges képzési bevétel"/>
        <s v="Átoktatás átvétel, önköltséges bevétel"/>
        <s v="Egyéb saját bevételek"/>
        <s v="Egyéb finanszírozású költségvetési bevétel allokáció célszervezetre"/>
        <s v="Egyéb finanszírozású képzési bevétel"/>
        <s v="Átoktatás átadás, egyéb finanszírozású bevétel"/>
        <s v="Átoktatással csökkentett egyéb finanszírozású képzési bevétel"/>
        <s v="Átoktatás átvétel, egyéb finanszírozású bevétel"/>
        <s v="Oktatói béremelés fedezete (2018. évi arányban)"/>
        <s v="Béremelés 2021-2022 itt lévő része"/>
        <s v="ÁKTH alá tartozó speciális feladatok"/>
        <s v="Szombathelyi képzések fejlesztése (50 mFt célzottan BDPK)"/>
        <s v="Kis szakok"/>
        <s v="Nemzetiségi képzés"/>
        <s v="Kötelező minimálbér, garantált bérminimum kiegészítés"/>
        <s v="Anyanyelvi lektorok"/>
        <s v="Művészeti gyakorlóhely"/>
        <s v="ÁKTH alapja"/>
        <s v="Szombathelyi működésre ÁKTH elvonás 19 %"/>
        <s v="Egyetemi kiválósági alap elvonás -1%"/>
        <s v="Kari kiválósági -1,5 %"/>
        <s v="Karnál kiválósági visszahagyás +1,5 %"/>
        <s v="Belső átrendezés mentorálásra feladatok arányában (hallgató anatika becslés alapján)"/>
        <s v="Kiválósági ösztöndíjhoz hozzájárulás (-6,84mFt maradvány, 2021/22 II. félév  és 2022/23 I. félév tanév becsült adatai alapján"/>
        <s v="Szocho elvonás"/>
        <s v="Belföldi és külföldi folyóiratra átrendezés"/>
        <s v="EISZ kari részre átrendezés"/>
        <s v="Tárgyévi közterületesítés miatti átrendezés"/>
        <s v="Nemzeköziesítésre elvonás"/>
        <s v="Bevételi egyenleg I. (itt lévő előirányzatok)"/>
        <s v="Maradvány"/>
        <s v="Bevételi egyenleg II. (Bevételi egyenleg I. + maradvány és korrekciói)"/>
        <s v="2021. évi képzési támogatás elszámolás - bruttó - minisztérium által  visszaigazolt összeg 2021.12.04-i &quot;bérelő&quot; arányban (visszafizetés maradványból)"/>
        <s v="2022. évi garantált bérminimum finanszírozás felmérés alapján"/>
        <s v="Lektorok elszámolás 2021 év után"/>
        <s v="Alaptámogatás alulfinanszírozás miatti kiegészítése 2021/22 őszi félév 1,885 szorzó figyelembe vételével"/>
        <s v="GTK felfutás hatás - 2022. tavaszán és őszén felvételre kerülő hallgatók becslésének 80%-a"/>
        <s v="Béremelés 2021-2022 még itt nem lévő része"/>
        <s v="Stipendium Hungaricum költségtérítés célszervezetre (átoktatás után) - 2021 évi tény 85%-a"/>
        <s v="Stipendium Hungaricum képzési támogatás"/>
        <s v="Átoktatás átadás, Stipendium Hungaricum"/>
        <s v="Átoktatással csökkentett Stipendium Hungaricum képzési támogatás"/>
        <s v="Átoktatás átvétel, Stipendium Hungaricum"/>
        <s v="Stipendium Hungaricum szervezési keret 2022 - 2021 évi tény 85%-a"/>
        <s v="Központi ÁKTH elvonás nem ittlévő bevételekből -19 %"/>
        <s v="Egyetemi kiválósági alap elvonás nem ittlévő bevételekből -0,5%"/>
        <s v="Kari kiválósági elvonás még nem ittlévő bevételekből -1,5 %"/>
        <s v="Bevétel egyenleg III. (Bevétel egyenleg II. + nem ittlévő bevételek)"/>
        <s v="Egyéb ÁKTH (köznevelés 6%-a)"/>
        <s v="Bevételátadás belső működésre"/>
        <s v="Személyi kiadások (üzemeltetetés és informatika nélkül)"/>
        <s v="2021-2022. évi béremelés miatti többletkiadás (ÁKTH-val és EKA 0,5%-kal csökkentett bevétel)"/>
        <s v="Üzemeltetési dologi kiadások"/>
        <s v="Üzemeltetési személyi kiadások"/>
        <s v="Informatikai dologi kiadások"/>
        <s v="Informatikai személyi kiadások"/>
        <s v="Kötelezően tervezendő telefon költség (2021. évi elszámolás összege alapján)"/>
        <s v="Dologi kiadások (üzemeltetetés és informatika nélkül)"/>
        <s v="Kiválósági ösztöndíjhoz hozzájárulás (-6,1mFt maradvány, 2020/21 II. és 2021/22 I. félév tanév becsült adatai alapján"/>
        <s v="Kari kiválósági személyi kiadások"/>
        <s v="Kari kiválósági dologi kiadások"/>
        <s v="KIADÁSOK ÖSSZESEN"/>
        <s v="KORRIGÁLT EGYENLEG (KARI BELSŐ POZÍCIÓ)"/>
        <s v="BDPK KERESZTFINANSZÍROZÁS"/>
        <s v="KORRIGÁLT EGYENLEG 2"/>
        <s v="2022. évi forrás összesen 2.a alapján"/>
        <s v="Tervezett 2022. évi forrás összesen"/>
        <s v="Maradvány forrás összesen"/>
        <s v="Tervezett 2022. évi forrás + maradvány összesen"/>
        <s v="Kiadás 2.a) összesen"/>
        <s v="Tervezett kiadás 2022. évi forrásból összesen"/>
        <s v="Tervezett kiadás maradványból összesen"/>
        <s v="Tervezett kiadás mindösszesen"/>
        <s v="Keresztfinanszírozás előtti egyenleg, 2022. évi forrás"/>
        <s v="Keresztfinanszírozás előtti egyenleg, maradvány"/>
        <s v="Keresztfinanszírozás előtti egyenleg, összesen"/>
        <s v="31. Belső keresztfinanszírozás összesen"/>
        <s v="Keresztfinanszírozás utáni egyenleg"/>
        <n v="28.25" u="1"/>
      </sharedItems>
    </cacheField>
    <cacheField name="Kari Tanács B/K" numFmtId="0">
      <sharedItems containsBlank="1" containsMixedTypes="1" containsNumber="1" minValue="5.13" maxValue="5.13" count="12">
        <m/>
        <s v="B"/>
        <s v="I."/>
        <s v="II."/>
        <s v="III."/>
        <s v="IV."/>
        <s v="K"/>
        <s v="V."/>
        <s v="VI."/>
        <s v="VII."/>
        <s v="Ö"/>
        <n v="5.13" u="1"/>
      </sharedItems>
    </cacheField>
    <cacheField name="Kari Tanács sorszám" numFmtId="0">
      <sharedItems containsBlank="1" containsMixedTypes="1" containsNumber="1" minValue="5.13" maxValue="5.13" count="69">
        <m/>
        <s v="B1a."/>
        <s v="B1.b."/>
        <s v="B2.a. "/>
        <s v="B2.b. "/>
        <s v="B5. "/>
        <s v="B3.a. "/>
        <s v="B3.b. "/>
        <s v="B6. a"/>
        <s v="B6.b"/>
        <s v="B7.c."/>
        <s v="B7.d."/>
        <s v="B7.e."/>
        <s v="B7.f."/>
        <s v="B7.g."/>
        <s v="B7.h."/>
        <s v="B.I."/>
        <s v="B8. "/>
        <s v="B9. "/>
        <s v="B10. "/>
        <s v="B11. "/>
        <s v="B12. "/>
        <s v="B13."/>
        <s v="B15. "/>
        <s v="B16. "/>
        <s v="B17. "/>
        <s v="B18. "/>
        <s v="B19. "/>
        <s v="B.II."/>
        <s v="B20. "/>
        <s v="B.III."/>
        <s v="B21.a"/>
        <s v="B22"/>
        <s v="B21.b"/>
        <s v="B23a."/>
        <s v="B23.b."/>
        <s v="B23.c"/>
        <s v="B24."/>
        <s v="B25.a. "/>
        <s v="B25.b. "/>
        <s v="B26. "/>
        <s v="B27. "/>
        <s v="B28. "/>
        <s v="B29. "/>
        <s v="B30. "/>
        <s v="B.IV."/>
        <s v="B31. "/>
        <s v="B32."/>
        <s v="K1.a."/>
        <s v="K2.b."/>
        <s v="K1.b."/>
        <s v="K2.d."/>
        <s v="K1.c."/>
        <s v="K2.e."/>
        <s v="K2.a. "/>
        <s v="K1.d. "/>
        <s v="K2.f."/>
        <s v="K.V."/>
        <s v="B.VI."/>
        <s v="B33"/>
        <s v="B.VII."/>
        <s v="Ö1."/>
        <s v="Ö2."/>
        <s v="Ö3."/>
        <s v="Ö4."/>
        <s v="Ö5."/>
        <s v="Ö6."/>
        <s v="Ö7."/>
        <n v="5.13" u="1"/>
      </sharedItems>
    </cacheField>
    <cacheField name="Sor neve" numFmtId="0">
      <sharedItems containsBlank="1"/>
    </cacheField>
    <cacheField name="Kiadás/ Bevétel" numFmtId="0">
      <sharedItems containsBlank="1" containsMixedTypes="1" containsNumber="1" minValue="4.5" maxValue="4.5" count="11">
        <m/>
        <s v="B2A"/>
        <s v="BKÉ"/>
        <s v="B"/>
        <s v="MB"/>
        <s v="K2A"/>
        <s v="MK"/>
        <s v="K"/>
        <s v="K "/>
        <s v="B + űrlapsorszámos B2A"/>
        <n v="4.5" u="1"/>
      </sharedItems>
    </cacheField>
    <cacheField name="Űrlapsorszám" numFmtId="0">
      <sharedItems containsString="0" containsBlank="1" containsNumber="1" minValue="1" maxValue="350" count="226">
        <m/>
        <n v="320"/>
        <n v="343"/>
        <n v="333"/>
        <n v="349"/>
        <n v="255"/>
        <n v="294"/>
        <n v="286"/>
        <n v="301"/>
        <n v="233"/>
        <n v="234"/>
        <n v="235"/>
        <n v="236"/>
        <n v="237"/>
        <n v="238"/>
        <n v="239"/>
        <n v="240"/>
        <n v="241"/>
        <n v="242"/>
        <n v="243"/>
        <n v="244"/>
        <n v="245"/>
        <n v="246"/>
        <n v="247"/>
        <n v="248"/>
        <n v="249"/>
        <n v="250"/>
        <n v="251"/>
        <n v="252"/>
        <n v="253"/>
        <n v="254"/>
        <n v="256"/>
        <n v="257"/>
        <n v="258"/>
        <n v="259"/>
        <n v="260"/>
        <n v="261"/>
        <n v="262"/>
        <n v="263"/>
        <n v="264"/>
        <n v="265"/>
        <n v="266"/>
        <n v="267"/>
        <n v="268"/>
        <n v="269"/>
        <n v="270"/>
        <n v="271"/>
        <n v="272"/>
        <n v="273"/>
        <n v="274"/>
        <n v="275"/>
        <n v="276"/>
        <n v="277"/>
        <n v="278"/>
        <n v="279"/>
        <n v="280"/>
        <n v="281"/>
        <n v="282"/>
        <n v="283"/>
        <n v="284"/>
        <n v="322"/>
        <n v="285"/>
        <n v="332"/>
        <n v="298"/>
        <n v="342"/>
        <n v="297"/>
        <n v="341"/>
        <n v="1"/>
        <n v="346"/>
        <n v="344"/>
        <n v="335"/>
        <n v="293"/>
        <n v="340"/>
        <n v="290"/>
        <n v="336"/>
        <n v="291"/>
        <n v="337"/>
        <n v="288"/>
        <n v="350"/>
        <n v="292"/>
        <n v="338"/>
        <n v="327"/>
        <n v="299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92"/>
        <n v="142"/>
        <n v="67"/>
        <n v="68"/>
        <n v="69"/>
        <n v="70"/>
        <n v="71"/>
        <n v="73"/>
        <n v="74"/>
        <n v="75"/>
        <n v="76"/>
        <n v="77"/>
        <n v="78"/>
        <n v="79"/>
        <n v="80"/>
        <n v="81"/>
        <n v="84"/>
        <n v="85"/>
        <n v="86"/>
        <n v="87"/>
        <n v="88"/>
        <n v="90"/>
        <n v="91"/>
        <n v="93"/>
        <n v="96"/>
        <n v="97"/>
        <n v="98"/>
        <n v="99"/>
        <n v="100"/>
        <n v="102"/>
        <n v="104"/>
        <n v="105"/>
        <n v="106"/>
        <n v="108"/>
        <n v="109"/>
        <n v="110"/>
        <n v="112"/>
        <n v="113"/>
        <n v="115"/>
        <n v="116"/>
        <n v="117"/>
        <n v="118"/>
        <n v="119"/>
        <n v="120"/>
        <n v="122"/>
        <n v="123"/>
        <n v="124"/>
        <n v="125"/>
        <n v="126"/>
        <n v="127"/>
        <n v="128"/>
        <n v="129"/>
        <n v="130"/>
        <n v="131"/>
        <n v="132"/>
        <n v="133"/>
        <n v="134"/>
        <n v="137"/>
        <n v="138"/>
        <n v="139"/>
        <n v="141"/>
        <n v="144"/>
        <n v="145"/>
        <n v="146"/>
        <n v="147"/>
        <n v="148"/>
        <n v="149"/>
        <n v="158"/>
        <n v="203"/>
        <n v="210"/>
        <n v="334"/>
        <n v="287"/>
        <n v="345"/>
        <n v="295" u="1"/>
        <n v="195" u="1"/>
        <n v="347" u="1"/>
        <n v="193" u="1"/>
        <n v="289" u="1"/>
        <n v="192" u="1"/>
        <n v="191" u="1"/>
        <n v="339" u="1"/>
        <n v="5.13" u="1"/>
        <n v="189" u="1"/>
        <n v="208" u="1"/>
        <n v="206" u="1"/>
        <n v="204" u="1"/>
        <n v="200" u="1"/>
        <n v="199" u="1"/>
        <n v="300" u="1"/>
        <n v="197" u="1"/>
      </sharedItems>
    </cacheField>
    <cacheField name="Űrlapsor neve" numFmtId="0">
      <sharedItems containsBlank="1" containsMixedTypes="1" containsNumber="1" containsInteger="1" minValue="0" maxValue="0"/>
    </cacheField>
    <cacheField name="BDPK" numFmtId="0">
      <sharedItems containsBlank="1" containsMixedTypes="1" containsNumber="1" minValue="-183597963.39869905" maxValue="788624500.79097605"/>
    </cacheField>
    <cacheField name="KARI főcsoport ÖSSZESEN" numFmtId="0">
      <sharedItems containsBlank="1" containsMixedTypes="1" containsNumber="1" minValue="-183597963.39869905" maxValue="788624498.67341447"/>
    </cacheField>
    <cacheField name="Eltérés" numFmtId="0">
      <sharedItems containsString="0" containsBlank="1" containsNumber="1" minValue="-629895906.26903129" maxValue="317579153.50383556"/>
    </cacheField>
    <cacheField name="TERVEZÉS ÖSSZESEN (karon kívülre átadásnál 0)" numFmtId="0">
      <sharedItems containsString="0" containsBlank="1" containsNumber="1" minValue="-9438903" maxValue="1228427414.3245263"/>
    </cacheField>
    <cacheField name="Felosztás" numFmtId="0">
      <sharedItems containsBlank="1" containsMixedTypes="1" containsNumber="1" containsInteger="1" minValue="0" maxValue="14"/>
    </cacheField>
    <cacheField name="Angol Nyelv és Irodalom Tanszék" numFmtId="0">
      <sharedItems containsBlank="1" containsMixedTypes="1" containsNumber="1" minValue="-49421056.486835532" maxValue="182733978.08468315"/>
    </cacheField>
    <cacheField name="Biológiai Tanszék" numFmtId="0">
      <sharedItems containsBlank="1" containsMixedTypes="1" containsNumber="1" minValue="-41551691.292918444" maxValue="66401597.386047892"/>
    </cacheField>
    <cacheField name="Fizikai Tanszék" numFmtId="0">
      <sharedItems containsBlank="1" containsMixedTypes="1" containsNumber="1" minValue="-2764465.0868304912" maxValue="11508583.581264475"/>
    </cacheField>
    <cacheField name="Földrajzi Tanszék" numFmtId="0">
      <sharedItems containsBlank="1" containsMixedTypes="1" containsNumber="1" minValue="-25844337.556355961" maxValue="62775763.648400746"/>
    </cacheField>
    <cacheField name="Kémiai Tanszék" numFmtId="0">
      <sharedItems containsBlank="1" containsMixedTypes="1" containsNumber="1" minValue="-8751072.0740262419" maxValue="23007352.219087724"/>
    </cacheField>
    <cacheField name="Magyar Irodalomtudományi Tanszék" numFmtId="0">
      <sharedItems containsBlank="1" containsMixedTypes="1" containsNumber="1" minValue="-9535840.5374639407" maxValue="50188634.407704957"/>
    </cacheField>
    <cacheField name="Magyar Nyelvtudományi Tanszék" numFmtId="0">
      <sharedItems containsBlank="1" containsMixedTypes="1" containsNumber="1" minValue="-7735019" maxValue="34908645.405411355"/>
    </cacheField>
    <cacheField name="Matematikai Tanszék" numFmtId="0">
      <sharedItems containsBlank="1" containsMixedTypes="1" containsNumber="1" minValue="-10821639.678378602" maxValue="56955998.307255805"/>
    </cacheField>
    <cacheField name="Vizuális Művészeti Tanszék" numFmtId="0">
      <sharedItems containsBlank="1" containsMixedTypes="1" containsNumber="1" minValue="-14861341.00389462" maxValue="78217584.231024325"/>
    </cacheField>
    <cacheField name="Német Nyelv és Irodalom Tanszék" numFmtId="0">
      <sharedItems containsBlank="1" containsMixedTypes="1" containsNumber="1" minValue="-10945374.660585044" maxValue="53373903.821003616"/>
    </cacheField>
    <cacheField name="Szlavisztika Tanszék" numFmtId="0">
      <sharedItems containsBlank="1" containsMixedTypes="1" containsNumber="1" minValue="-10014190.263218891" maxValue="33639480.361013584"/>
    </cacheField>
    <cacheField name="Történelem Tanszék" numFmtId="0">
      <sharedItems containsBlank="1" containsMixedTypes="1" containsNumber="1" minValue="-39921768.307759508" maxValue="128391656.67547464"/>
    </cacheField>
    <cacheField name="Zenepedagógiai Tanszék" numFmtId="0">
      <sharedItems containsBlank="1" containsMixedTypes="1" containsNumber="1" minValue="-16347648.089093048" maxValue="34065489.437317915"/>
    </cacheField>
    <cacheField name="Igazgatói Hivatal" numFmtId="0">
      <sharedItems containsBlank="1" containsMixedTypes="1" containsNumber="1" minValue="-3532324.6444380358" maxValue="63814260"/>
    </cacheField>
    <cacheField name="BDPK Általános" numFmtId="0">
      <sharedItems containsBlank="1" containsMixedTypes="1" containsNumber="1" minValue="-99109584.208783954" maxValue="99109584.208783954"/>
    </cacheField>
    <cacheField name="Általános 2" numFmtId="0">
      <sharedItems containsBlank="1" containsMixedTypes="1" containsNumber="1" minValue="-24829858" maxValue="38822194"/>
    </cacheField>
    <cacheField name="BDPK hallgatói bef." numFmtId="0">
      <sharedItems containsBlank="1" containsMixedTypes="1" containsNumber="1" containsInteger="1" minValue="-5621500" maxValue="7000000"/>
    </cacheField>
    <cacheField name="Művészeti gyakorlóhely" numFmtId="0">
      <sharedItems containsBlank="1" containsMixedTypes="1" containsNumber="1" containsInteger="1" minValue="-9286" maxValue="9286"/>
    </cacheField>
    <cacheField name="Kari kiválósági munkaszám" numFmtId="0">
      <sharedItems containsBlank="1" containsMixedTypes="1" containsNumber="1" minValue="-0.70499999821186066" maxValue="14607069.132306892"/>
    </cacheField>
    <cacheField name="Lektorok" numFmtId="0">
      <sharedItems containsBlank="1" containsMixedTypes="1" containsNumber="1" containsInteger="1" minValue="0" maxValue="42844292"/>
    </cacheField>
    <cacheField name="Egyéb  célfeladataok" numFmtId="0">
      <sharedItems containsBlank="1" containsMixedTypes="1" containsNumber="1" containsInteger="1" minValue="-452535" maxValue="452535"/>
    </cacheField>
    <cacheField name="Kari informatika" numFmtId="0">
      <sharedItems containsBlank="1" containsMixedTypes="1" containsNumber="1" containsInteger="1" minValue="0" maxValue="0"/>
    </cacheField>
    <cacheField name="FIKP" numFmtId="0">
      <sharedItems containsBlank="1" containsMixedTypes="1" containsNumber="1" containsInteger="1" minValue="0" maxValue="0"/>
    </cacheField>
    <cacheField name="TEKP" numFmtId="0">
      <sharedItems containsBlank="1" containsMixedTypes="1" containsNumber="1" containsInteger="1" minValue="0" maxValue="0"/>
    </cacheField>
    <cacheField name="Képzési munkaszámok" numFmtId="0">
      <sharedItems containsBlank="1" containsMixedTypes="1" containsNumber="1" minValue="-317579153.50383556" maxValue="501177116.9025346"/>
    </cacheField>
    <cacheField name="Üzemeltetés" numFmtId="0">
      <sharedItems containsBlank="1" containsMixedTypes="1" containsNumber="1" minValue="-3347016" maxValue="121296467.12"/>
    </cacheField>
    <cacheField name="Közterületesítés különbözet" numFmtId="0">
      <sharedItems containsBlank="1" containsMixedTypes="1" containsNumber="1" containsInteger="1" minValue="0" maxValue="1911197"/>
    </cacheField>
    <cacheField name="ÁKTH SZH" numFmtId="0">
      <sharedItems containsBlank="1" containsMixedTypes="1" containsNumber="1" minValue="0" maxValue="178656704.64255401"/>
    </cacheField>
    <cacheField name="SZOCHO átadás " numFmtId="0">
      <sharedItems containsBlank="1" containsMixedTypes="1" containsNumber="1" containsInteger="1" minValue="0" maxValue="40180860"/>
    </cacheField>
    <cacheField name="Nemzetköziesítéshez átadás" numFmtId="0">
      <sharedItems containsBlank="1" containsMixedTypes="1" containsNumber="1" minValue="0" maxValue="157177.68975872546"/>
    </cacheField>
    <cacheField name="Kiválósági Alap" numFmtId="0">
      <sharedItems containsBlank="1" containsMixedTypes="1" containsNumber="1" minValue="0" maxValue="4701492.2274356317"/>
    </cacheField>
    <cacheField name="EISZ" numFmtId="0">
      <sharedItems containsBlank="1" containsMixedTypes="1" containsNumber="1" containsInteger="1" minValue="0" maxValue="0"/>
    </cacheField>
    <cacheField name="Belföldi folyóirat" numFmtId="0">
      <sharedItems containsBlank="1" containsMixedTypes="1" containsNumber="1" containsInteger="1" minValue="0" maxValue="0"/>
    </cacheField>
    <cacheField name="Külföldi folyóirat" numFmtId="0">
      <sharedItems containsBlank="1" containsMixedTypes="1" containsNumber="1" containsInteger="1" minValue="0" maxValue="0"/>
    </cacheField>
    <cacheField name="Bp. tanárképzés működés" numFmtId="0">
      <sharedItems containsBlank="1" containsMixedTypes="1" containsNumber="1" containsInteger="1" minValue="0" maxValue="0"/>
    </cacheField>
    <cacheField name="Bp. tanárképzés gyakorlat" numFmtId="0">
      <sharedItems containsBlank="1" containsMixedTypes="1" containsNumber="1" containsInteger="1" minValue="0" maxValue="0"/>
    </cacheField>
    <cacheField name="Anyanyelvi kritériumvizsga" numFmtId="0">
      <sharedItems containsBlank="1" containsMixedTypes="1" containsNumber="1" containsInteger="1" minValue="0" maxValue="0"/>
    </cacheField>
    <cacheField name="Szhely. tanárképzés gyakorlat" numFmtId="0">
      <sharedItems containsBlank="1" containsMixedTypes="1" containsNumber="1" minValue="0" maxValue="9239068.387435000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45">
  <r>
    <m/>
    <m/>
    <m/>
    <m/>
    <m/>
    <m/>
    <m/>
    <m/>
    <s v="2.A ÖSSZEGEI"/>
    <s v="TERVEZETT"/>
    <m/>
    <m/>
  </r>
  <r>
    <m/>
    <m/>
    <m/>
    <m/>
    <m/>
    <m/>
    <m/>
    <m/>
    <m/>
    <m/>
    <m/>
    <m/>
  </r>
  <r>
    <n v="2"/>
    <s v="Támogatás allokáció célszervezetre átoktatás után (2019. évi felosztási logika)"/>
    <s v="B"/>
    <m/>
    <s v="Támogatás allokáció célszervezetre átoktatás után (2019. évi felosztási logika)"/>
    <s v="B2A"/>
    <m/>
    <s v="ÖSSZEGZŐ SOR"/>
    <n v="322532888"/>
    <n v="322532888.44302475"/>
    <n v="-0.44302475452423096"/>
    <n v="322532888.44302475"/>
  </r>
  <r>
    <m/>
    <s v="Képzési támogatás"/>
    <s v="B"/>
    <s v="B1a."/>
    <s v="Képzési támogatás tervezése képzési munkaszámokra"/>
    <s v="BKÉ"/>
    <n v="320"/>
    <s v="Működési költségvetés támogatása - Képzés"/>
    <n v="105166091.74698077"/>
    <n v="105166091.74698077"/>
    <n v="0"/>
    <n v="105166091.74698077"/>
  </r>
  <r>
    <m/>
    <s v="Átoktatás átadás, támogatás"/>
    <s v="B"/>
    <s v="B1a."/>
    <s v="Átoktatás átadás, támogatás"/>
    <s v="BKÉ"/>
    <n v="343"/>
    <s v="T Átoktatásra támogatás ÁTADÁS"/>
    <n v="-2155679.0843714089"/>
    <n v="-2155679.0843714089"/>
    <n v="0"/>
    <n v="0"/>
  </r>
  <r>
    <m/>
    <s v="Átoktatással csökkentett képzési támogatás"/>
    <s v="B"/>
    <m/>
    <s v="Átoktatással csökkentett képzési támogatás áthozatala képzési munkaszámokról intézetekre / tanszékekre, általános munkaszámra, hivatalokra"/>
    <s v="B"/>
    <n v="333"/>
    <s v="T Képzési finanszírozás átadás"/>
    <n v="103010412.66260937"/>
    <n v="0"/>
    <n v="103010412.66260937"/>
    <n v="0"/>
  </r>
  <r>
    <m/>
    <s v="Átoktatással csökkentett képzési támogatás"/>
    <s v="B"/>
    <m/>
    <s v="Képzési támogatás felosztása általános munkaszámról intézetekre / tanszékekre"/>
    <s v="B"/>
    <n v="333"/>
    <s v="T Képzési finanszírozás átadás"/>
    <n v="0"/>
    <n v="0"/>
    <n v="0"/>
    <n v="0"/>
  </r>
  <r>
    <m/>
    <s v="Átoktatással csökkentett képzési támogatás"/>
    <s v="B"/>
    <m/>
    <s v="Képzési támogatás felosztása általános munkaszámról intézetekre / tanszékekre"/>
    <s v="B"/>
    <n v="333"/>
    <s v="T Képzési finanszírozás átadás"/>
    <n v="0"/>
    <n v="0"/>
    <n v="0"/>
    <n v="0"/>
  </r>
  <r>
    <m/>
    <s v="Átoktatással csökkentett képzési támogatás"/>
    <s v="B"/>
    <m/>
    <s v="Képzési támogatás felosztása általános munkaszámról intézetekre / tanszékekre"/>
    <s v="B"/>
    <n v="333"/>
    <s v="T Képzési finanszírozás átadás"/>
    <n v="0"/>
    <n v="0"/>
    <n v="0"/>
    <n v="0"/>
  </r>
  <r>
    <m/>
    <s v="Átoktatással csökkentett képzési támogatás"/>
    <s v="B"/>
    <m/>
    <s v="Képzési támogatás felosztása általános munkaszámról intézetekre / tanszékekre"/>
    <s v="B"/>
    <n v="333"/>
    <s v="T Képzési finanszírozás átadás"/>
    <n v="0"/>
    <n v="0"/>
    <n v="0"/>
    <n v="0"/>
  </r>
  <r>
    <m/>
    <s v="Átoktatással csökkentett képzési támogatás"/>
    <s v="B"/>
    <m/>
    <s v="Képzési támogatás felosztása hivatalokról intézetekre / tanszékekre"/>
    <s v="B"/>
    <n v="333"/>
    <s v="T Képzési finanszírozás átadás"/>
    <n v="0"/>
    <n v="0"/>
    <n v="0"/>
    <n v="0"/>
  </r>
  <r>
    <m/>
    <s v="Átoktatás átvétel, támogatás"/>
    <s v="B"/>
    <s v="B1.b."/>
    <s v="Átoktatás átvétel, támogatás"/>
    <s v="B"/>
    <n v="349"/>
    <s v="T Átoktatásra támogatás ÁTVÉTEL"/>
    <n v="219522475.78041548"/>
    <n v="219522475.78041542"/>
    <n v="0"/>
    <n v="0"/>
  </r>
  <r>
    <m/>
    <s v="Átoktatás átvétel, támogatás"/>
    <s v="B"/>
    <s v="B1.b."/>
    <s v="Átoktatás átvétel, támogatás felosztása általános munkaszámról intézetekre / tanszékekre"/>
    <s v="B"/>
    <n v="349"/>
    <s v="T Átoktatásra támogatás ÁTVÉTEL"/>
    <n v="0"/>
    <n v="0"/>
    <n v="0"/>
    <n v="0"/>
  </r>
  <r>
    <m/>
    <s v="Átoktatás átvétel, támogatás"/>
    <s v="B"/>
    <s v="B1.b."/>
    <s v="Átoktatás átvétel, támogatás felosztása hivatalokról intézetekre / tanszékekre"/>
    <s v="B"/>
    <n v="349"/>
    <s v="T Átoktatásra támogatás ÁTVÉTEL"/>
    <n v="0"/>
    <n v="0"/>
    <n v="0"/>
    <n v="0"/>
  </r>
  <r>
    <n v="4"/>
    <s v="Képzési saját bevételek célszervezetre átoktatás után"/>
    <s v="B"/>
    <m/>
    <s v="Képzési saját bevételek célszervezetre átoktatás után"/>
    <s v="B2A"/>
    <m/>
    <s v="ÖSSZEGZŐ SOR"/>
    <n v="26827084"/>
    <n v="26827083.782376859"/>
    <n v="0.21762314066290855"/>
    <n v="26827083.782376859"/>
  </r>
  <r>
    <m/>
    <s v="Önköltséges képzési bevétel"/>
    <s v="B"/>
    <s v="B2.a. "/>
    <s v="Önköltséges képzési bevétel tervezése képzési munkaszámokra"/>
    <s v="BKÉ"/>
    <n v="255"/>
    <s v="Ell.díjak - Neptun - Önktg. Költségtérítés"/>
    <n v="8617440.4903810564"/>
    <n v="8617440.4903810564"/>
    <n v="0"/>
    <n v="8617440.4903810564"/>
  </r>
  <r>
    <m/>
    <s v="Átoktatás átadás, önköltséges"/>
    <s v="B"/>
    <s v="B2.a. "/>
    <s v="Átoktatás átadás, önköltséges"/>
    <s v="BKÉ"/>
    <n v="294"/>
    <s v="SB Átoktatásra bevétel ÁTADÁS"/>
    <n v="-138909.41664954461"/>
    <n v="-138909.41664954461"/>
    <n v="0"/>
    <n v="0"/>
  </r>
  <r>
    <m/>
    <s v="Átoktatással csökkentett önköltséges képzési bevétel"/>
    <s v="B"/>
    <m/>
    <s v="Átoktatással csökkentett önköltséges képzési bevétel áthozatala képzési munkaszámokról intézetekre / tanszékekre, általános munkaszámra, hivatalokra"/>
    <s v="B"/>
    <n v="286"/>
    <s v="SB Képzési finanszírozás átadás"/>
    <n v="8478531.0737315118"/>
    <n v="0"/>
    <n v="8478531.0737315118"/>
    <n v="0"/>
  </r>
  <r>
    <m/>
    <s v="Átoktatással csökkentett önköltséges képzési bevétel"/>
    <s v="B"/>
    <m/>
    <s v="Önköltséges képzési bevétel felosztása általános munkaszámról intézetekre / tanszékekre"/>
    <s v="B"/>
    <n v="286"/>
    <s v="SB Képzési finanszírozás átadás"/>
    <n v="0"/>
    <n v="0"/>
    <n v="0"/>
    <n v="0"/>
  </r>
  <r>
    <m/>
    <s v="Átoktatással csökkentett önköltséges képzési bevétel"/>
    <s v="B"/>
    <m/>
    <s v="Önköltséges képzési bevétel felosztása általános munkaszámról intézetekre / tanszékekre"/>
    <s v="B"/>
    <n v="286"/>
    <s v="SB Képzési finanszírozás átadás"/>
    <n v="0"/>
    <n v="0"/>
    <n v="0"/>
    <n v="0"/>
  </r>
  <r>
    <m/>
    <s v="Átoktatással csökkentett önköltséges képzési bevétel"/>
    <s v="B"/>
    <m/>
    <s v="Önköltséges képzési bevétel felosztása általános munkaszámról intézetekre / tanszékekre"/>
    <s v="B"/>
    <n v="286"/>
    <s v="SB Képzési finanszírozás átadás"/>
    <n v="0"/>
    <n v="0"/>
    <n v="0"/>
    <n v="0"/>
  </r>
  <r>
    <m/>
    <s v="Átoktatással csökkentett önköltséges képzési bevétel"/>
    <s v="B"/>
    <m/>
    <s v="Önköltséges képzési bevétel felosztása általános munkaszámról intézetekre / tanszékekre"/>
    <s v="B"/>
    <n v="286"/>
    <s v="SB Képzési finanszírozás átadás"/>
    <n v="0"/>
    <n v="0"/>
    <n v="0"/>
    <n v="0"/>
  </r>
  <r>
    <m/>
    <s v="Átoktatással csökkentett önköltséges képzési bevétel"/>
    <s v="B"/>
    <m/>
    <s v="Önköltséges képzési bevétel felosztása hivatalokról intézetekre / tanszékekre"/>
    <s v="B"/>
    <n v="286"/>
    <s v="SB Képzési finanszírozás átadás"/>
    <n v="0"/>
    <n v="0"/>
    <n v="0"/>
    <n v="0"/>
  </r>
  <r>
    <m/>
    <s v="Átoktatás átvétel, önköltséges bevétel"/>
    <s v="B"/>
    <s v="B2.b. "/>
    <s v="Átoktatás átvétel, önköltséges bevétel"/>
    <s v="B"/>
    <n v="301"/>
    <s v="SB Átoktatásra bevétel ÁTVÉTEL"/>
    <n v="18348552.708645355"/>
    <n v="18348552.708645351"/>
    <n v="0"/>
    <n v="0"/>
  </r>
  <r>
    <m/>
    <s v="Átoktatás átvétel, önköltséges bevétel"/>
    <s v="B"/>
    <s v="B2.b. "/>
    <s v="Átoktatás átvétel, önköltséges bevétel felosztása általános munkaszámról intézetekre / tanszékekre"/>
    <s v="B"/>
    <n v="301"/>
    <s v="SB Átoktatásra bevétel ÁTVÉTEL"/>
    <n v="0"/>
    <n v="0"/>
    <n v="0"/>
    <n v="0"/>
  </r>
  <r>
    <m/>
    <s v="Átoktatás átvétel, önköltséges bevétel"/>
    <s v="B"/>
    <s v="B2.b. "/>
    <s v="Átoktatás átvétel, önköltséges bevétel felosztása hivatalokról intézetekre / tanszékekre"/>
    <s v="B"/>
    <n v="301"/>
    <s v="SB Átoktatásra bevétel ÁTVÉTEL"/>
    <n v="0"/>
    <n v="0"/>
    <n v="0"/>
    <n v="0"/>
  </r>
  <r>
    <n v="5"/>
    <s v="Egyéb saját bevételek"/>
    <s v="B"/>
    <s v="B5. "/>
    <s v="Egyéb saját bevételek"/>
    <s v="B2A"/>
    <m/>
    <s v="ÖSSZEGZŐ SOR"/>
    <n v="28138193"/>
    <n v="28138193.000000004"/>
    <n v="0"/>
    <n v="28138193.000000004"/>
  </r>
  <r>
    <m/>
    <m/>
    <m/>
    <m/>
    <s v="Egyéb saját bevételek"/>
    <s v="B"/>
    <m/>
    <s v="ÖSSZESEN: töltendő, ha nincs alábontás"/>
    <n v="28138193"/>
    <n v="28138193.000000004"/>
    <n v="0"/>
    <n v="28138193.000000004"/>
  </r>
  <r>
    <m/>
    <m/>
    <m/>
    <m/>
    <s v="Egyéb saját bevételek"/>
    <s v="B"/>
    <n v="233"/>
    <s v="Vásárolt. saját előállítású  jegyzet. tankönyv értékesít."/>
    <m/>
    <n v="0"/>
    <n v="0"/>
    <n v="0"/>
  </r>
  <r>
    <m/>
    <m/>
    <m/>
    <m/>
    <s v="Egyéb saját bevételek"/>
    <s v="B"/>
    <n v="234"/>
    <s v="Egyéb áru és készletértékesítés"/>
    <m/>
    <n v="0"/>
    <n v="0"/>
    <n v="0"/>
  </r>
  <r>
    <m/>
    <m/>
    <m/>
    <m/>
    <s v="Egyéb saját bevételek"/>
    <s v="B"/>
    <n v="235"/>
    <s v="Gyakorló kert bevételei"/>
    <m/>
    <n v="0"/>
    <n v="0"/>
    <n v="0"/>
  </r>
  <r>
    <m/>
    <m/>
    <m/>
    <m/>
    <s v="Egyéb saját bevételek"/>
    <s v="B"/>
    <n v="236"/>
    <s v="ÁRU-ÉS KÉSZLET ÉRTÉKESÍTÉS ELLENÉRTÉKE"/>
    <m/>
    <n v="0"/>
    <n v="0"/>
    <n v="0"/>
  </r>
  <r>
    <m/>
    <m/>
    <m/>
    <m/>
    <s v="Egyéb saját bevételek"/>
    <s v="B"/>
    <n v="237"/>
    <s v="Oktatási bevételek (tanfolyamok stb.)"/>
    <m/>
    <n v="0"/>
    <n v="0"/>
    <n v="0"/>
  </r>
  <r>
    <m/>
    <m/>
    <m/>
    <m/>
    <s v="Egyéb saját bevételek"/>
    <s v="B"/>
    <n v="238"/>
    <s v="K + F tevékenység bevételei"/>
    <m/>
    <n v="0"/>
    <n v="0"/>
    <n v="0"/>
  </r>
  <r>
    <m/>
    <m/>
    <m/>
    <m/>
    <s v="Egyéb saját bevételek"/>
    <s v="B"/>
    <n v="239"/>
    <s v="Tárgyi eszköz bérbeadásából származó bevétel"/>
    <m/>
    <n v="0"/>
    <n v="0"/>
    <n v="0"/>
  </r>
  <r>
    <m/>
    <m/>
    <m/>
    <m/>
    <s v="Egyéb saját bevételek"/>
    <s v="B"/>
    <n v="240"/>
    <s v="Bérleti és lízing díjbevételek"/>
    <m/>
    <n v="0"/>
    <n v="0"/>
    <n v="0"/>
  </r>
  <r>
    <m/>
    <m/>
    <m/>
    <m/>
    <s v="Egyéb saját bevételek"/>
    <s v="B"/>
    <n v="241"/>
    <s v="Parkolási díjbevétel"/>
    <m/>
    <n v="0"/>
    <n v="0"/>
    <n v="0"/>
  </r>
  <r>
    <m/>
    <m/>
    <m/>
    <m/>
    <s v="Egyéb saját bevételek"/>
    <s v="B"/>
    <n v="242"/>
    <s v="Vendéglátók által üzem0101tett étterem. büfé bérleti díja"/>
    <m/>
    <n v="0"/>
    <n v="0"/>
    <n v="0"/>
  </r>
  <r>
    <m/>
    <m/>
    <m/>
    <m/>
    <s v="Egyéb saját bevételek"/>
    <s v="B"/>
    <n v="243"/>
    <s v="Kollégiumhasznosítással kapcs.bevételek (5% ÁFA)"/>
    <m/>
    <n v="0"/>
    <n v="0"/>
    <n v="0"/>
  </r>
  <r>
    <m/>
    <m/>
    <m/>
    <m/>
    <s v="Egyéb saját bevételek"/>
    <s v="B"/>
    <n v="244"/>
    <s v="Egyéb szolgáltatások bevételei"/>
    <m/>
    <n v="0"/>
    <n v="0"/>
    <n v="0"/>
  </r>
  <r>
    <m/>
    <m/>
    <m/>
    <m/>
    <s v="Egyéb saját bevételek"/>
    <s v="B"/>
    <n v="245"/>
    <s v="Étkezési térítési díj (alkalmazotti)"/>
    <m/>
    <n v="0"/>
    <n v="0"/>
    <n v="0"/>
  </r>
  <r>
    <m/>
    <m/>
    <m/>
    <m/>
    <s v="Egyéb saját bevételek"/>
    <s v="B"/>
    <n v="246"/>
    <s v="Lakbér"/>
    <m/>
    <n v="0"/>
    <n v="0"/>
    <n v="0"/>
  </r>
  <r>
    <m/>
    <m/>
    <m/>
    <m/>
    <s v="Egyéb saját bevételek"/>
    <s v="B"/>
    <n v="247"/>
    <s v="Üdülési díj"/>
    <m/>
    <n v="0"/>
    <n v="0"/>
    <n v="0"/>
  </r>
  <r>
    <m/>
    <m/>
    <m/>
    <m/>
    <s v="Egyéb saját bevételek"/>
    <s v="B"/>
    <n v="248"/>
    <s v="SZOLGÁLTATÁSOK ELLENÉRTÉKE"/>
    <m/>
    <n v="0"/>
    <n v="0"/>
    <n v="0"/>
  </r>
  <r>
    <m/>
    <m/>
    <m/>
    <m/>
    <s v="Egyéb saját bevételek"/>
    <s v="B"/>
    <n v="249"/>
    <s v="Közvetített szolgáltatások ellenértéke ÁH-n belül"/>
    <m/>
    <n v="0"/>
    <n v="0"/>
    <n v="0"/>
  </r>
  <r>
    <m/>
    <m/>
    <m/>
    <m/>
    <s v="Egyéb saját bevételek"/>
    <s v="B"/>
    <n v="250"/>
    <s v="Közvetített szolgáltatások ellenértéke ÁH-n kívül (Áfa mentes)"/>
    <m/>
    <n v="0"/>
    <n v="0"/>
    <n v="0"/>
  </r>
  <r>
    <m/>
    <m/>
    <m/>
    <m/>
    <s v="Egyéb saját bevételek"/>
    <s v="B"/>
    <n v="251"/>
    <s v="KÖZVETÍTETT SZOLGÁLTATÁSOK BEVÉTELE"/>
    <m/>
    <n v="0"/>
    <n v="0"/>
    <n v="0"/>
  </r>
  <r>
    <m/>
    <m/>
    <m/>
    <m/>
    <s v="Egyéb saját bevételek"/>
    <s v="B"/>
    <n v="252"/>
    <s v="Ell.díjak - Köznevelési ell. - Óvodai ellátottak térítési díja"/>
    <m/>
    <n v="0"/>
    <n v="0"/>
    <n v="0"/>
  </r>
  <r>
    <m/>
    <m/>
    <m/>
    <m/>
    <s v="Egyéb saját bevételek"/>
    <s v="B"/>
    <n v="253"/>
    <s v="Ell.díjak - Köznevelési ell. - Általános iskolások étkezési díja"/>
    <m/>
    <n v="0"/>
    <n v="0"/>
    <n v="0"/>
  </r>
  <r>
    <m/>
    <m/>
    <m/>
    <m/>
    <s v="Egyéb saját bevételek"/>
    <s v="B"/>
    <n v="254"/>
    <s v="Ell.díjak - Köznevelési ell. - Középiskolások étkezési díja"/>
    <m/>
    <n v="0"/>
    <n v="0"/>
    <n v="0"/>
  </r>
  <r>
    <m/>
    <m/>
    <m/>
    <m/>
    <s v="Egyéb saját bevételek"/>
    <s v="B"/>
    <n v="255"/>
    <s v="Ell.díjak - Neptun - Önktg. Költségtérítés"/>
    <m/>
    <n v="0"/>
    <n v="0"/>
    <n v="0"/>
  </r>
  <r>
    <m/>
    <m/>
    <m/>
    <m/>
    <s v="Egyéb saját bevételek"/>
    <s v="B"/>
    <n v="256"/>
    <s v="Ell.díjak-Neptun-Egyéb szolg.d.- Felv.iratk.díjak (regiszt.) KTGTÉR"/>
    <m/>
    <n v="0"/>
    <n v="0"/>
    <n v="0"/>
  </r>
  <r>
    <m/>
    <m/>
    <m/>
    <m/>
    <s v="Egyéb saját bevételek"/>
    <s v="B"/>
    <n v="257"/>
    <s v="Ell.díjak-Neptun-Egyéb szolg.d.-Tantárgyi vizsgaismétlési díj (UV díj)"/>
    <m/>
    <n v="0"/>
    <n v="0"/>
    <n v="0"/>
  </r>
  <r>
    <m/>
    <m/>
    <m/>
    <m/>
    <s v="Egyéb saját bevételek"/>
    <s v="B"/>
    <n v="258"/>
    <s v="Ell.díjak-Neptun-Egyéb szolg.d. - Tantárgyismétlési díj"/>
    <m/>
    <n v="0"/>
    <n v="0"/>
    <n v="0"/>
  </r>
  <r>
    <m/>
    <m/>
    <m/>
    <m/>
    <s v="Egyéb saját bevételek"/>
    <s v="B"/>
    <n v="259"/>
    <s v="Ell.díjak-Neptun-Egyéb szolg.d.-Oklevél, diplomakiállítási díj"/>
    <m/>
    <n v="0"/>
    <n v="0"/>
    <n v="0"/>
  </r>
  <r>
    <m/>
    <m/>
    <m/>
    <m/>
    <s v="Egyéb saját bevételek"/>
    <s v="B"/>
    <n v="260"/>
    <s v="Ell.díjak-Neptun-Egyéb szolg.d.-Kredittúllépés, kreditkihagyási díj"/>
    <m/>
    <n v="0"/>
    <n v="0"/>
    <n v="0"/>
  </r>
  <r>
    <m/>
    <m/>
    <m/>
    <m/>
    <s v="Egyéb saját bevételek"/>
    <s v="B"/>
    <n v="261"/>
    <s v="Ell.díjak-Neptun-Egyéb szolg.d. - Nyelvvizsga díj"/>
    <m/>
    <n v="0"/>
    <n v="0"/>
    <n v="0"/>
  </r>
  <r>
    <m/>
    <m/>
    <m/>
    <m/>
    <s v="Egyéb saját bevételek"/>
    <s v="B"/>
    <n v="262"/>
    <s v="Ell.díjak-Neptun-Egyéb szolg.d. - Utólagos kurzusfelvétel. leadás"/>
    <m/>
    <n v="0"/>
    <n v="0"/>
    <n v="0"/>
  </r>
  <r>
    <m/>
    <m/>
    <m/>
    <m/>
    <s v="Egyéb saját bevételek"/>
    <s v="B"/>
    <n v="263"/>
    <s v="Ell.díjak-Neptun-Egyéb szolg.d. - Késedelmes leadás. felvétel"/>
    <m/>
    <n v="0"/>
    <n v="0"/>
    <n v="0"/>
  </r>
  <r>
    <m/>
    <m/>
    <m/>
    <m/>
    <s v="Egyéb saját bevételek"/>
    <s v="B"/>
    <n v="264"/>
    <s v="Ell.díjak-Neptun-Egyéb szolg.d. - Késedelmes befizetés"/>
    <m/>
    <n v="0"/>
    <n v="0"/>
    <n v="0"/>
  </r>
  <r>
    <m/>
    <m/>
    <m/>
    <m/>
    <s v="Egyéb saját bevételek"/>
    <s v="B"/>
    <n v="265"/>
    <s v="Ell.díjak-Neptun-Egyéb szolg.d.-Kreditenkénti költségtérítés - túlfutók"/>
    <m/>
    <n v="0"/>
    <n v="0"/>
    <n v="0"/>
  </r>
  <r>
    <m/>
    <m/>
    <m/>
    <m/>
    <s v="Egyéb saját bevételek"/>
    <s v="B"/>
    <n v="266"/>
    <s v="Ell.díjak-Neptun-Egyéb szolg.d.- Doktori eljárási díjak"/>
    <m/>
    <n v="0"/>
    <n v="0"/>
    <n v="0"/>
  </r>
  <r>
    <m/>
    <m/>
    <m/>
    <m/>
    <s v="Egyéb saját bevételek"/>
    <s v="B"/>
    <n v="267"/>
    <s v="Ell.díjak-Neptun-Egyéb szolg.d.-Egyéb különeljárási és késedelmi díjak"/>
    <m/>
    <n v="0"/>
    <n v="0"/>
    <n v="0"/>
  </r>
  <r>
    <m/>
    <m/>
    <m/>
    <m/>
    <s v="Egyéb saját bevételek"/>
    <s v="B"/>
    <n v="268"/>
    <s v="Ell.díjak - Neptun - Kollégiumi bevételek"/>
    <m/>
    <n v="0"/>
    <n v="0"/>
    <n v="0"/>
  </r>
  <r>
    <m/>
    <m/>
    <m/>
    <m/>
    <s v="Egyéb saját bevételek"/>
    <s v="B"/>
    <n v="269"/>
    <s v="Ell.díjak - NEM Neptun -Habilitációs díjak"/>
    <m/>
    <n v="0"/>
    <n v="0"/>
    <n v="0"/>
  </r>
  <r>
    <m/>
    <m/>
    <m/>
    <m/>
    <s v="Egyéb saját bevételek"/>
    <s v="B"/>
    <n v="270"/>
    <s v="Ell.díjak - NEM Neptun rendszeren keresztül beszedett bev."/>
    <m/>
    <n v="0"/>
    <n v="0"/>
    <n v="0"/>
  </r>
  <r>
    <m/>
    <m/>
    <m/>
    <m/>
    <s v="Egyéb saját bevételek"/>
    <s v="B"/>
    <n v="271"/>
    <s v="ELLÁTÁSI DÍJAK"/>
    <m/>
    <n v="0"/>
    <n v="0"/>
    <n v="0"/>
  </r>
  <r>
    <m/>
    <m/>
    <m/>
    <m/>
    <s v="Egyéb saját bevételek"/>
    <s v="B"/>
    <n v="272"/>
    <s v="Egyenes adós ÁFA anyag"/>
    <m/>
    <n v="0"/>
    <n v="0"/>
    <n v="0"/>
  </r>
  <r>
    <m/>
    <m/>
    <m/>
    <m/>
    <s v="Egyéb saját bevételek"/>
    <s v="B"/>
    <n v="273"/>
    <s v="Egyenes adós ÁFA szolgáltatás"/>
    <m/>
    <n v="0"/>
    <n v="0"/>
    <n v="0"/>
  </r>
  <r>
    <m/>
    <m/>
    <m/>
    <m/>
    <s v="Egyéb saját bevételek"/>
    <s v="B"/>
    <n v="274"/>
    <s v="Egyenes adós ÁFA beruházás (Értékesített t.eszk.áfa)"/>
    <m/>
    <n v="0"/>
    <n v="0"/>
    <n v="0"/>
  </r>
  <r>
    <m/>
    <m/>
    <m/>
    <m/>
    <s v="Egyéb saját bevételek"/>
    <s v="B"/>
    <n v="275"/>
    <s v="KISZÁMLÁZOTT ÁFA"/>
    <m/>
    <n v="0"/>
    <n v="0"/>
    <n v="0"/>
  </r>
  <r>
    <m/>
    <m/>
    <m/>
    <m/>
    <s v="Egyéb saját bevételek"/>
    <s v="B"/>
    <n v="276"/>
    <s v="Működési kiadásokhoz kapcs ÁFA visszatér bev"/>
    <m/>
    <n v="0"/>
    <n v="0"/>
    <n v="0"/>
  </r>
  <r>
    <m/>
    <m/>
    <m/>
    <m/>
    <s v="Egyéb saját bevételek"/>
    <s v="B"/>
    <n v="277"/>
    <s v="ÁFA VISSZATÉRÜLÉS"/>
    <m/>
    <n v="0"/>
    <n v="0"/>
    <n v="0"/>
  </r>
  <r>
    <m/>
    <m/>
    <m/>
    <m/>
    <s v="Egyéb saját bevételek"/>
    <s v="B"/>
    <n v="278"/>
    <s v="Áht kiv. egyéb kamat-, kamatjellegű e/bevét"/>
    <m/>
    <n v="0"/>
    <n v="0"/>
    <n v="0"/>
  </r>
  <r>
    <m/>
    <m/>
    <m/>
    <m/>
    <s v="Egyéb saját bevételek"/>
    <s v="B"/>
    <n v="279"/>
    <s v="KAMATBEVÉTELEK"/>
    <m/>
    <n v="0"/>
    <n v="0"/>
    <n v="0"/>
  </r>
  <r>
    <m/>
    <m/>
    <m/>
    <m/>
    <s v="Egyéb saját bevételek"/>
    <s v="B"/>
    <n v="280"/>
    <s v="Évközi realizált árf. nyereség AUT"/>
    <m/>
    <n v="0"/>
    <n v="0"/>
    <n v="0"/>
  </r>
  <r>
    <m/>
    <m/>
    <m/>
    <m/>
    <s v="Egyéb saját bevételek"/>
    <s v="B"/>
    <n v="281"/>
    <s v="Évközi realizált árf. nyereség"/>
    <m/>
    <n v="0"/>
    <n v="0"/>
    <n v="0"/>
  </r>
  <r>
    <m/>
    <m/>
    <m/>
    <m/>
    <s v="Egyéb saját bevételek"/>
    <s v="B"/>
    <n v="282"/>
    <s v="Egyéb pénzügyi műv.e.eredmsz.bevétele"/>
    <m/>
    <n v="0"/>
    <n v="0"/>
    <n v="0"/>
  </r>
  <r>
    <m/>
    <m/>
    <m/>
    <m/>
    <s v="Egyéb saját bevételek"/>
    <s v="B"/>
    <n v="283"/>
    <s v="EGYÉB PÉNZÜGYI MŰVELETEK BEVÉTELEI"/>
    <m/>
    <n v="0"/>
    <n v="0"/>
    <n v="0"/>
  </r>
  <r>
    <m/>
    <m/>
    <m/>
    <m/>
    <s v="Egyéb saját bevételek"/>
    <s v="B"/>
    <n v="284"/>
    <s v="Biztosító által fizetett kártérítés"/>
    <m/>
    <n v="0"/>
    <n v="0"/>
    <n v="0"/>
  </r>
  <r>
    <n v="6"/>
    <s v="Egyéb finanszírozású költségvetési bevétel allokáció célszervezetre"/>
    <s v="B"/>
    <m/>
    <s v="Egyéb finanszírozású költségvetési bevétel allokáció célszervezetre"/>
    <s v="B2A"/>
    <m/>
    <s v="ÖSSZEGZŐ SOR"/>
    <n v="949293"/>
    <n v="949292.70801568264"/>
    <n v="0.29198431735858321"/>
    <n v="949292.70801568264"/>
  </r>
  <r>
    <m/>
    <s v="Egyéb finanszírozású képzési bevétel"/>
    <s v="B"/>
    <s v="B3.a. "/>
    <s v="Egyéb finanszírozású képzési bevétel tervezése képzési munkaszámokra"/>
    <s v="BKÉ"/>
    <n v="255"/>
    <s v="Ell.díjak - Neptun - Önktg. Költségtérítés"/>
    <n v="482559.50979000004"/>
    <n v="482559.50979000004"/>
    <n v="0"/>
    <n v="482559.50979000004"/>
  </r>
  <r>
    <m/>
    <s v="Átoktatás átadás, egyéb finanszírozású bevétel"/>
    <s v="B"/>
    <s v="B3.a. "/>
    <s v="Átoktatás átadás, egyéb finanszírozású bevétel"/>
    <s v="BKÉ"/>
    <n v="294"/>
    <s v="SB Átoktatásra bevétel ÁTADÁS"/>
    <n v="0"/>
    <n v="0"/>
    <n v="0"/>
    <n v="0"/>
  </r>
  <r>
    <m/>
    <s v="Átoktatással csökkentett egyéb finanszírozású képzési bevétel"/>
    <s v="B"/>
    <m/>
    <s v="Átoktatással csökkentett egyéb finanszírozású képzési bevétel áthozatala képzési munkaszámokról intézetekre / tanszékekre, általános munkaszámra, hivatalokra"/>
    <s v="B"/>
    <n v="286"/>
    <s v="SB Képzési finanszírozás átadás"/>
    <n v="482559.50979000004"/>
    <n v="0"/>
    <n v="482559.50979000004"/>
    <n v="0"/>
  </r>
  <r>
    <m/>
    <s v="Átoktatással csökkentett egyéb finanszírozású képzési bevétel"/>
    <s v="B"/>
    <m/>
    <s v="Egyéb finanszírozású képzési bevétel felosztása általános munkaszámról intézetekre / tanszékekre"/>
    <s v="B"/>
    <n v="286"/>
    <s v="SB Képzési finanszírozás átadás"/>
    <n v="0"/>
    <n v="0"/>
    <n v="0"/>
    <n v="0"/>
  </r>
  <r>
    <m/>
    <s v="Átoktatással csökkentett egyéb finanszírozású képzési bevétel"/>
    <s v="B"/>
    <m/>
    <s v="Egyéb finanszírozású képzési bevétel felosztása általános munkaszámról intézetekre / tanszékekre"/>
    <s v="B"/>
    <n v="286"/>
    <s v="SB Képzési finanszírozás átadás"/>
    <n v="0"/>
    <n v="0"/>
    <n v="0"/>
    <n v="0"/>
  </r>
  <r>
    <m/>
    <s v="Átoktatással csökkentett egyéb finanszírozású képzési bevétel"/>
    <s v="B"/>
    <m/>
    <s v="Egyéb finanszírozású képzési bevétel felosztása általános munkaszámról intézetekre / tanszékekre"/>
    <s v="B"/>
    <n v="286"/>
    <s v="SB Képzési finanszírozás átadás"/>
    <n v="0"/>
    <n v="0"/>
    <n v="0"/>
    <n v="0"/>
  </r>
  <r>
    <m/>
    <s v="Átoktatással csökkentett egyéb finanszírozású képzési bevétel"/>
    <s v="B"/>
    <m/>
    <s v="Egyéb finanszírozású képzési bevétel felosztása általános munkaszámról intézetekre / tanszékekre"/>
    <s v="B"/>
    <n v="286"/>
    <s v="SB Képzési finanszírozás átadás"/>
    <n v="0"/>
    <n v="0"/>
    <n v="0"/>
    <n v="0"/>
  </r>
  <r>
    <m/>
    <s v="Átoktatással csökkentett egyéb finanszírozású képzési bevétel"/>
    <s v="B"/>
    <m/>
    <s v="Egyéb finanszírozású képzési bevétel felosztása hivatalokról intézetekre / tanszékekre"/>
    <s v="B"/>
    <n v="286"/>
    <s v="SB Képzési finanszírozás átadás"/>
    <n v="0"/>
    <n v="0"/>
    <n v="0"/>
    <n v="0"/>
  </r>
  <r>
    <m/>
    <s v="Átoktatás átvétel, egyéb finanszírozású bevétel"/>
    <s v="B"/>
    <s v="B3.b. "/>
    <s v="Átoktatás átvétel, egyéb finanszírozású bevétel"/>
    <s v="B"/>
    <n v="301"/>
    <s v="SB Átoktatásra bevétel ÁTVÉTEL"/>
    <n v="466733.1982256826"/>
    <n v="466733.19822568266"/>
    <n v="0"/>
    <n v="0"/>
  </r>
  <r>
    <m/>
    <s v="Átoktatás átvétel, egyéb finanszírozású bevétel"/>
    <s v="B"/>
    <s v="B3.b. "/>
    <s v="Átoktatás átvétel, egyéb finanszírozású bevétel felosztása általános munkaszámról intézetekre / tanszékekre"/>
    <s v="B"/>
    <n v="301"/>
    <s v="SB Átoktatásra bevétel ÁTVÉTEL"/>
    <n v="0"/>
    <n v="0"/>
    <n v="0"/>
    <n v="0"/>
  </r>
  <r>
    <m/>
    <s v="Átoktatás átvétel, egyéb finanszírozású bevétel"/>
    <s v="B"/>
    <s v="B3.b. "/>
    <s v="Átoktatás átvétel, egyéb finanszírozású bevétel felosztása hivatalokról intézetekre / tanszékekre"/>
    <s v="B"/>
    <n v="301"/>
    <s v="SB Átoktatásra bevétel ÁTVÉTEL"/>
    <n v="0"/>
    <n v="0"/>
    <n v="0"/>
    <n v="0"/>
  </r>
  <r>
    <n v="7"/>
    <s v="Oktatói béremelés fedezete (2018. évi arányban)"/>
    <s v="B"/>
    <s v="B6. "/>
    <s v="Oktatói béremelés fedezete (2018. évi arányban)"/>
    <s v="B2A"/>
    <n v="322"/>
    <s v="Működési költségvetés támogatása - Céltámogatás"/>
    <n v="24079000"/>
    <n v="24079000"/>
    <n v="0"/>
    <n v="24079000"/>
  </r>
  <r>
    <n v="8"/>
    <s v="ÁKTH alá tartozó speciális feladatok"/>
    <s v="B"/>
    <m/>
    <s v="ÁKTH alá tartozó speciális feladatok"/>
    <s v="B2A"/>
    <m/>
    <s v="ÖSSZEGZŐ SOR"/>
    <n v="0"/>
    <n v="0"/>
    <n v="0"/>
    <n v="0"/>
  </r>
  <r>
    <m/>
    <m/>
    <m/>
    <m/>
    <m/>
    <s v="B"/>
    <n v="322"/>
    <s v="Működési költségvetés támogatása - Céltámogatás"/>
    <n v="0"/>
    <n v="0"/>
    <n v="0"/>
    <n v="0"/>
  </r>
  <r>
    <m/>
    <m/>
    <m/>
    <m/>
    <m/>
    <s v="B"/>
    <n v="322"/>
    <s v="Működési költségvetés támogatása - Céltámogatás"/>
    <n v="0"/>
    <n v="0"/>
    <n v="0"/>
    <n v="0"/>
  </r>
  <r>
    <m/>
    <m/>
    <m/>
    <m/>
    <m/>
    <s v="B"/>
    <n v="322"/>
    <s v="Működési költségvetés támogatása - Céltámogatás"/>
    <n v="0"/>
    <n v="0"/>
    <n v="0"/>
    <n v="0"/>
  </r>
  <r>
    <m/>
    <m/>
    <m/>
    <m/>
    <m/>
    <s v="B"/>
    <n v="322"/>
    <s v="Működési költségvetés támogatása - Céltámogatás"/>
    <n v="0"/>
    <n v="0"/>
    <n v="0"/>
    <n v="0"/>
  </r>
  <r>
    <m/>
    <m/>
    <m/>
    <m/>
    <m/>
    <s v="B"/>
    <n v="322"/>
    <s v="Működési költségvetés támogatása - Céltámogatás"/>
    <n v="0"/>
    <n v="0"/>
    <n v="0"/>
    <n v="0"/>
  </r>
  <r>
    <m/>
    <m/>
    <m/>
    <m/>
    <m/>
    <s v="B"/>
    <n v="322"/>
    <s v="Működési költségvetés támogatása - Céltámogatás"/>
    <n v="0"/>
    <n v="0"/>
    <n v="0"/>
    <n v="0"/>
  </r>
  <r>
    <m/>
    <s v="ÁKTH alapja"/>
    <s v="I."/>
    <s v="B.I."/>
    <s v="ÁKTH alapja"/>
    <m/>
    <m/>
    <m/>
    <n v="402526458"/>
    <n v="402526457.93341732"/>
    <n v="6.6582703497260809E-2"/>
    <n v="402526457.93341732"/>
  </r>
  <r>
    <n v="10"/>
    <s v="Szombathelyi működésre ÁKTH elvonás 19 %"/>
    <s v="B"/>
    <s v="B8. "/>
    <s v="Szombathelyi működésre ÁKTH elvonás 19 %"/>
    <s v="B2A"/>
    <m/>
    <s v="ÖSSZEGZŐ SOR"/>
    <n v="-76480027.019999996"/>
    <n v="-76480027.007349283"/>
    <n v="-1.2650713324546814E-2"/>
    <n v="-76480027.007349283"/>
  </r>
  <r>
    <m/>
    <m/>
    <m/>
    <m/>
    <s v="Szombathelyi működésre ÁKTH elvonás 19 %"/>
    <s v="B"/>
    <n v="285"/>
    <s v="SB ÁKTH ÁTADÁS"/>
    <n v="-10623768.300000001"/>
    <n v="-10623768.203174584"/>
    <n v="-9.6825417131185532E-2"/>
    <n v="-10623768.203174584"/>
  </r>
  <r>
    <m/>
    <m/>
    <m/>
    <m/>
    <s v="Szombathelyi működésre ÁKTH elvonás 19 %"/>
    <s v="B"/>
    <n v="332"/>
    <s v="T ÁKTH ÁTADÁS"/>
    <n v="-65856258.719999999"/>
    <n v="-65856258.804174706"/>
    <n v="8.4174707531929016E-2"/>
    <n v="-65856258.804174706"/>
  </r>
  <r>
    <n v="11"/>
    <s v="Egyetemi kiválósági alap (digitális transzformációra) elvonás -0,5%"/>
    <s v="B"/>
    <s v="B9. "/>
    <s v="Egyetemi kiválósági alap (digitális transzformációra) elvonás -0,5%"/>
    <s v="B2A"/>
    <m/>
    <s v="ÖSSZEGZŐ SOR"/>
    <n v="-2012632.29"/>
    <n v="-2012632.2896670867"/>
    <n v="-3.329133614897728E-4"/>
    <n v="3.329133614897728E-4"/>
  </r>
  <r>
    <m/>
    <m/>
    <m/>
    <m/>
    <s v="Egyetemi kiválósági alap (digitális transzformációra) elvonás -0,5%, saját bevétel"/>
    <s v="B"/>
    <n v="298"/>
    <s v="SB Kiválósági Alap"/>
    <n v="-279572.84999999998"/>
    <n v="-279572.84745196276"/>
    <n v="-2.5480372132733464E-3"/>
    <n v="-14069.096499999985"/>
  </r>
  <r>
    <m/>
    <m/>
    <m/>
    <m/>
    <s v="Egyetemi kiválósági alap (digitális transzformációra) elvonás -0,5%, támogatás"/>
    <s v="B"/>
    <n v="342"/>
    <s v="T Kiválósági Alap"/>
    <n v="-1733059.44"/>
    <n v="-1733059.4422151239"/>
    <n v="2.2151239681988955E-3"/>
    <n v="-2.2151239681988955E-3"/>
  </r>
  <r>
    <n v="12"/>
    <s v="Kari kiválósági -1,5 %"/>
    <s v="B"/>
    <s v="B10. "/>
    <s v="Kari kiválósági -1,5 %"/>
    <s v="B2A"/>
    <m/>
    <s v="ÖSSZEGZŐ SOR"/>
    <n v="-6037896.8700000001"/>
    <n v="9.9874008446931839E-4"/>
    <n v="-6037896.8709987402"/>
    <n v="9.9874008446931839E-4"/>
  </r>
  <r>
    <m/>
    <m/>
    <m/>
    <m/>
    <s v="Kari kiválósági -1,5 %, saját bevétel"/>
    <s v="B"/>
    <n v="297"/>
    <s v="SB Kari kiválósági keret"/>
    <n v="-838718.54999999993"/>
    <n v="7.6441118726506829E-3"/>
    <n v="-838718.5576441118"/>
    <n v="7.6441118726506829E-3"/>
  </r>
  <r>
    <m/>
    <m/>
    <m/>
    <m/>
    <s v="Kari kiválósági -1,5 %, támogatás"/>
    <s v="B"/>
    <n v="341"/>
    <s v="T Kari kiválósági keret"/>
    <n v="-5199178.32"/>
    <n v="-6.6453712061047554E-3"/>
    <n v="-5199178.3133546291"/>
    <n v="-6.6453712061047554E-3"/>
  </r>
  <r>
    <n v="13"/>
    <s v="Karnál kiválósági visszahagyás +1,5 %"/>
    <s v="B"/>
    <s v="B11. "/>
    <s v="Karnál kiválósági visszahagyás +1,5 %"/>
    <s v="B2A"/>
    <n v="1"/>
    <s v="NEM TERVEZENDŐ"/>
    <n v="6037896.8700000001"/>
    <n v="0"/>
    <n v="6037896.8700000001"/>
    <n v="0"/>
  </r>
  <r>
    <n v="14"/>
    <s v="Belső átrendezés TKK-ra OTAK-RTAK elméleti kreditre jutó bevétel arányában"/>
    <s v="B"/>
    <s v="B12. "/>
    <s v="Belső átrendezés TKK-ra OTAK-RTAK elméleti kreditre jutó bevétel arányában"/>
    <s v="B2A"/>
    <n v="346"/>
    <s v="T tanárképzés közös ktg"/>
    <n v="-14167162.406577878"/>
    <n v="-14167162.406577878"/>
    <n v="0"/>
    <n v="0"/>
  </r>
  <r>
    <n v="15"/>
    <s v="Kiválósági ösztöndíjhoz hozzájárulás (-6,1mFt maradvány, 2020/21 II. és 2021/22 I. félév tanév becsült adatai alapján"/>
    <s v="B"/>
    <s v="B13."/>
    <s v="Kiválósági ösztöndíjhoz hozzájárulás (-6,1mFt maradvány, 2020/21 II. és 2021/22 I. félév tanév becsült adatai alapján"/>
    <s v="B2A"/>
    <n v="344"/>
    <s v="T Belső működésre átadás"/>
    <n v="-24408712.8712871"/>
    <n v="-24408712.8712871"/>
    <n v="0"/>
    <n v="0"/>
  </r>
  <r>
    <n v="17"/>
    <s v="Szocho elvonás"/>
    <s v="B"/>
    <s v="B15. "/>
    <s v="Szocho elvonás"/>
    <s v="B2A"/>
    <n v="335"/>
    <s v="T SZOCHO megtakarítás"/>
    <n v="-14953560"/>
    <n v="-14953560"/>
    <n v="0"/>
    <n v="0"/>
  </r>
  <r>
    <s v="18. a)"/>
    <s v="Kötelezően tervezendő folyóirat (2021. évi finanszírozási költségek)"/>
    <s v="B"/>
    <s v="B16. "/>
    <s v="Kötelezően tervezendő folyóirat (2021. évi finanszírozási költségek)"/>
    <s v="B2A"/>
    <m/>
    <s v="ÖSSZEGZŐ SOR"/>
    <n v="0"/>
    <n v="0"/>
    <n v="0"/>
    <n v="0"/>
  </r>
  <r>
    <m/>
    <m/>
    <m/>
    <m/>
    <s v="Belföldi folyóirat"/>
    <m/>
    <m/>
    <s v="ÖSSZEGZŐ SOR"/>
    <n v="0"/>
    <n v="0"/>
    <n v="0"/>
    <n v="0"/>
  </r>
  <r>
    <m/>
    <m/>
    <m/>
    <m/>
    <s v="Bevételátadás folyóiratra"/>
    <s v="B"/>
    <n v="293"/>
    <s v="SB Folyóiratok finanszírozása"/>
    <n v="0"/>
    <n v="0"/>
    <n v="0"/>
    <n v="0"/>
  </r>
  <r>
    <m/>
    <m/>
    <m/>
    <m/>
    <s v="Bevételátadás folyóiratra"/>
    <s v="B"/>
    <n v="340"/>
    <s v="T Folyóiratok finanszírozása"/>
    <n v="0"/>
    <n v="0"/>
    <n v="0"/>
    <n v="0"/>
  </r>
  <r>
    <m/>
    <m/>
    <m/>
    <m/>
    <s v="Külföldi folyóirat"/>
    <m/>
    <m/>
    <s v="ÖSSZEGZŐ SOR"/>
    <n v="0"/>
    <n v="0"/>
    <n v="0"/>
    <n v="0"/>
  </r>
  <r>
    <m/>
    <m/>
    <m/>
    <m/>
    <s v="Bevételátadás folyóiratra"/>
    <s v="B"/>
    <n v="293"/>
    <s v="SB Folyóiratok finanszírozása"/>
    <n v="0"/>
    <n v="0"/>
    <n v="0"/>
    <n v="0"/>
  </r>
  <r>
    <m/>
    <m/>
    <m/>
    <m/>
    <s v="Bevételátadás folyóiratra"/>
    <s v="B"/>
    <n v="340"/>
    <s v="T Folyóiratok finanszírozása"/>
    <n v="0"/>
    <n v="0"/>
    <n v="0"/>
    <n v="0"/>
  </r>
  <r>
    <s v="18. b)"/>
    <s v="Kötelezően tervezendő  EISZ kari rész 2021."/>
    <s v="B"/>
    <s v="B17. "/>
    <s v="Kötelezően tervezendő  EISZ kari rész 2021."/>
    <s v="B2A"/>
    <m/>
    <s v="ÖSSZEGZŐ SOR"/>
    <n v="0"/>
    <n v="0"/>
    <n v="0"/>
    <n v="0"/>
  </r>
  <r>
    <m/>
    <m/>
    <m/>
    <m/>
    <s v="Bevételátadás EISZ kari rész, saját bevétel"/>
    <s v="B"/>
    <n v="293"/>
    <s v="SB Folyóiratok finanszírozása"/>
    <n v="0"/>
    <n v="0"/>
    <n v="0"/>
    <n v="0"/>
  </r>
  <r>
    <m/>
    <m/>
    <m/>
    <m/>
    <s v="Bevételátadás EISZ kari rész, támogatás"/>
    <s v="B"/>
    <n v="340"/>
    <s v="T Folyóiratok finanszírozása"/>
    <n v="0"/>
    <n v="0"/>
    <n v="0"/>
    <n v="0"/>
  </r>
  <r>
    <s v="18. c)"/>
    <s v="Tárgyévi közterületesítés miatti átrendezés"/>
    <s v="B"/>
    <s v="B18. "/>
    <s v="Tárgyévi közterületesítés miatti átrendezés"/>
    <s v="B2A"/>
    <m/>
    <s v="ÖSSZEGZŐ SOR"/>
    <n v="6694998"/>
    <n v="6694998"/>
    <n v="0"/>
    <n v="0"/>
  </r>
  <r>
    <m/>
    <m/>
    <m/>
    <m/>
    <s v="Tárgyévi közterületesítés miatti átrendezés, saját bevétel"/>
    <s v="B"/>
    <n v="290"/>
    <s v="SB Közterületesítési különbözet"/>
    <n v="3347499"/>
    <n v="3347499"/>
    <n v="0"/>
    <n v="0"/>
  </r>
  <r>
    <m/>
    <m/>
    <m/>
    <m/>
    <s v="Tárgyévi közterületesítés miatti átrendezés, támogatás"/>
    <s v="B"/>
    <n v="336"/>
    <s v="T Közterületesítési különbözet"/>
    <n v="3347499"/>
    <n v="3347499"/>
    <n v="0"/>
    <n v="0"/>
  </r>
  <r>
    <m/>
    <m/>
    <m/>
    <m/>
    <s v="Bevételátadás informatikai kiadásokra, összesen"/>
    <m/>
    <m/>
    <s v="ÖSSZEGZŐ SOR"/>
    <n v="0"/>
    <n v="0"/>
    <n v="0"/>
    <n v="0"/>
  </r>
  <r>
    <m/>
    <m/>
    <m/>
    <m/>
    <s v="Bevételátadás informatikai kiadásokra, saját bevétel"/>
    <s v="B"/>
    <n v="291"/>
    <s v="SB Informatikai közvetlen költségek"/>
    <n v="0"/>
    <n v="0"/>
    <n v="0"/>
    <n v="0"/>
  </r>
  <r>
    <m/>
    <m/>
    <m/>
    <m/>
    <s v="Bevételátadás informatikai kiadásokra, támogatás"/>
    <s v="B"/>
    <n v="337"/>
    <s v="T Informatikai közvetlen költségek"/>
    <n v="0"/>
    <n v="0"/>
    <n v="0"/>
    <n v="0"/>
  </r>
  <r>
    <m/>
    <m/>
    <m/>
    <m/>
    <s v="Bevételátadás informatikai kiadásokra - visszahagyás"/>
    <s v="B"/>
    <m/>
    <s v="NEM TERVEZENDŐ"/>
    <n v="0"/>
    <m/>
    <n v="0"/>
    <m/>
  </r>
  <r>
    <m/>
    <m/>
    <m/>
    <m/>
    <s v="Bevételátadás üzemeltetési kiadásokra, összesen"/>
    <m/>
    <m/>
    <s v="ÖSSZEGZŐ SOR"/>
    <n v="-77441011.623756886"/>
    <n v="0"/>
    <n v="-77441011.623756886"/>
    <n v="0"/>
  </r>
  <r>
    <m/>
    <m/>
    <m/>
    <m/>
    <s v="Bevételátadás üzemeltetési kiadásokra, saját bevétel"/>
    <s v="B"/>
    <n v="288"/>
    <s v="SB Üzemeltetési feladatok"/>
    <n v="-38720505.811878443"/>
    <n v="0"/>
    <n v="-38720505.811878443"/>
    <n v="0"/>
  </r>
  <r>
    <m/>
    <m/>
    <m/>
    <m/>
    <s v="Bevételátadás üzemeltetési kiadásokra, támogatás"/>
    <s v="B"/>
    <n v="350"/>
    <s v="T Üzemeltetési feladatok"/>
    <n v="-38720505.811878443"/>
    <n v="0"/>
    <n v="-38720505.811878443"/>
    <n v="0"/>
  </r>
  <r>
    <m/>
    <m/>
    <m/>
    <m/>
    <s v="Bevételátadás üzemeltetési kiadásokra - visszahagyás"/>
    <s v="B"/>
    <m/>
    <s v="NEM TERVEZENDŐ"/>
    <n v="77441011.623756886"/>
    <m/>
    <n v="77441011.623756886"/>
    <m/>
  </r>
  <r>
    <n v="19"/>
    <s v="Nemzeköziesítésre elvonás"/>
    <s v="B"/>
    <s v="B19. "/>
    <s v="Nemzeköziesítésre elvonás"/>
    <s v="B2A"/>
    <n v="292"/>
    <s v="SB Nemzetköziesítési feladatok"/>
    <n v="0"/>
    <n v="0"/>
    <n v="0"/>
    <n v="0"/>
  </r>
  <r>
    <m/>
    <s v="Bevételi egyenleg I. (itt lévő előirányzatok)"/>
    <s v="II."/>
    <s v="B.II."/>
    <s v="Bevételi egyenleg I. (itt lévő előirányzatok)"/>
    <m/>
    <m/>
    <m/>
    <n v="277199361.412135"/>
    <n v="277199361.35953474"/>
    <n v="5.260033905506134E-2"/>
    <n v="326046430.92739969"/>
  </r>
  <r>
    <n v="21"/>
    <s v="Maradvány"/>
    <s v="B"/>
    <s v="B20. "/>
    <s v="2020. év végi maradvány (kari gazda) szabad keret (S*ITTNEMEI, *PALYREZSI, kari kiválósági, függő bevétel kizárásával)"/>
    <s v="MB"/>
    <m/>
    <s v="Maradvány"/>
    <n v="52976172"/>
    <n v="-9535804"/>
    <n v="62511976"/>
    <n v="-9535804"/>
  </r>
  <r>
    <n v="22"/>
    <s v="Maradvány"/>
    <s v="B"/>
    <s v="B20. "/>
    <s v="2020. év végi maradvány (kari gazda) átfordult kötelezettségvállalás"/>
    <s v="MB"/>
    <m/>
    <s v="Maradvány"/>
    <n v="-30874071"/>
    <n v="0"/>
    <n v="-30874071"/>
    <n v="0"/>
  </r>
  <r>
    <n v="23"/>
    <s v="Maradvány"/>
    <s v="B"/>
    <s v="B20. "/>
    <s v="Kari kiválósági keretek 2020. év végi költhető maradványa **"/>
    <s v="MB"/>
    <m/>
    <s v="Maradvány"/>
    <n v="10497387"/>
    <n v="0"/>
    <n v="10497387"/>
    <n v="0"/>
  </r>
  <r>
    <n v="24"/>
    <s v="Maradvány"/>
    <s v="B"/>
    <s v="B20. "/>
    <s v="Közterületesítés elszámolás"/>
    <s v="MB"/>
    <m/>
    <s v="Maradvány"/>
    <n v="7695747"/>
    <n v="7695747"/>
    <n v="0"/>
    <n v="7695747"/>
  </r>
  <r>
    <n v="25"/>
    <s v="Maradvány"/>
    <s v="B"/>
    <s v="B20. "/>
    <s v="Lektorok elszámolás (év végi ZFED szabad keret funkcióterületre)"/>
    <s v="MB"/>
    <m/>
    <s v="Maradvány"/>
    <n v="0"/>
    <n v="0"/>
    <n v="0"/>
    <n v="0"/>
  </r>
  <r>
    <n v="26"/>
    <s v="Maradvány"/>
    <s v="B"/>
    <s v="B20. "/>
    <s v="PALYREZSI elszámolás"/>
    <s v="MB"/>
    <m/>
    <s v="Maradvány"/>
    <n v="0"/>
    <n v="0"/>
    <n v="0"/>
    <n v="0"/>
  </r>
  <r>
    <n v="27"/>
    <s v="Maradvány"/>
    <s v="B"/>
    <s v="B20. "/>
    <s v="Belföldi-külföldi folyóirat elszámolás (SAP 2020 év végi állapot)"/>
    <s v="MB"/>
    <m/>
    <s v="Maradvány"/>
    <n v="0"/>
    <n v="0"/>
    <n v="0"/>
    <n v="0"/>
  </r>
  <r>
    <n v="28"/>
    <s v="Maradvány"/>
    <s v="B"/>
    <s v="B20. "/>
    <s v="Nemzetköziesítés el nem költött előirányzatával elszámolás (2020. évi befizetés arányában)"/>
    <s v="MB"/>
    <m/>
    <s v="Maradvány"/>
    <n v="0"/>
    <n v="0"/>
    <n v="0"/>
    <n v="0"/>
  </r>
  <r>
    <n v="30"/>
    <s v="Maradvány"/>
    <s v="B"/>
    <s v="B20. "/>
    <s v="2020. évi TMA elszámolás"/>
    <s v="MB"/>
    <m/>
    <s v="Maradvány"/>
    <n v="0"/>
    <n v="0"/>
    <n v="0"/>
    <n v="0"/>
  </r>
  <r>
    <n v="31"/>
    <s v="Maradvány"/>
    <s v="B"/>
    <s v="B20. "/>
    <s v="2020. évi telefon költség elszámolás "/>
    <s v="MB"/>
    <m/>
    <s v="Maradvány"/>
    <n v="-51421"/>
    <n v="0"/>
    <n v="-51421"/>
    <n v="0"/>
  </r>
  <r>
    <n v="32"/>
    <s v="Maradvány"/>
    <s v="B"/>
    <s v="B20. "/>
    <s v="2020. évi telefon kötváll felszabadítás"/>
    <s v="MB"/>
    <m/>
    <s v="Maradvány"/>
    <n v="0"/>
    <n v="0"/>
    <n v="0"/>
    <n v="0"/>
  </r>
  <r>
    <m/>
    <s v="Bevételi egyenleg II. (Bevételi egyenleg I. + maradvány és korrekciói)"/>
    <s v="III."/>
    <s v="B.III."/>
    <s v="Bevételi egyenleg II. (Bevételi egyenleg I. + maradvány és korrekciói)"/>
    <m/>
    <m/>
    <m/>
    <n v="317443175.412135"/>
    <n v="275359304.35953474"/>
    <n v="42083871.052600339"/>
    <n v="324206373.92739969"/>
  </r>
  <r>
    <n v="34"/>
    <s v="2020. évi képzési támogatás elszámolás - bruttó - minisztérium által  visszaigazolt összeg 2020.11.30-i &quot;bérelő&quot; arányban"/>
    <s v="B"/>
    <s v="B20. "/>
    <s v="2020. évi képzési támogatás elszámolás - bruttó - minisztérium által  visszaigazolt összeg 2020.11.30-i &quot;bérelő&quot; arányban"/>
    <s v="B2A"/>
    <n v="333"/>
    <s v="T Képzési finanszírozás átadás"/>
    <n v="15021592.561523914"/>
    <n v="13519433.305371523"/>
    <n v="1502159.2561523914"/>
    <n v="13519433.305371523"/>
  </r>
  <r>
    <n v="36"/>
    <s v="Maradvány"/>
    <s v="B"/>
    <s v="B21. "/>
    <s v="2019-2020. évi Stipendium Hungaricum szervezési keret elszámolás - bruttó - tervezett összeg (előzetes)"/>
    <s v="MB"/>
    <m/>
    <s v="MARADVÁNY"/>
    <n v="0"/>
    <n v="0"/>
    <n v="0"/>
    <n v="0"/>
  </r>
  <r>
    <n v="37"/>
    <s v="Év közben emelkedő normatíva emelés - 2021. őszén felvételre kerülő hallgatók becslése (korábbi évek hatásának 66%-a)"/>
    <s v="B"/>
    <s v="B22. "/>
    <s v="Év közben emelkedő normatíva emelés - 2021. őszén felvételre kerülő hallgatók becslése (korábbi évek hatásának 66%-a)"/>
    <s v="B2A"/>
    <n v="320"/>
    <s v="Működési költségvetés támogatása - Képzés"/>
    <n v="768000"/>
    <n v="691200"/>
    <n v="76800"/>
    <n v="691200"/>
  </r>
  <r>
    <n v="38"/>
    <s v="GTI felfutás hatás - 2021. tavaszán és őszén felvételre kerülő hallgatók becslésének 80%-a"/>
    <s v="B"/>
    <s v="B23. "/>
    <s v="GTI felfutás hatás - 2021. tavaszán és őszén felvételre kerülő hallgatók becslésének 80%-a"/>
    <s v="B2A"/>
    <n v="320"/>
    <s v="Működési költségvetés támogatása - Képzés"/>
    <n v="0"/>
    <n v="0"/>
    <n v="0"/>
    <n v="0"/>
  </r>
  <r>
    <n v="39"/>
    <s v="Stipendium Hungaricum költségtérítés célszervezetre (átoktatás után) - 2020 évi tény 85%-a"/>
    <s v="B"/>
    <m/>
    <s v="Stipendium Hungaricum költségtérítés célszervezetre (átoktatás után) - 2020 évi tény 85%-a"/>
    <s v="B2A"/>
    <m/>
    <s v="ÖSSZEGZŐ SOR"/>
    <n v="0"/>
    <n v="0"/>
    <n v="0"/>
    <n v="0"/>
  </r>
  <r>
    <m/>
    <s v="Stipendium Hungaricum képzési támogatás"/>
    <s v="B"/>
    <s v="B24.a. "/>
    <s v="Stipendium Hungaricum képzési támogatás átvétele stipendium munkaszámról / tervezése képzési munkaszámokra"/>
    <s v="BKÉ"/>
    <n v="327"/>
    <s v="Működési költségvetés támogatása - Stipendium"/>
    <n v="0"/>
    <n v="0"/>
    <n v="0"/>
    <n v="0"/>
  </r>
  <r>
    <m/>
    <s v="Átoktatás átadás, Stipendium Hungaricum"/>
    <s v="B"/>
    <s v="B24.a. "/>
    <s v="Átoktatás átadás, Stipendium Hungaricum"/>
    <s v="BKÉ"/>
    <n v="343"/>
    <s v="T Átoktatásra támogatás ÁTADÁS"/>
    <n v="0"/>
    <n v="0"/>
    <n v="0"/>
    <n v="0"/>
  </r>
  <r>
    <m/>
    <s v="Átoktatással csökkentett Stipendium Hungaricum képzési támogatás"/>
    <s v="B"/>
    <m/>
    <s v="Átoktatással csökkentett Stipendium Hungaricum képzési támogatás áthozatala képzési munkaszámokról intézetekre / tanszékekre, általános munkaszámra, hivatalokra"/>
    <s v="B"/>
    <n v="333"/>
    <s v="T Képzési finanszírozás átadás"/>
    <n v="0"/>
    <n v="0"/>
    <n v="0"/>
    <n v="0"/>
  </r>
  <r>
    <m/>
    <s v="Átoktatással csökkentett Stipendium Hungaricum képzési támogatás"/>
    <s v="B"/>
    <m/>
    <s v="Stipendium Hungaricum képzési támogatás felosztása általános munkaszámról intézetekre / tanszékekre"/>
    <s v="B"/>
    <n v="333"/>
    <s v="T Képzési finanszírozás átadás"/>
    <n v="0"/>
    <n v="0"/>
    <n v="0"/>
    <n v="0"/>
  </r>
  <r>
    <m/>
    <s v="Átoktatással csökkentett Stipendium Hungaricum képzési támogatás"/>
    <s v="B"/>
    <m/>
    <s v="Stipendium Hungaricum képzési támogatás felosztása általános munkaszámról intézetekre / tanszékekre"/>
    <s v="B"/>
    <n v="333"/>
    <s v="T Képzési finanszírozás átadás"/>
    <n v="0"/>
    <n v="0"/>
    <n v="0"/>
    <n v="0"/>
  </r>
  <r>
    <m/>
    <s v="Átoktatással csökkentett Stipendium Hungaricum képzési támogatás"/>
    <s v="B"/>
    <m/>
    <s v="Stipendium Hungaricum képzési támogatás felosztása általános munkaszámról intézetekre / tanszékekre"/>
    <s v="B"/>
    <n v="333"/>
    <s v="T Képzési finanszírozás átadás"/>
    <n v="0"/>
    <n v="0"/>
    <n v="0"/>
    <n v="0"/>
  </r>
  <r>
    <m/>
    <s v="Átoktatással csökkentett Stipendium Hungaricum képzési támogatás"/>
    <s v="B"/>
    <m/>
    <s v="Stipendium Hungaricum képzési támogatás felosztása általános munkaszámról intézetekre / tanszékekre"/>
    <s v="B"/>
    <n v="333"/>
    <s v="T Képzési finanszírozás átadás"/>
    <n v="0"/>
    <n v="0"/>
    <n v="0"/>
    <n v="0"/>
  </r>
  <r>
    <m/>
    <s v="Átoktatással csökkentett Stipendium Hungaricum képzési támogatás"/>
    <s v="B"/>
    <m/>
    <s v="Stipendium Hungaricum képzési támogatás felosztása hivatalokról intézetekre / tanszékekre"/>
    <s v="B"/>
    <n v="333"/>
    <s v="T Képzési finanszírozás átadás"/>
    <n v="0"/>
    <n v="0"/>
    <n v="0"/>
    <n v="0"/>
  </r>
  <r>
    <m/>
    <s v="Átoktatás átvétel, Stipendium Hungaricum"/>
    <s v="B"/>
    <s v="B24.b. "/>
    <s v="Átoktatás átvétel, Stipendium Hungaricum"/>
    <s v="B"/>
    <n v="349"/>
    <s v="T Átoktatásra támogatás ÁTVÉTEL"/>
    <n v="0"/>
    <n v="0"/>
    <n v="0"/>
    <n v="0"/>
  </r>
  <r>
    <m/>
    <s v="Átoktatás átvétel, Stipendium Hungaricum"/>
    <s v="B"/>
    <s v="B24.b. "/>
    <s v="Átoktatás átvétel, Stipendium Hungaricum támogatás felosztása általános munkaszámról intézetekre / tanszékekre"/>
    <s v="B"/>
    <n v="349"/>
    <s v="T Átoktatásra támogatás ÁTVÉTEL"/>
    <n v="0"/>
    <n v="0"/>
    <n v="0"/>
    <n v="0"/>
  </r>
  <r>
    <m/>
    <s v="Átoktatás átvétel, Stipendium Hungaricum"/>
    <s v="B"/>
    <s v="B24.b. "/>
    <s v="Átoktatás átvétel, Stipendium Hungaricum támogatás felosztása hivatalokról intézetekre / tanszékekre"/>
    <s v="B"/>
    <n v="349"/>
    <s v="T Átoktatásra támogatás ÁTVÉTEL"/>
    <n v="0"/>
    <n v="0"/>
    <n v="0"/>
    <n v="0"/>
  </r>
  <r>
    <n v="40"/>
    <s v="Stipendium Hungaricum szervezési keret - 2020 évi tény 85%-a"/>
    <s v="B"/>
    <s v="B25. "/>
    <s v="Stipendium Hungaricum szervezési keret - 2020. évi tény 85%-a"/>
    <s v="B2A"/>
    <n v="327"/>
    <s v="Működési költségvetés támogatása - Stipendium"/>
    <n v="0"/>
    <n v="0"/>
    <n v="0"/>
    <n v="0"/>
  </r>
  <r>
    <n v="41"/>
    <s v="Szombathelyi működésre ÁKTH elvonás nem ittlévő bevételekből -19 %"/>
    <s v="B"/>
    <s v="B26. "/>
    <s v="Szombathelyi működésre ÁKTH elvonás nem ittlévő bevételekből -19 %"/>
    <m/>
    <m/>
    <s v="ÖSSZEGZŐ SOR"/>
    <n v="-3000022.5866895439"/>
    <n v="-2700020.3280205894"/>
    <n v="-300002.25866895448"/>
    <n v="300002.25866895448"/>
  </r>
  <r>
    <s v="41. a)"/>
    <m/>
    <m/>
    <m/>
    <s v="Szombathelyi működésre ÁKTH elvonás nem ittlévő bevételekből -19 %, idei forrás"/>
    <s v="B2A"/>
    <n v="332"/>
    <s v="T ÁKTH ÁTADÁS"/>
    <n v="-3000022.5866895439"/>
    <n v="-2700020.3280205894"/>
    <n v="-300002.25866895448"/>
    <n v="300002.25866895448"/>
  </r>
  <r>
    <s v="41. b)"/>
    <m/>
    <m/>
    <m/>
    <s v="Szombathelyi működésre ÁKTH elvonás &quot;nem ittlévő&quot; bevételekből -19 %, maradvány"/>
    <s v="MB"/>
    <m/>
    <s v="MARADVÁNY"/>
    <n v="0"/>
    <n v="0"/>
    <n v="0"/>
    <n v="0"/>
  </r>
  <r>
    <n v="42"/>
    <s v="Egyetemi kiválósági alap (digitális transzformációra) elvonás nem ittlévő bevételekből -0,5%"/>
    <s v="B"/>
    <s v="B27. "/>
    <s v="Egyetemi kiválósági alap (digitális transzformációra) elvonás nem ittlévő bevételekből -0,5%"/>
    <m/>
    <m/>
    <s v="ÖSSZEGZŐ SOR"/>
    <n v="-78947.96280761958"/>
    <n v="-71053.166526857618"/>
    <n v="-7894.7962807619624"/>
    <n v="7894.7962807619624"/>
  </r>
  <r>
    <s v="42. a)"/>
    <m/>
    <m/>
    <m/>
    <s v="Egyetemi kiválósági alap (digitális transzformációra) elvonás nem ittlévő bevételekből -0,5%, idei forrás"/>
    <s v="B2A"/>
    <n v="342"/>
    <s v="T Kiválósági Alap"/>
    <n v="-78947.96280761958"/>
    <n v="-71053.166526857618"/>
    <n v="-7894.7962807619624"/>
    <n v="7894.7962807619624"/>
  </r>
  <r>
    <s v="42. b)"/>
    <m/>
    <m/>
    <m/>
    <s v="Egyetemi kiválósági alap (digitális transzformációra) elvonás &quot;nem ittlévő&quot; bevételekből -0,5%, maradvány"/>
    <s v="MB"/>
    <m/>
    <s v="MARADVÁNY"/>
    <n v="0"/>
    <n v="0"/>
    <n v="0"/>
    <n v="0"/>
  </r>
  <r>
    <n v="43"/>
    <s v="Kari kiválósági elvonás még nem ittlévő bevételekből -1,5 %"/>
    <s v="B"/>
    <s v="B28. "/>
    <s v="Kari kiválósági elvonás nem ittlévő bevételekből -1,5 %"/>
    <m/>
    <m/>
    <s v="ÖSSZEGZŐ SOR"/>
    <n v="-236843.8884228587"/>
    <n v="23684.388842285873"/>
    <n v="-260528.27726514457"/>
    <n v="23684.388842285873"/>
  </r>
  <r>
    <s v="43. a)"/>
    <m/>
    <m/>
    <m/>
    <s v="Kari kiválósági elvonás még nem ittlévő bevételekből -1,5 %, idei forrás"/>
    <s v="B2A"/>
    <n v="341"/>
    <s v="T Kari kiválósági keret"/>
    <n v="-236843.8884228587"/>
    <n v="23684.388842285873"/>
    <n v="-260528.27726514457"/>
    <n v="23684.388842285873"/>
  </r>
  <r>
    <s v="43. b)"/>
    <m/>
    <m/>
    <m/>
    <s v="Kari kiválósági elvonás még &quot;nem ittlévő&quot; bevételekből -1,5 %, maradvány"/>
    <s v="MB"/>
    <m/>
    <s v="MARADVÁNY"/>
    <n v="0"/>
    <n v="0"/>
    <n v="0"/>
    <n v="0"/>
  </r>
  <r>
    <n v="44"/>
    <s v="Karnál kiválósági visszahagyás +1,5 %"/>
    <s v="B"/>
    <s v="B29. "/>
    <s v="Karnál kiválósági visszahagyás nem ittlévő bevételekből +1,5 %"/>
    <m/>
    <m/>
    <s v="NEM TERVEZENDŐ"/>
    <n v="236843.8884228587"/>
    <n v="0"/>
    <n v="236843.8884228587"/>
    <n v="0"/>
  </r>
  <r>
    <s v="44. a)"/>
    <m/>
    <m/>
    <m/>
    <s v="Karnál kiválósági visszahagyás még nem ittlévő bevételekből +1,5 %, idei forrás"/>
    <s v="B2A"/>
    <n v="1"/>
    <s v="NEM TERVEZENDŐ"/>
    <n v="236843.8884228587"/>
    <n v="0"/>
    <n v="236843.8884228587"/>
    <n v="0"/>
  </r>
  <r>
    <s v="44. b)"/>
    <m/>
    <m/>
    <m/>
    <s v="Karnál kiválósági visszahagyás még &quot;nem ittlévő&quot; bevételekből +1,5 %, maradvány"/>
    <s v="MB"/>
    <m/>
    <s v="MARADVÁNY"/>
    <n v="0"/>
    <n v="0"/>
    <n v="0"/>
    <n v="0"/>
  </r>
  <r>
    <m/>
    <s v="Bevétel egyenleg III. (Bevétel egyenleg II. + nem ittlévő bevételek)"/>
    <s v="IV."/>
    <s v="B.IV."/>
    <s v="Bevétel egyenleg III. (Bevétel egyenleg II. + nem ittlévő bevételek)"/>
    <m/>
    <m/>
    <m/>
    <n v="330153797.42416179"/>
    <n v="286822548.55920112"/>
    <n v="43331248.86496073"/>
    <n v="338748588.6765632"/>
  </r>
  <r>
    <n v="50"/>
    <s v="Finanszírozás helyi ÁKTH-ból"/>
    <s v="B"/>
    <s v="B31."/>
    <s v="Finanszírozás helyi ÁKTH-ból"/>
    <s v="B"/>
    <m/>
    <m/>
    <n v="0"/>
    <m/>
    <m/>
    <m/>
  </r>
  <r>
    <m/>
    <m/>
    <m/>
    <m/>
    <m/>
    <m/>
    <n v="339"/>
    <s v="T ÁKTH ÁTVÉTEL"/>
    <m/>
    <m/>
    <m/>
    <m/>
  </r>
  <r>
    <m/>
    <m/>
    <m/>
    <m/>
    <m/>
    <m/>
    <n v="295"/>
    <s v="SB ÁKTH ÁTVÉTEL"/>
    <m/>
    <m/>
    <m/>
    <m/>
  </r>
  <r>
    <m/>
    <s v="Bevételátadás belső működésre"/>
    <s v="B"/>
    <s v="B32."/>
    <s v="Bevételátadás belső működésre"/>
    <m/>
    <m/>
    <s v="ÖSSZEGZŐ SOR"/>
    <n v="0"/>
    <n v="0"/>
    <n v="0"/>
    <n v="0"/>
  </r>
  <r>
    <m/>
    <m/>
    <m/>
    <m/>
    <s v="Bevételátadás belső működésre, maradvány"/>
    <m/>
    <m/>
    <s v="MARADVÁNY ÖSSZEGZŐ SOR"/>
    <n v="0"/>
    <n v="0"/>
    <n v="0"/>
    <n v="0"/>
  </r>
  <r>
    <m/>
    <m/>
    <m/>
    <m/>
    <s v="Belső működési átadás xy1"/>
    <s v="MB"/>
    <m/>
    <s v="kitöltés esetén át kell adni bizonylattal"/>
    <n v="0"/>
    <n v="0"/>
    <n v="0"/>
    <n v="0"/>
  </r>
  <r>
    <m/>
    <m/>
    <m/>
    <m/>
    <s v="Belső működési átadás xy2"/>
    <s v="MB"/>
    <m/>
    <s v="kitöltés esetén át kell adni bizonylattal"/>
    <n v="0"/>
    <n v="0"/>
    <n v="0"/>
    <n v="0"/>
  </r>
  <r>
    <m/>
    <m/>
    <m/>
    <m/>
    <s v="Belső működési átadás xy3"/>
    <s v="MB"/>
    <m/>
    <s v="kitöltés esetén át kell adni bizonylattal"/>
    <n v="0"/>
    <n v="0"/>
    <n v="0"/>
    <n v="0"/>
  </r>
  <r>
    <m/>
    <m/>
    <m/>
    <m/>
    <s v="Belső működési átadás xy4"/>
    <s v="MB"/>
    <m/>
    <s v="kitöltés esetén át kell adni bizonylattal"/>
    <n v="0"/>
    <n v="0"/>
    <n v="0"/>
    <n v="0"/>
  </r>
  <r>
    <m/>
    <m/>
    <m/>
    <m/>
    <s v="Belső működési átadás xy5"/>
    <s v="MB"/>
    <m/>
    <s v="kitöltés esetén át kell adni bizonylattal"/>
    <n v="0"/>
    <n v="0"/>
    <n v="0"/>
    <n v="0"/>
  </r>
  <r>
    <m/>
    <m/>
    <m/>
    <m/>
    <s v="Bevételátadás belső működésre, idei forrás"/>
    <m/>
    <m/>
    <s v="ÖSSZEGZŐ SOR"/>
    <n v="0"/>
    <n v="0"/>
    <n v="0"/>
    <n v="0"/>
  </r>
  <r>
    <m/>
    <m/>
    <m/>
    <m/>
    <s v="Bevételátadás belső működésre, idei forrás, saját bevétel"/>
    <m/>
    <m/>
    <s v="ÖSSZEGZŐ SOR"/>
    <n v="0"/>
    <n v="0"/>
    <n v="0"/>
    <n v="0"/>
  </r>
  <r>
    <m/>
    <m/>
    <m/>
    <m/>
    <s v="Belső működési átadás xy1"/>
    <s v="B"/>
    <n v="299"/>
    <s v="SB Belső működési átadás"/>
    <n v="0"/>
    <n v="0"/>
    <n v="0"/>
    <n v="0"/>
  </r>
  <r>
    <m/>
    <m/>
    <m/>
    <m/>
    <s v="Belső működési átadás xy2"/>
    <s v="B"/>
    <n v="299"/>
    <s v="SB Belső működési átadás"/>
    <n v="0"/>
    <n v="0"/>
    <n v="0"/>
    <n v="0"/>
  </r>
  <r>
    <m/>
    <m/>
    <m/>
    <m/>
    <s v="Belső működési átadás xy3"/>
    <s v="B"/>
    <n v="299"/>
    <s v="SB Belső működési átadás"/>
    <n v="0"/>
    <n v="0"/>
    <n v="0"/>
    <n v="0"/>
  </r>
  <r>
    <m/>
    <m/>
    <m/>
    <m/>
    <s v="Belső működési átadás xy4"/>
    <s v="B"/>
    <n v="299"/>
    <s v="SB Belső működési átadás"/>
    <n v="0"/>
    <n v="0"/>
    <n v="0"/>
    <n v="0"/>
  </r>
  <r>
    <m/>
    <m/>
    <m/>
    <m/>
    <s v="Belső működési átadás xy5"/>
    <s v="B"/>
    <n v="299"/>
    <s v="SB Belső működési átadás"/>
    <n v="0"/>
    <n v="0"/>
    <n v="0"/>
    <n v="0"/>
  </r>
  <r>
    <m/>
    <m/>
    <m/>
    <m/>
    <s v="Bevételátadás belső működésre, idei forrás, támogatás"/>
    <m/>
    <m/>
    <s v="ÖSSZEGZŐ SOR"/>
    <n v="0"/>
    <n v="0"/>
    <n v="0"/>
    <n v="0"/>
  </r>
  <r>
    <m/>
    <m/>
    <m/>
    <m/>
    <s v="Belső működési átadás xy1"/>
    <s v="B"/>
    <n v="344"/>
    <s v="T Belső működésre átadás"/>
    <n v="0"/>
    <n v="0"/>
    <n v="0"/>
    <n v="0"/>
  </r>
  <r>
    <m/>
    <m/>
    <m/>
    <m/>
    <s v="Belső működési átadás xy2"/>
    <s v="B"/>
    <n v="344"/>
    <s v="T Belső működésre átadás"/>
    <n v="0"/>
    <n v="0"/>
    <n v="0"/>
    <n v="0"/>
  </r>
  <r>
    <m/>
    <m/>
    <m/>
    <m/>
    <s v="Belső működési átadás xy3"/>
    <s v="B"/>
    <n v="344"/>
    <s v="T Belső működésre átadás"/>
    <n v="0"/>
    <n v="0"/>
    <n v="0"/>
    <n v="0"/>
  </r>
  <r>
    <m/>
    <m/>
    <m/>
    <m/>
    <s v="Belső működési átadás xy4"/>
    <s v="B"/>
    <n v="344"/>
    <s v="T Belső működésre átadás"/>
    <n v="0"/>
    <n v="0"/>
    <n v="0"/>
    <n v="0"/>
  </r>
  <r>
    <m/>
    <m/>
    <m/>
    <m/>
    <s v="Belső működési átadás xy5"/>
    <s v="B"/>
    <n v="344"/>
    <s v="T Belső működésre átadás"/>
    <n v="0"/>
    <n v="0"/>
    <n v="0"/>
    <n v="0"/>
  </r>
  <r>
    <s v="1."/>
    <s v="Személyi kiadások (üzemeltetetés és informatika nélkül)"/>
    <s v="K"/>
    <s v="K1.a."/>
    <s v="Személyi kiadások (kari kiválósági nélkül)"/>
    <s v="K2A"/>
    <m/>
    <s v="ÖSSZEGZŐ SOR"/>
    <n v="169711371.39793551"/>
    <n v="0"/>
    <n v="169711371.39793551"/>
    <n v="0"/>
  </r>
  <r>
    <m/>
    <m/>
    <m/>
    <m/>
    <s v="Személyi kiadások (kari kiválósági nélkül), maradvány"/>
    <s v="MK"/>
    <m/>
    <s v="MARADVÁNY"/>
    <m/>
    <n v="0"/>
    <n v="0"/>
    <n v="0"/>
  </r>
  <r>
    <m/>
    <m/>
    <m/>
    <m/>
    <s v="Személyi kiadások (kari kiválósági nélkül), idei forrás"/>
    <s v="K"/>
    <m/>
    <s v="idei forrás ÖSSZESEN: töltendő, ha nincs alábontás"/>
    <n v="169711371.39793551"/>
    <n v="0"/>
    <n v="169711371.39793551"/>
    <n v="0"/>
  </r>
  <r>
    <m/>
    <m/>
    <m/>
    <m/>
    <s v="Személyi kiadások (kari kiválósági nélkül)"/>
    <s v="K"/>
    <n v="14"/>
    <s v="Oktatók alapilletményei"/>
    <m/>
    <n v="0"/>
    <n v="0"/>
    <n v="0"/>
  </r>
  <r>
    <m/>
    <m/>
    <m/>
    <m/>
    <s v="Személyi kiadások (kari kiválósági nélkül)"/>
    <s v="K"/>
    <n v="15"/>
    <s v="Kutatók alapilletményei"/>
    <m/>
    <n v="0"/>
    <n v="0"/>
    <n v="0"/>
  </r>
  <r>
    <m/>
    <m/>
    <m/>
    <m/>
    <s v="Személyi kiadások (kari kiválósági nélkül)"/>
    <s v="K"/>
    <n v="16"/>
    <s v="Működést támogató közalkalmazottak alapilletményei"/>
    <m/>
    <n v="0"/>
    <n v="0"/>
    <n v="0"/>
  </r>
  <r>
    <m/>
    <m/>
    <m/>
    <m/>
    <s v="Személyi kiadások (kari kiválósági nélkül)"/>
    <s v="K"/>
    <n v="17"/>
    <s v="ALAPILLETMÉNY ÖSSZESEN"/>
    <m/>
    <n v="0"/>
    <n v="0"/>
    <n v="0"/>
  </r>
  <r>
    <m/>
    <m/>
    <m/>
    <m/>
    <s v="Személyi kiadások (kari kiválósági nélkül)"/>
    <s v="K"/>
    <n v="18"/>
    <s v="Illetménykiegészítés"/>
    <m/>
    <n v="0"/>
    <n v="0"/>
    <n v="0"/>
  </r>
  <r>
    <m/>
    <m/>
    <m/>
    <m/>
    <s v="Személyi kiadások (kari kiválósági nélkül)"/>
    <s v="K"/>
    <n v="19"/>
    <s v="Nyelvpótlék"/>
    <m/>
    <n v="0"/>
    <n v="0"/>
    <n v="0"/>
  </r>
  <r>
    <m/>
    <m/>
    <m/>
    <m/>
    <s v="Személyi kiadások (kari kiválósági nélkül)"/>
    <s v="K"/>
    <n v="20"/>
    <s v="Egyéb kötelező illetménypótlékok"/>
    <m/>
    <n v="0"/>
    <n v="0"/>
    <n v="0"/>
  </r>
  <r>
    <m/>
    <m/>
    <m/>
    <m/>
    <s v="Személyi kiadások (kari kiválósági nélkül)"/>
    <s v="K"/>
    <n v="21"/>
    <s v="Egyéb feltételtől függő pótlékok és juttatások"/>
    <m/>
    <n v="0"/>
    <n v="0"/>
    <n v="0"/>
  </r>
  <r>
    <m/>
    <m/>
    <m/>
    <m/>
    <s v="Személyi kiadások (kari kiválósági nélkül)"/>
    <s v="K"/>
    <n v="22"/>
    <s v="Rendszeres keresetkiegészítés"/>
    <m/>
    <n v="0"/>
    <n v="0"/>
    <n v="0"/>
  </r>
  <r>
    <m/>
    <m/>
    <m/>
    <m/>
    <s v="Személyi kiadások (kari kiválósági nélkül)"/>
    <s v="K"/>
    <n v="23"/>
    <s v="Eseti keresetkiegészítés"/>
    <m/>
    <n v="0"/>
    <n v="0"/>
    <n v="0"/>
  </r>
  <r>
    <m/>
    <m/>
    <m/>
    <m/>
    <s v="Személyi kiadások (kari kiválósági nélkül)"/>
    <s v="K"/>
    <n v="24"/>
    <s v="Egyéb juttatások kiadásai"/>
    <m/>
    <n v="0"/>
    <n v="0"/>
    <n v="0"/>
  </r>
  <r>
    <m/>
    <m/>
    <m/>
    <m/>
    <s v="Személyi kiadások (kari kiválósági nélkül)"/>
    <s v="K"/>
    <n v="25"/>
    <s v="Hallgatói munkadíjak"/>
    <m/>
    <n v="0"/>
    <n v="0"/>
    <n v="0"/>
  </r>
  <r>
    <m/>
    <m/>
    <m/>
    <m/>
    <s v="Személyi kiadások (kari kiválósági nélkül)"/>
    <s v="K"/>
    <n v="26"/>
    <s v="Üres álláshelyekre tervezett illetmény (okt+kut+egyéb+hallg)"/>
    <m/>
    <n v="0"/>
    <n v="0"/>
    <n v="0"/>
  </r>
  <r>
    <m/>
    <m/>
    <m/>
    <m/>
    <s v="Személyi kiadások (kari kiválósági nélkül)"/>
    <s v="K"/>
    <n v="27"/>
    <s v="Üres"/>
    <m/>
    <n v="0"/>
    <n v="0"/>
    <n v="0"/>
  </r>
  <r>
    <m/>
    <m/>
    <m/>
    <m/>
    <s v="Személyi kiadások (kari kiválósági nélkül)"/>
    <s v="K"/>
    <n v="28"/>
    <s v="Üres"/>
    <m/>
    <n v="0"/>
    <n v="0"/>
    <n v="0"/>
  </r>
  <r>
    <m/>
    <m/>
    <m/>
    <m/>
    <s v="Személyi kiadások (kari kiválósági nélkül)"/>
    <s v="K"/>
    <n v="29"/>
    <s v="TÖRVÉNY SZERINTI ILLETMÉNYEK"/>
    <m/>
    <n v="0"/>
    <n v="0"/>
    <n v="0"/>
  </r>
  <r>
    <m/>
    <m/>
    <m/>
    <m/>
    <s v="Személyi kiadások (kari kiválósági nélkül)"/>
    <s v="K"/>
    <n v="30"/>
    <s v="Céljuttatás, projektprémium"/>
    <m/>
    <n v="0"/>
    <n v="0"/>
    <n v="0"/>
  </r>
  <r>
    <m/>
    <m/>
    <m/>
    <m/>
    <s v="Személyi kiadások (kari kiválósági nélkül)"/>
    <s v="K"/>
    <n v="31"/>
    <s v="Készenlét. ügyelet. helyettesítési díj, túlóra"/>
    <m/>
    <n v="0"/>
    <n v="0"/>
    <n v="0"/>
  </r>
  <r>
    <m/>
    <m/>
    <m/>
    <m/>
    <s v="Személyi kiadások (kari kiválósági nélkül)"/>
    <s v="K"/>
    <n v="32"/>
    <s v="Végkielégítés"/>
    <m/>
    <n v="0"/>
    <n v="0"/>
    <n v="0"/>
  </r>
  <r>
    <m/>
    <m/>
    <m/>
    <m/>
    <s v="Személyi kiadások (kari kiválósági nélkül)"/>
    <s v="K"/>
    <n v="33"/>
    <s v="Jubileumi jutalom"/>
    <m/>
    <n v="0"/>
    <n v="0"/>
    <n v="0"/>
  </r>
  <r>
    <m/>
    <m/>
    <m/>
    <m/>
    <s v="Személyi kiadások (kari kiválósági nélkül)"/>
    <s v="K"/>
    <n v="34"/>
    <s v="Iskolarendsz.képzés hozzájár."/>
    <m/>
    <n v="0"/>
    <n v="0"/>
    <n v="0"/>
  </r>
  <r>
    <m/>
    <m/>
    <m/>
    <m/>
    <s v="Személyi kiadások (kari kiválósági nélkül)"/>
    <s v="K"/>
    <n v="35"/>
    <s v="Iskolakezdési támogatás teljesítése"/>
    <m/>
    <n v="0"/>
    <n v="0"/>
    <n v="0"/>
  </r>
  <r>
    <m/>
    <m/>
    <m/>
    <m/>
    <s v="Személyi kiadások (kari kiválósági nélkül)"/>
    <s v="K"/>
    <n v="36"/>
    <s v="Egyéb béren kívüli juttatás teljesítése"/>
    <m/>
    <n v="0"/>
    <n v="0"/>
    <n v="0"/>
  </r>
  <r>
    <m/>
    <m/>
    <m/>
    <m/>
    <s v="Személyi kiadások (kari kiválósági nélkül)"/>
    <s v="K"/>
    <n v="37"/>
    <s v="Munkábajárás útiköltsége, bérlet"/>
    <m/>
    <n v="0"/>
    <n v="0"/>
    <n v="0"/>
  </r>
  <r>
    <m/>
    <m/>
    <m/>
    <m/>
    <s v="Személyi kiadások (kari kiválósági nélkül)"/>
    <s v="K"/>
    <n v="38"/>
    <s v="Munkábajárás útiköltsége - saját gk. (9 Ft/km)"/>
    <m/>
    <n v="0"/>
    <n v="0"/>
    <n v="0"/>
  </r>
  <r>
    <m/>
    <m/>
    <m/>
    <m/>
    <s v="Személyi kiadások (kari kiválósági nélkül)"/>
    <s v="K"/>
    <n v="39"/>
    <s v="Egyéb költségtérítések (bankköltség)"/>
    <m/>
    <n v="0"/>
    <n v="0"/>
    <n v="0"/>
  </r>
  <r>
    <m/>
    <m/>
    <m/>
    <m/>
    <s v="Személyi kiadások (kari kiválósági nélkül)"/>
    <s v="K"/>
    <n v="40"/>
    <s v="Lakhatási támogatás,albérleti hozzájárulás"/>
    <m/>
    <n v="0"/>
    <n v="0"/>
    <n v="0"/>
  </r>
  <r>
    <m/>
    <m/>
    <m/>
    <m/>
    <s v="Személyi kiadások (kari kiválósági nélkül)"/>
    <s v="K"/>
    <n v="41"/>
    <s v="Szociális jellegű juttatások"/>
    <m/>
    <n v="0"/>
    <n v="0"/>
    <n v="0"/>
  </r>
  <r>
    <m/>
    <m/>
    <m/>
    <m/>
    <s v="Személyi kiadások (kari kiválósági nélkül)"/>
    <s v="K"/>
    <n v="42"/>
    <s v="Foglalkoztatottak e.szem.jutt.  (Távolléti díj)"/>
    <m/>
    <n v="0"/>
    <n v="0"/>
    <n v="0"/>
  </r>
  <r>
    <m/>
    <m/>
    <m/>
    <m/>
    <s v="Személyi kiadások (kari kiválósági nélkül)"/>
    <s v="K"/>
    <n v="43"/>
    <s v="Saját munkavállaló oktatási megbízási díj"/>
    <m/>
    <n v="0"/>
    <n v="0"/>
    <n v="0"/>
  </r>
  <r>
    <m/>
    <m/>
    <m/>
    <m/>
    <s v="Személyi kiadások (kari kiválósági nélkül)"/>
    <s v="K"/>
    <n v="44"/>
    <s v="Külföldi napidíj teljesítése"/>
    <m/>
    <n v="0"/>
    <n v="0"/>
    <n v="0"/>
  </r>
  <r>
    <m/>
    <m/>
    <m/>
    <m/>
    <s v="Személyi kiadások (kari kiválósági nélkül)"/>
    <s v="K"/>
    <n v="45"/>
    <s v="Bérkompenzáció (teljes és részmunkaidős foglalk.)"/>
    <m/>
    <n v="0"/>
    <n v="0"/>
    <n v="0"/>
  </r>
  <r>
    <m/>
    <m/>
    <m/>
    <m/>
    <s v="Személyi kiadások (kari kiválósági nélkül)"/>
    <s v="K"/>
    <n v="46"/>
    <s v="FOGLALKOZTATOTTAK SZEM. JUTTAT."/>
    <m/>
    <n v="0"/>
    <n v="0"/>
    <n v="0"/>
  </r>
  <r>
    <m/>
    <m/>
    <m/>
    <m/>
    <s v="Személyi kiadások (kari kiválósági nélkül)"/>
    <s v="K"/>
    <n v="47"/>
    <s v="Külső megbízott megbízási díj teljesítése"/>
    <m/>
    <n v="0"/>
    <n v="0"/>
    <n v="0"/>
  </r>
  <r>
    <m/>
    <m/>
    <m/>
    <m/>
    <s v="Személyi kiadások (kari kiválósági nélkül)"/>
    <s v="K"/>
    <n v="48"/>
    <s v="Külsős tiszteletdíj,szerzői díj,honoráriuma"/>
    <m/>
    <n v="0"/>
    <n v="0"/>
    <n v="0"/>
  </r>
  <r>
    <m/>
    <m/>
    <m/>
    <m/>
    <s v="Személyi kiadások (kari kiválósági nélkül)"/>
    <s v="K"/>
    <n v="49"/>
    <s v="Külsős belföldi napidíj teljesítése"/>
    <m/>
    <n v="0"/>
    <n v="0"/>
    <n v="0"/>
  </r>
  <r>
    <m/>
    <m/>
    <m/>
    <m/>
    <s v="Személyi kiadások (kari kiválósági nélkül)"/>
    <s v="K"/>
    <n v="50"/>
    <s v="Külsős külföldi napidíj teljesítése"/>
    <m/>
    <n v="0"/>
    <n v="0"/>
    <n v="0"/>
  </r>
  <r>
    <m/>
    <m/>
    <m/>
    <m/>
    <s v="Személyi kiadások (kari kiválósági nélkül)"/>
    <s v="K"/>
    <n v="51"/>
    <s v="MVÉGZÉSRE IR. E. JOGVISZONYBAN FIZETETT JUTTATÁSOK"/>
    <m/>
    <n v="0"/>
    <n v="0"/>
    <n v="0"/>
  </r>
  <r>
    <m/>
    <m/>
    <m/>
    <m/>
    <s v="Személyi kiadások (kari kiválósági nélkül)"/>
    <s v="K"/>
    <n v="52"/>
    <s v="Felmentési bér teljesítése"/>
    <m/>
    <n v="0"/>
    <n v="0"/>
    <n v="0"/>
  </r>
  <r>
    <m/>
    <m/>
    <m/>
    <m/>
    <s v="Személyi kiadások (kari kiválósági nélkül)"/>
    <s v="K"/>
    <n v="53"/>
    <s v="Munkaviszonyban nem állók költségtérítése"/>
    <m/>
    <n v="0"/>
    <n v="0"/>
    <n v="0"/>
  </r>
  <r>
    <m/>
    <m/>
    <m/>
    <m/>
    <s v="Személyi kiadások (kari kiválósági nélkül)"/>
    <s v="K"/>
    <n v="54"/>
    <s v="Ktg.és egyéb juttatások"/>
    <m/>
    <n v="0"/>
    <n v="0"/>
    <n v="0"/>
  </r>
  <r>
    <m/>
    <m/>
    <m/>
    <m/>
    <s v="Személyi kiadások (kari kiválósági nélkül)"/>
    <s v="K"/>
    <n v="55"/>
    <s v="Ktg.és egyéb jutt./vas.gyém.rubin okl.,ö.díj kieg.,OTKA p.)"/>
    <m/>
    <n v="0"/>
    <n v="0"/>
    <n v="0"/>
  </r>
  <r>
    <m/>
    <m/>
    <m/>
    <m/>
    <s v="Személyi kiadások (kari kiválósági nélkül)"/>
    <s v="K"/>
    <n v="56"/>
    <s v="Reprezentáció"/>
    <m/>
    <n v="0"/>
    <n v="0"/>
    <n v="0"/>
  </r>
  <r>
    <m/>
    <m/>
    <m/>
    <m/>
    <s v="Személyi kiadások (kari kiválósági nélkül)"/>
    <s v="K"/>
    <n v="57"/>
    <s v="EGYÉB KÜLSŐ SZEMÉLYI JUTTATÁSOK"/>
    <m/>
    <n v="0"/>
    <n v="0"/>
    <n v="0"/>
  </r>
  <r>
    <m/>
    <m/>
    <m/>
    <m/>
    <s v="Személyi kiadások (kari kiválósági nélkül)"/>
    <s v="K"/>
    <n v="58"/>
    <s v="KÜLSŐ SZEMÉLYI JUTTATÁSOK"/>
    <m/>
    <n v="0"/>
    <n v="0"/>
    <n v="0"/>
  </r>
  <r>
    <m/>
    <m/>
    <m/>
    <m/>
    <s v="Személyi kiadások (kari kiválósági nélkül)"/>
    <s v="K"/>
    <n v="59"/>
    <s v="SZEMÉLYI JUTTATÁSOK"/>
    <m/>
    <n v="0"/>
    <n v="0"/>
    <n v="0"/>
  </r>
  <r>
    <m/>
    <m/>
    <m/>
    <m/>
    <s v="Személyi kiadások (kari kiválósági nélkül)"/>
    <s v="K"/>
    <n v="60"/>
    <s v="SZOCHÓ (15,5%)"/>
    <m/>
    <n v="0"/>
    <n v="0"/>
    <n v="0"/>
  </r>
  <r>
    <m/>
    <m/>
    <m/>
    <m/>
    <s v="Személyi kiadások (kari kiválósági nélkül)"/>
    <s v="K"/>
    <n v="61"/>
    <s v="Üres"/>
    <m/>
    <n v="0"/>
    <n v="0"/>
    <n v="0"/>
  </r>
  <r>
    <m/>
    <m/>
    <m/>
    <m/>
    <s v="Személyi kiadások (kari kiválósági nélkül)"/>
    <s v="K"/>
    <n v="62"/>
    <s v="EKHO (15,5%)"/>
    <m/>
    <n v="0"/>
    <n v="0"/>
    <n v="0"/>
  </r>
  <r>
    <m/>
    <m/>
    <m/>
    <m/>
    <s v="Személyi kiadások (kari kiválósági nélkül)"/>
    <s v="K"/>
    <n v="63"/>
    <s v="Kifizetői 15,5 %-os SZOCHO"/>
    <m/>
    <n v="0"/>
    <n v="0"/>
    <n v="0"/>
  </r>
  <r>
    <m/>
    <m/>
    <m/>
    <m/>
    <s v="Személyi kiadások (kari kiválósági nélkül)"/>
    <s v="K"/>
    <n v="64"/>
    <s v="Kifizető által fizetett SZJA"/>
    <m/>
    <n v="0"/>
    <n v="0"/>
    <n v="0"/>
  </r>
  <r>
    <m/>
    <m/>
    <m/>
    <m/>
    <s v="Személyi kiadások (kari kiválósági nélkül)"/>
    <s v="K"/>
    <n v="65"/>
    <s v="Rehabilitációs hozzájárulás"/>
    <m/>
    <n v="0"/>
    <n v="0"/>
    <n v="0"/>
  </r>
  <r>
    <m/>
    <m/>
    <m/>
    <m/>
    <s v="Személyi kiadások (kari kiválósági nélkül)"/>
    <s v="K"/>
    <n v="66"/>
    <s v="MUNKAADÓKAT T.JÁRULÉKOK ÉS SZOCIÁLIS HOZZÁJÁRULÁSI ADÓ"/>
    <m/>
    <n v="0"/>
    <n v="0"/>
    <n v="0"/>
  </r>
  <r>
    <s v="4."/>
    <m/>
    <m/>
    <m/>
    <s v="Lektori finanszírozás megszüntetése miatti kiadásnövekmény"/>
    <s v="K2A"/>
    <m/>
    <s v="ÖSSZEGZŐ SOR"/>
    <n v="0"/>
    <n v="0"/>
    <n v="0"/>
    <n v="0"/>
  </r>
  <r>
    <m/>
    <s v="Személyi kiadások (üzemeltetetés és informatika nélkül)"/>
    <s v="K"/>
    <s v="K1.a."/>
    <s v="Lektori finanszírozás megszüntetése miatti kiadásnövekmény, személyi összesen"/>
    <m/>
    <m/>
    <m/>
    <n v="0"/>
    <n v="0"/>
    <n v="0"/>
    <n v="0"/>
  </r>
  <r>
    <m/>
    <m/>
    <m/>
    <m/>
    <s v="Lektori finanszírozás megszüntetése miatti kiadásnövekmény, személyi, maradvány"/>
    <s v="MK"/>
    <m/>
    <s v="MARADVÁNY"/>
    <m/>
    <n v="0"/>
    <n v="0"/>
    <n v="0"/>
  </r>
  <r>
    <m/>
    <m/>
    <m/>
    <m/>
    <s v="Lektori finanszírozás megszüntetése miatti kiadásnövekmény, személyi, idei forrás összesen"/>
    <s v="K"/>
    <m/>
    <s v="idei forrás ÖSSZESEN: töltendő, ha nincs alábontás"/>
    <m/>
    <n v="0"/>
    <n v="0"/>
    <n v="0"/>
  </r>
  <r>
    <m/>
    <m/>
    <m/>
    <m/>
    <s v="Lektori finanszírozás megszüntetése miatti kiadásnövekmény"/>
    <s v="K"/>
    <n v="14"/>
    <s v="Oktatók alapilletményei"/>
    <m/>
    <n v="0"/>
    <n v="0"/>
    <n v="0"/>
  </r>
  <r>
    <m/>
    <m/>
    <m/>
    <m/>
    <s v="Lektori finanszírozás megszüntetése miatti kiadásnövekmény"/>
    <s v="K"/>
    <n v="15"/>
    <s v="Kutatók alapilletményei"/>
    <m/>
    <n v="0"/>
    <n v="0"/>
    <n v="0"/>
  </r>
  <r>
    <m/>
    <m/>
    <m/>
    <m/>
    <s v="Lektori finanszírozás megszüntetése miatti kiadásnövekmény"/>
    <s v="K"/>
    <n v="16"/>
    <s v="Működést támogató közalkalmazottak alapilletményei"/>
    <m/>
    <n v="0"/>
    <n v="0"/>
    <n v="0"/>
  </r>
  <r>
    <m/>
    <m/>
    <m/>
    <m/>
    <s v="Lektori finanszírozás megszüntetése miatti kiadásnövekmény"/>
    <s v="K"/>
    <n v="17"/>
    <s v="ALAPILLETMÉNY ÖSSZESEN"/>
    <m/>
    <n v="0"/>
    <n v="0"/>
    <n v="0"/>
  </r>
  <r>
    <m/>
    <m/>
    <m/>
    <m/>
    <s v="Lektori finanszírozás megszüntetése miatti kiadásnövekmény"/>
    <s v="K"/>
    <n v="18"/>
    <s v="Illetménykiegészítés"/>
    <m/>
    <n v="0"/>
    <n v="0"/>
    <n v="0"/>
  </r>
  <r>
    <m/>
    <m/>
    <m/>
    <m/>
    <s v="Lektori finanszírozás megszüntetése miatti kiadásnövekmény"/>
    <s v="K"/>
    <n v="19"/>
    <s v="Nyelvpótlék"/>
    <m/>
    <n v="0"/>
    <n v="0"/>
    <n v="0"/>
  </r>
  <r>
    <m/>
    <m/>
    <m/>
    <m/>
    <s v="Lektori finanszírozás megszüntetése miatti kiadásnövekmény"/>
    <s v="K"/>
    <n v="20"/>
    <s v="Egyéb kötelező illetménypótlékok"/>
    <m/>
    <n v="0"/>
    <n v="0"/>
    <n v="0"/>
  </r>
  <r>
    <m/>
    <m/>
    <m/>
    <m/>
    <s v="Lektori finanszírozás megszüntetése miatti kiadásnövekmény"/>
    <s v="K"/>
    <n v="21"/>
    <s v="Egyéb feltételtől függő pótlékok és juttatások"/>
    <m/>
    <n v="0"/>
    <n v="0"/>
    <n v="0"/>
  </r>
  <r>
    <m/>
    <m/>
    <m/>
    <m/>
    <s v="Lektori finanszírozás megszüntetése miatti kiadásnövekmény"/>
    <s v="K"/>
    <n v="22"/>
    <s v="Rendszeres keresetkiegészítés"/>
    <m/>
    <n v="0"/>
    <n v="0"/>
    <n v="0"/>
  </r>
  <r>
    <m/>
    <m/>
    <m/>
    <m/>
    <s v="Lektori finanszírozás megszüntetése miatti kiadásnövekmény"/>
    <s v="K"/>
    <n v="23"/>
    <s v="Eseti keresetkiegészítés"/>
    <m/>
    <n v="0"/>
    <n v="0"/>
    <n v="0"/>
  </r>
  <r>
    <m/>
    <m/>
    <m/>
    <m/>
    <s v="Lektori finanszírozás megszüntetése miatti kiadásnövekmény"/>
    <s v="K"/>
    <n v="24"/>
    <s v="Egyéb juttatások kiadásai"/>
    <m/>
    <n v="0"/>
    <n v="0"/>
    <n v="0"/>
  </r>
  <r>
    <m/>
    <m/>
    <m/>
    <m/>
    <s v="Lektori finanszírozás megszüntetése miatti kiadásnövekmény"/>
    <s v="K"/>
    <n v="25"/>
    <s v="Hallgatói munkadíjak"/>
    <m/>
    <n v="0"/>
    <n v="0"/>
    <n v="0"/>
  </r>
  <r>
    <m/>
    <m/>
    <m/>
    <m/>
    <s v="Lektori finanszírozás megszüntetése miatti kiadásnövekmény"/>
    <s v="K"/>
    <n v="26"/>
    <s v="Üres álláshelyekre tervezett illetmény (okt+kut+egyéb+hallg)"/>
    <m/>
    <n v="0"/>
    <n v="0"/>
    <n v="0"/>
  </r>
  <r>
    <m/>
    <m/>
    <m/>
    <m/>
    <s v="Lektori finanszírozás megszüntetése miatti kiadásnövekmény"/>
    <s v="K"/>
    <n v="27"/>
    <s v="Üres"/>
    <m/>
    <n v="0"/>
    <n v="0"/>
    <n v="0"/>
  </r>
  <r>
    <m/>
    <m/>
    <m/>
    <m/>
    <s v="Lektori finanszírozás megszüntetése miatti kiadásnövekmény"/>
    <s v="K"/>
    <n v="28"/>
    <s v="Üres"/>
    <m/>
    <n v="0"/>
    <n v="0"/>
    <n v="0"/>
  </r>
  <r>
    <m/>
    <m/>
    <m/>
    <m/>
    <s v="Lektori finanszírozás megszüntetése miatti kiadásnövekmény"/>
    <s v="K"/>
    <n v="29"/>
    <s v="TÖRVÉNY SZERINTI ILLETMÉNYEK"/>
    <m/>
    <n v="0"/>
    <n v="0"/>
    <n v="0"/>
  </r>
  <r>
    <m/>
    <m/>
    <m/>
    <m/>
    <s v="Lektori finanszírozás megszüntetése miatti kiadásnövekmény"/>
    <s v="K"/>
    <n v="30"/>
    <s v="Céljuttatás, projektprémium"/>
    <m/>
    <n v="0"/>
    <n v="0"/>
    <n v="0"/>
  </r>
  <r>
    <m/>
    <m/>
    <m/>
    <m/>
    <s v="Lektori finanszírozás megszüntetése miatti kiadásnövekmény"/>
    <s v="K"/>
    <n v="31"/>
    <s v="Készenlét. ügyelet. helyettesítési díj, túlóra"/>
    <m/>
    <n v="0"/>
    <n v="0"/>
    <n v="0"/>
  </r>
  <r>
    <m/>
    <m/>
    <m/>
    <m/>
    <s v="Lektori finanszírozás megszüntetése miatti kiadásnövekmény"/>
    <s v="K"/>
    <n v="32"/>
    <s v="Végkielégítés"/>
    <m/>
    <n v="0"/>
    <n v="0"/>
    <n v="0"/>
  </r>
  <r>
    <m/>
    <m/>
    <m/>
    <m/>
    <s v="Lektori finanszírozás megszüntetése miatti kiadásnövekmény"/>
    <s v="K"/>
    <n v="33"/>
    <s v="Jubileumi jutalom"/>
    <m/>
    <n v="0"/>
    <n v="0"/>
    <n v="0"/>
  </r>
  <r>
    <m/>
    <m/>
    <m/>
    <m/>
    <s v="Lektori finanszírozás megszüntetése miatti kiadásnövekmény"/>
    <s v="K"/>
    <n v="34"/>
    <s v="Iskolarendsz.képzés hozzájár."/>
    <m/>
    <n v="0"/>
    <n v="0"/>
    <n v="0"/>
  </r>
  <r>
    <m/>
    <m/>
    <m/>
    <m/>
    <s v="Lektori finanszírozás megszüntetése miatti kiadásnövekmény"/>
    <s v="K"/>
    <n v="35"/>
    <s v="Iskolakezdési támogatás teljesítése"/>
    <m/>
    <n v="0"/>
    <n v="0"/>
    <n v="0"/>
  </r>
  <r>
    <m/>
    <m/>
    <m/>
    <m/>
    <s v="Lektori finanszírozás megszüntetése miatti kiadásnövekmény"/>
    <s v="K"/>
    <n v="36"/>
    <s v="Egyéb béren kívüli juttatás teljesítése"/>
    <m/>
    <n v="0"/>
    <n v="0"/>
    <n v="0"/>
  </r>
  <r>
    <m/>
    <m/>
    <m/>
    <m/>
    <s v="Lektori finanszírozás megszüntetése miatti kiadásnövekmény"/>
    <s v="K"/>
    <n v="37"/>
    <s v="Munkábajárás útiköltsége, bérlet"/>
    <m/>
    <n v="0"/>
    <n v="0"/>
    <n v="0"/>
  </r>
  <r>
    <m/>
    <m/>
    <m/>
    <m/>
    <s v="Lektori finanszírozás megszüntetése miatti kiadásnövekmény"/>
    <s v="K"/>
    <n v="38"/>
    <s v="Munkábajárás útiköltsége - saját gk. (9 Ft/km)"/>
    <m/>
    <n v="0"/>
    <n v="0"/>
    <n v="0"/>
  </r>
  <r>
    <m/>
    <m/>
    <m/>
    <m/>
    <s v="Lektori finanszírozás megszüntetése miatti kiadásnövekmény"/>
    <s v="K"/>
    <n v="39"/>
    <s v="Egyéb költségtérítések (bankköltség)"/>
    <m/>
    <n v="0"/>
    <n v="0"/>
    <n v="0"/>
  </r>
  <r>
    <m/>
    <m/>
    <m/>
    <m/>
    <s v="Lektori finanszírozás megszüntetése miatti kiadásnövekmény"/>
    <s v="K"/>
    <n v="40"/>
    <s v="Lakhatási támogatás,albérleti hozzájárulás"/>
    <m/>
    <n v="0"/>
    <n v="0"/>
    <n v="0"/>
  </r>
  <r>
    <m/>
    <m/>
    <m/>
    <m/>
    <s v="Lektori finanszírozás megszüntetése miatti kiadásnövekmény"/>
    <s v="K"/>
    <n v="41"/>
    <s v="Szociális jellegű juttatások"/>
    <m/>
    <n v="0"/>
    <n v="0"/>
    <n v="0"/>
  </r>
  <r>
    <m/>
    <m/>
    <m/>
    <m/>
    <s v="Lektori finanszírozás megszüntetése miatti kiadásnövekmény"/>
    <s v="K"/>
    <n v="42"/>
    <s v="Foglalkoztatottak e.szem.jutt.  (Távolléti díj)"/>
    <m/>
    <n v="0"/>
    <n v="0"/>
    <n v="0"/>
  </r>
  <r>
    <m/>
    <m/>
    <m/>
    <m/>
    <s v="Lektori finanszírozás megszüntetése miatti kiadásnövekmény"/>
    <s v="K"/>
    <n v="43"/>
    <s v="Saját munkavállaló oktatási megbízási díj"/>
    <m/>
    <n v="0"/>
    <n v="0"/>
    <n v="0"/>
  </r>
  <r>
    <m/>
    <m/>
    <m/>
    <m/>
    <s v="Lektori finanszírozás megszüntetése miatti kiadásnövekmény"/>
    <s v="K"/>
    <n v="44"/>
    <s v="Külföldi napidíj teljesítése"/>
    <m/>
    <n v="0"/>
    <n v="0"/>
    <n v="0"/>
  </r>
  <r>
    <m/>
    <m/>
    <m/>
    <m/>
    <s v="Lektori finanszírozás megszüntetése miatti kiadásnövekmény"/>
    <s v="K"/>
    <n v="45"/>
    <s v="Bérkompenzáció (teljes és részmunkaidős foglalk.)"/>
    <m/>
    <n v="0"/>
    <n v="0"/>
    <n v="0"/>
  </r>
  <r>
    <m/>
    <m/>
    <m/>
    <m/>
    <s v="Lektori finanszírozás megszüntetése miatti kiadásnövekmény"/>
    <s v="K"/>
    <n v="46"/>
    <s v="FOGLALKOZTATOTTAK SZEM. JUTTAT."/>
    <m/>
    <n v="0"/>
    <n v="0"/>
    <n v="0"/>
  </r>
  <r>
    <m/>
    <m/>
    <m/>
    <m/>
    <s v="Lektori finanszírozás megszüntetése miatti kiadásnövekmény"/>
    <s v="K"/>
    <n v="47"/>
    <s v="Külső megbízott megbízási díj teljesítése"/>
    <m/>
    <n v="0"/>
    <n v="0"/>
    <n v="0"/>
  </r>
  <r>
    <m/>
    <m/>
    <m/>
    <m/>
    <s v="Lektori finanszírozás megszüntetése miatti kiadásnövekmény"/>
    <s v="K"/>
    <n v="48"/>
    <s v="Külsős tiszteletdíj,szerzői díj,honoráriuma"/>
    <m/>
    <n v="0"/>
    <n v="0"/>
    <n v="0"/>
  </r>
  <r>
    <m/>
    <m/>
    <m/>
    <m/>
    <s v="Lektori finanszírozás megszüntetése miatti kiadásnövekmény"/>
    <s v="K"/>
    <n v="49"/>
    <s v="Külsős belföldi napidíj teljesítése"/>
    <m/>
    <n v="0"/>
    <n v="0"/>
    <n v="0"/>
  </r>
  <r>
    <m/>
    <m/>
    <m/>
    <m/>
    <s v="Lektori finanszírozás megszüntetése miatti kiadásnövekmény"/>
    <s v="K"/>
    <n v="50"/>
    <s v="Külsős külföldi napidíj teljesítése"/>
    <m/>
    <n v="0"/>
    <n v="0"/>
    <n v="0"/>
  </r>
  <r>
    <m/>
    <m/>
    <m/>
    <m/>
    <s v="Lektori finanszírozás megszüntetése miatti kiadásnövekmény"/>
    <s v="K"/>
    <n v="51"/>
    <s v="MVÉGZÉSRE IR. E. JOGVISZONYBAN FIZETETT JUTTATÁSOK"/>
    <m/>
    <n v="0"/>
    <n v="0"/>
    <n v="0"/>
  </r>
  <r>
    <m/>
    <m/>
    <m/>
    <m/>
    <s v="Lektori finanszírozás megszüntetése miatti kiadásnövekmény"/>
    <s v="K"/>
    <n v="52"/>
    <s v="Felmentési bér teljesítése"/>
    <m/>
    <n v="0"/>
    <n v="0"/>
    <n v="0"/>
  </r>
  <r>
    <m/>
    <m/>
    <m/>
    <m/>
    <s v="Lektori finanszírozás megszüntetése miatti kiadásnövekmény"/>
    <s v="K"/>
    <n v="53"/>
    <s v="Munkaviszonyban nem állók költségtérítése"/>
    <m/>
    <n v="0"/>
    <n v="0"/>
    <n v="0"/>
  </r>
  <r>
    <m/>
    <m/>
    <m/>
    <m/>
    <s v="Lektori finanszírozás megszüntetése miatti kiadásnövekmény"/>
    <s v="K"/>
    <n v="54"/>
    <s v="Ktg.és egyéb juttatások"/>
    <m/>
    <n v="0"/>
    <n v="0"/>
    <n v="0"/>
  </r>
  <r>
    <m/>
    <m/>
    <m/>
    <m/>
    <s v="Lektori finanszírozás megszüntetése miatti kiadásnövekmény"/>
    <s v="K"/>
    <n v="55"/>
    <s v="Ktg.és egyéb jutt./vas.gyém.rubin okl.,ö.díj kieg.,OTKA p.)"/>
    <m/>
    <n v="0"/>
    <n v="0"/>
    <n v="0"/>
  </r>
  <r>
    <m/>
    <m/>
    <m/>
    <m/>
    <s v="Lektori finanszírozás megszüntetése miatti kiadásnövekmény"/>
    <s v="K"/>
    <n v="56"/>
    <s v="Reprezentáció"/>
    <m/>
    <n v="0"/>
    <n v="0"/>
    <n v="0"/>
  </r>
  <r>
    <m/>
    <m/>
    <m/>
    <m/>
    <s v="Lektori finanszírozás megszüntetése miatti kiadásnövekmény"/>
    <s v="K"/>
    <n v="57"/>
    <s v="EGYÉB KÜLSŐ SZEMÉLYI JUTTATÁSOK"/>
    <m/>
    <n v="0"/>
    <n v="0"/>
    <n v="0"/>
  </r>
  <r>
    <m/>
    <m/>
    <m/>
    <m/>
    <s v="Lektori finanszírozás megszüntetése miatti kiadásnövekmény"/>
    <s v="K"/>
    <n v="58"/>
    <s v="KÜLSŐ SZEMÉLYI JUTTATÁSOK"/>
    <m/>
    <n v="0"/>
    <n v="0"/>
    <n v="0"/>
  </r>
  <r>
    <m/>
    <m/>
    <m/>
    <m/>
    <s v="Lektori finanszírozás megszüntetése miatti kiadásnövekmény"/>
    <s v="K"/>
    <n v="59"/>
    <s v="SZEMÉLYI JUTTATÁSOK"/>
    <m/>
    <n v="0"/>
    <n v="0"/>
    <n v="0"/>
  </r>
  <r>
    <m/>
    <m/>
    <m/>
    <m/>
    <s v="Lektori finanszírozás megszüntetése miatti kiadásnövekmény"/>
    <s v="K"/>
    <n v="60"/>
    <s v="SZOCHÓ (15,5%)"/>
    <m/>
    <n v="0"/>
    <n v="0"/>
    <n v="0"/>
  </r>
  <r>
    <m/>
    <m/>
    <m/>
    <m/>
    <s v="Lektori finanszírozás megszüntetése miatti kiadásnövekmény"/>
    <s v="K"/>
    <n v="61"/>
    <s v="Üres"/>
    <m/>
    <n v="0"/>
    <n v="0"/>
    <n v="0"/>
  </r>
  <r>
    <m/>
    <m/>
    <m/>
    <m/>
    <s v="Lektori finanszírozás megszüntetése miatti kiadásnövekmény"/>
    <s v="K"/>
    <n v="62"/>
    <s v="EKHO (15,5%)"/>
    <m/>
    <n v="0"/>
    <n v="0"/>
    <n v="0"/>
  </r>
  <r>
    <m/>
    <m/>
    <m/>
    <m/>
    <s v="Lektori finanszírozás megszüntetése miatti kiadásnövekmény"/>
    <s v="K"/>
    <n v="63"/>
    <s v="Kifizetői 15,5 %-os SZOCHO"/>
    <m/>
    <n v="0"/>
    <n v="0"/>
    <n v="0"/>
  </r>
  <r>
    <m/>
    <m/>
    <m/>
    <m/>
    <s v="Lektori finanszírozás megszüntetése miatti kiadásnövekmény"/>
    <s v="K"/>
    <n v="64"/>
    <s v="Kifizető által fizetett SZJA"/>
    <m/>
    <n v="0"/>
    <n v="0"/>
    <n v="0"/>
  </r>
  <r>
    <m/>
    <m/>
    <m/>
    <m/>
    <s v="Lektori finanszírozás megszüntetése miatti kiadásnövekmény"/>
    <s v="K"/>
    <n v="65"/>
    <s v="Rehabilitációs hozzájárulás"/>
    <m/>
    <n v="0"/>
    <n v="0"/>
    <n v="0"/>
  </r>
  <r>
    <m/>
    <m/>
    <m/>
    <m/>
    <s v="Lektori finanszírozás megszüntetése miatti kiadásnövekmény"/>
    <s v="K"/>
    <n v="66"/>
    <s v="MUNKAADÓKAT T.JÁRULÉKOK ÉS SZOCIÁLIS HOZZÁJÁRULÁSI ADÓ"/>
    <m/>
    <n v="0"/>
    <n v="0"/>
    <n v="0"/>
  </r>
  <r>
    <m/>
    <s v="Dologi kiadások (üzemeltetetés és informatika nélkül)"/>
    <s v="K"/>
    <s v="K2.a. "/>
    <s v="Lektori finanszírozás megszüntetése miatti kiadásnövekmény, dologi összesen"/>
    <m/>
    <m/>
    <m/>
    <m/>
    <n v="0"/>
    <n v="0"/>
    <n v="0"/>
  </r>
  <r>
    <m/>
    <m/>
    <m/>
    <m/>
    <s v="Lektori finanszírozás megszüntetése miatti kiadásnövekmény, dologi, maradvány"/>
    <s v="MK"/>
    <m/>
    <s v="MARADVÁNY"/>
    <n v="0"/>
    <n v="0"/>
    <n v="0"/>
    <n v="0"/>
  </r>
  <r>
    <m/>
    <m/>
    <m/>
    <m/>
    <s v="Lektori finanszírozás megszüntetése miatti kiadásnövekmény, dologi, idei forrás összesen"/>
    <s v="K"/>
    <m/>
    <s v="idei forrás ÖSSZESEN: töltendő, ha nincs alábontás"/>
    <m/>
    <n v="0"/>
    <n v="0"/>
    <n v="0"/>
  </r>
  <r>
    <m/>
    <m/>
    <m/>
    <m/>
    <s v="Lektori finanszírozás megszüntetése miatti kiadásnövekmény, idei forrás, dologi"/>
    <s v="K"/>
    <n v="67"/>
    <s v="Gyógyszerbeszerzés"/>
    <m/>
    <n v="0"/>
    <n v="0"/>
    <n v="0"/>
  </r>
  <r>
    <m/>
    <m/>
    <m/>
    <m/>
    <s v="Lektori finanszírozás megszüntetése miatti kiadásnövekmény, idei forrás, dologi"/>
    <s v="K"/>
    <n v="68"/>
    <s v="Vegyszerbeszerzés"/>
    <m/>
    <n v="0"/>
    <n v="0"/>
    <n v="0"/>
  </r>
  <r>
    <m/>
    <m/>
    <m/>
    <m/>
    <s v="Lektori finanszírozás megszüntetése miatti kiadásnövekmény, idei forrás, dologi"/>
    <s v="K"/>
    <n v="69"/>
    <s v="Egyéb szakmai anyagbeszerzés"/>
    <m/>
    <n v="0"/>
    <n v="0"/>
    <n v="0"/>
  </r>
  <r>
    <m/>
    <m/>
    <m/>
    <m/>
    <s v="Lektori finanszírozás megszüntetése miatti kiadásnövekmény, idei forrás, dologi"/>
    <s v="K"/>
    <n v="70"/>
    <s v="Könyvbeszerzés (5% ÁFA)"/>
    <m/>
    <n v="0"/>
    <n v="0"/>
    <n v="0"/>
  </r>
  <r>
    <m/>
    <m/>
    <m/>
    <m/>
    <s v="Lektori finanszírozás megszüntetése miatti kiadásnövekmény, idei forrás, dologi"/>
    <s v="K"/>
    <n v="71"/>
    <s v="Egy éven belül elhasználódó szakmai anyag"/>
    <m/>
    <n v="0"/>
    <n v="0"/>
    <n v="0"/>
  </r>
  <r>
    <m/>
    <m/>
    <m/>
    <m/>
    <s v="Lektori finanszírozás megszüntetése miatti kiadásnövekmény, idei forrás, dologi"/>
    <s v="K"/>
    <n v="73"/>
    <s v="Irodaszer. sokszorosítási. számítástechnikai anyagok"/>
    <m/>
    <n v="0"/>
    <n v="0"/>
    <n v="0"/>
  </r>
  <r>
    <m/>
    <m/>
    <m/>
    <m/>
    <s v="Lektori finanszírozás megszüntetése miatti kiadásnövekmény, idei forrás, dologi"/>
    <s v="K"/>
    <n v="74"/>
    <s v="Nyomtatvány beszerzés"/>
    <m/>
    <n v="0"/>
    <n v="0"/>
    <n v="0"/>
  </r>
  <r>
    <m/>
    <m/>
    <m/>
    <m/>
    <s v="Lektori finanszírozás megszüntetése miatti kiadásnövekmény, idei forrás, dologi"/>
    <s v="K"/>
    <n v="75"/>
    <s v="Hajtó- és kenőanyag beszerzése"/>
    <m/>
    <n v="0"/>
    <n v="0"/>
    <n v="0"/>
  </r>
  <r>
    <m/>
    <m/>
    <m/>
    <m/>
    <s v="Lektori finanszírozás megszüntetése miatti kiadásnövekmény, idei forrás, dologi"/>
    <s v="K"/>
    <n v="76"/>
    <s v="Munka-. védő- és formaruha beszerzés"/>
    <m/>
    <n v="0"/>
    <n v="0"/>
    <n v="0"/>
  </r>
  <r>
    <m/>
    <m/>
    <m/>
    <m/>
    <s v="Lektori finanszírozás megszüntetése miatti kiadásnövekmény, idei forrás, dologi"/>
    <s v="K"/>
    <n v="77"/>
    <s v="Karbantartási anyagok. alkatrészek.szerszámok beszerz"/>
    <m/>
    <n v="0"/>
    <n v="0"/>
    <n v="0"/>
  </r>
  <r>
    <m/>
    <m/>
    <m/>
    <m/>
    <s v="Lektori finanszírozás megszüntetése miatti kiadásnövekmény, idei forrás, dologi"/>
    <s v="K"/>
    <n v="78"/>
    <s v="Bútorok.berend..felszer. tárgyak. textíliák beszerz."/>
    <m/>
    <n v="0"/>
    <n v="0"/>
    <n v="0"/>
  </r>
  <r>
    <m/>
    <m/>
    <m/>
    <m/>
    <s v="Lektori finanszírozás megszüntetése miatti kiadásnövekmény, idei forrás, dologi"/>
    <s v="K"/>
    <n v="79"/>
    <s v="Tisztítószerek. tisztálkodási szerek beszerzése"/>
    <m/>
    <n v="0"/>
    <n v="0"/>
    <n v="0"/>
  </r>
  <r>
    <m/>
    <m/>
    <m/>
    <m/>
    <s v="Lektori finanszírozás megszüntetése miatti kiadásnövekmény, idei forrás, dologi"/>
    <s v="K"/>
    <n v="80"/>
    <s v="Számítástechnikai alkatrészek.készletek beszerzése"/>
    <m/>
    <n v="0"/>
    <n v="0"/>
    <n v="0"/>
  </r>
  <r>
    <m/>
    <m/>
    <m/>
    <m/>
    <s v="Lektori finanszírozás megszüntetése miatti kiadásnövekmény, idei forrás, dologi"/>
    <s v="K"/>
    <n v="81"/>
    <s v="Egyéb készletbeszerzés"/>
    <m/>
    <n v="0"/>
    <n v="0"/>
    <n v="0"/>
  </r>
  <r>
    <m/>
    <m/>
    <m/>
    <m/>
    <s v="Lektori finanszírozás megszüntetése miatti kiadásnövekmény, idei forrás, dologi"/>
    <s v="K"/>
    <n v="84"/>
    <s v="Számítástechnikai oktatási szolg."/>
    <m/>
    <n v="0"/>
    <n v="0"/>
    <n v="0"/>
  </r>
  <r>
    <m/>
    <m/>
    <m/>
    <m/>
    <s v="Lektori finanszírozás megszüntetése miatti kiadásnövekmény, idei forrás, dologi"/>
    <s v="K"/>
    <n v="85"/>
    <s v="Inform.eszközök, szolg.bérlet,lízingelés ktg."/>
    <m/>
    <n v="0"/>
    <n v="0"/>
    <n v="0"/>
  </r>
  <r>
    <m/>
    <m/>
    <m/>
    <m/>
    <s v="Lektori finanszírozás megszüntetése miatti kiadásnövekmény, idei forrás, dologi"/>
    <s v="K"/>
    <n v="86"/>
    <s v="Informatikai eszközök karbantartása. kisjav."/>
    <m/>
    <n v="0"/>
    <n v="0"/>
    <n v="0"/>
  </r>
  <r>
    <m/>
    <m/>
    <m/>
    <m/>
    <s v="Lektori finanszírozás megszüntetése miatti kiadásnövekmény, idei forrás, dologi"/>
    <s v="K"/>
    <n v="87"/>
    <s v="Adatfeldolgozási szolgáltatások"/>
    <m/>
    <n v="0"/>
    <n v="0"/>
    <n v="0"/>
  </r>
  <r>
    <m/>
    <m/>
    <m/>
    <m/>
    <s v="Lektori finanszírozás megszüntetése miatti kiadásnövekmény, idei forrás, dologi"/>
    <s v="K"/>
    <n v="88"/>
    <s v="Adatátviteli célú távközlési díjak"/>
    <m/>
    <n v="0"/>
    <n v="0"/>
    <n v="0"/>
  </r>
  <r>
    <m/>
    <m/>
    <m/>
    <m/>
    <s v="Lektori finanszírozás megszüntetése miatti kiadásnövekmény, idei forrás, dologi"/>
    <s v="K"/>
    <n v="90"/>
    <s v="TV előfizetési díj"/>
    <m/>
    <n v="0"/>
    <n v="0"/>
    <n v="0"/>
  </r>
  <r>
    <m/>
    <m/>
    <m/>
    <m/>
    <s v="Lektori finanszírozás megszüntetése miatti kiadásnövekmény, idei forrás, dologi"/>
    <s v="K"/>
    <n v="91"/>
    <s v="Egyéb kommunikációs szolgáltatások"/>
    <m/>
    <n v="0"/>
    <n v="0"/>
    <n v="0"/>
  </r>
  <r>
    <m/>
    <m/>
    <m/>
    <m/>
    <s v="Lektori finanszírozás megszüntetése miatti kiadásnövekmény, idei forrás, dologi"/>
    <s v="K"/>
    <n v="92"/>
    <s v="Nem adatátviteli célú távközlési díjak"/>
    <m/>
    <n v="0"/>
    <n v="0"/>
    <n v="0"/>
  </r>
  <r>
    <m/>
    <m/>
    <m/>
    <m/>
    <s v="Lektori finanszírozás megszüntetése miatti kiadásnövekmény, idei forrás, dologi"/>
    <s v="K"/>
    <n v="93"/>
    <s v="Nem járulékköteles távközlési díj"/>
    <m/>
    <n v="0"/>
    <n v="0"/>
    <n v="0"/>
  </r>
  <r>
    <m/>
    <m/>
    <m/>
    <m/>
    <s v="Lektori finanszírozás megszüntetése miatti kiadásnövekmény, idei forrás, dologi"/>
    <s v="K"/>
    <n v="96"/>
    <s v="Villamosenergia szolgáltatás díja"/>
    <m/>
    <n v="0"/>
    <n v="0"/>
    <n v="0"/>
  </r>
  <r>
    <m/>
    <m/>
    <m/>
    <m/>
    <s v="Lektori finanszírozás megszüntetése miatti kiadásnövekmény, idei forrás, dologi"/>
    <s v="K"/>
    <n v="97"/>
    <s v="Gázenergia szolgáltatás díja"/>
    <m/>
    <n v="0"/>
    <n v="0"/>
    <n v="0"/>
  </r>
  <r>
    <m/>
    <m/>
    <m/>
    <m/>
    <s v="Lektori finanszírozás megszüntetése miatti kiadásnövekmény, idei forrás, dologi"/>
    <s v="K"/>
    <n v="98"/>
    <s v="Távhő és melegvíz szolgáltatás díja"/>
    <m/>
    <n v="0"/>
    <n v="0"/>
    <n v="0"/>
  </r>
  <r>
    <m/>
    <m/>
    <m/>
    <m/>
    <s v="Lektori finanszírozás megszüntetése miatti kiadásnövekmény, idei forrás, dologi"/>
    <s v="K"/>
    <n v="99"/>
    <s v="Víz- és csatornadíjak"/>
    <m/>
    <n v="0"/>
    <n v="0"/>
    <n v="0"/>
  </r>
  <r>
    <m/>
    <m/>
    <m/>
    <m/>
    <s v="Lektori finanszírozás megszüntetése miatti kiadásnövekmény, idei forrás, dologi"/>
    <s v="K"/>
    <n v="100"/>
    <s v="ÁFA mentes villamosenergia szolgáltatás díja"/>
    <m/>
    <n v="0"/>
    <n v="0"/>
    <n v="0"/>
  </r>
  <r>
    <m/>
    <m/>
    <m/>
    <m/>
    <s v="Lektori finanszírozás megszüntetése miatti kiadásnövekmény, idei forrás, dologi"/>
    <s v="K"/>
    <n v="102"/>
    <s v="Vásárolt élelmezés"/>
    <m/>
    <n v="0"/>
    <n v="0"/>
    <n v="0"/>
  </r>
  <r>
    <m/>
    <m/>
    <m/>
    <m/>
    <s v="Lektori finanszírozás megszüntetése miatti kiadásnövekmény, idei forrás, dologi"/>
    <s v="K"/>
    <n v="104"/>
    <s v="PPP szolgáltatás"/>
    <m/>
    <n v="0"/>
    <n v="0"/>
    <n v="0"/>
  </r>
  <r>
    <m/>
    <m/>
    <m/>
    <m/>
    <s v="Lektori finanszírozás megszüntetése miatti kiadásnövekmény, idei forrás, dologi"/>
    <s v="K"/>
    <n v="105"/>
    <s v="Egyéb kül. bérleti és lízing díjak (PPP nélkül)"/>
    <m/>
    <n v="0"/>
    <n v="0"/>
    <n v="0"/>
  </r>
  <r>
    <m/>
    <m/>
    <m/>
    <m/>
    <s v="Lektori finanszírozás megszüntetése miatti kiadásnövekmény, idei forrás, dologi"/>
    <s v="K"/>
    <n v="106"/>
    <s v="Ingatlan bérleti díj költségei (Áfa mentes)"/>
    <m/>
    <n v="0"/>
    <n v="0"/>
    <n v="0"/>
  </r>
  <r>
    <m/>
    <m/>
    <m/>
    <m/>
    <s v="Lektori finanszírozás megszüntetése miatti kiadásnövekmény, idei forrás, dologi"/>
    <s v="K"/>
    <n v="108"/>
    <s v="Ingatlanok karbantartása. kisjavítása"/>
    <m/>
    <n v="0"/>
    <n v="0"/>
    <n v="0"/>
  </r>
  <r>
    <m/>
    <m/>
    <m/>
    <m/>
    <s v="Lektori finanszírozás megszüntetése miatti kiadásnövekmény, idei forrás, dologi"/>
    <s v="K"/>
    <n v="109"/>
    <s v="Gépek berendezések karbantartása, kisjavítása ktg."/>
    <m/>
    <n v="0"/>
    <n v="0"/>
    <n v="0"/>
  </r>
  <r>
    <m/>
    <m/>
    <m/>
    <m/>
    <s v="Lektori finanszírozás megszüntetése miatti kiadásnövekmény, idei forrás, dologi"/>
    <s v="K"/>
    <n v="110"/>
    <s v="Járművekkel kapcsolatos karbantartási, kisjav. kiadások"/>
    <m/>
    <n v="0"/>
    <n v="0"/>
    <n v="0"/>
  </r>
  <r>
    <m/>
    <m/>
    <m/>
    <m/>
    <s v="Lektori finanszírozás megszüntetése miatti kiadásnövekmény, idei forrás, dologi"/>
    <s v="K"/>
    <n v="112"/>
    <s v="AHT-n belüli közvetített szolgáltatások"/>
    <m/>
    <n v="0"/>
    <n v="0"/>
    <n v="0"/>
  </r>
  <r>
    <m/>
    <m/>
    <m/>
    <m/>
    <s v="Lektori finanszírozás megszüntetése miatti kiadásnövekmény, idei forrás, dologi"/>
    <s v="K"/>
    <n v="113"/>
    <s v="AHT-n kívüli közvetített szolgáltatások"/>
    <m/>
    <n v="0"/>
    <n v="0"/>
    <n v="0"/>
  </r>
  <r>
    <m/>
    <m/>
    <m/>
    <m/>
    <s v="Lektori finanszírozás megszüntetése miatti kiadásnövekmény, idei forrás, dologi"/>
    <s v="K"/>
    <n v="115"/>
    <s v="Vásárolt közszolgáltatások (pld. egészségügyi)"/>
    <m/>
    <n v="0"/>
    <n v="0"/>
    <n v="0"/>
  </r>
  <r>
    <m/>
    <m/>
    <m/>
    <m/>
    <s v="Lektori finanszírozás megszüntetése miatti kiadásnövekmény, idei forrás, dologi"/>
    <s v="K"/>
    <n v="116"/>
    <s v="Jogi szolgáltatások"/>
    <m/>
    <n v="0"/>
    <n v="0"/>
    <n v="0"/>
  </r>
  <r>
    <m/>
    <m/>
    <m/>
    <m/>
    <s v="Lektori finanszírozás megszüntetése miatti kiadásnövekmény, idei forrás, dologi"/>
    <s v="K"/>
    <n v="117"/>
    <s v="Számlázott (okt..kut.)szellemi tev.kiad."/>
    <m/>
    <n v="0"/>
    <n v="0"/>
    <n v="0"/>
  </r>
  <r>
    <m/>
    <m/>
    <m/>
    <m/>
    <s v="Lektori finanszírozás megszüntetése miatti kiadásnövekmény, idei forrás, dologi"/>
    <s v="K"/>
    <n v="118"/>
    <s v="Szakmai szolgáltatások"/>
    <m/>
    <n v="0"/>
    <n v="0"/>
    <n v="0"/>
  </r>
  <r>
    <m/>
    <m/>
    <m/>
    <m/>
    <s v="Lektori finanszírozás megszüntetése miatti kiadásnövekmény, idei forrás, dologi"/>
    <s v="K"/>
    <n v="119"/>
    <s v="Sport és kulturális szolgáltatás"/>
    <m/>
    <n v="0"/>
    <n v="0"/>
    <n v="0"/>
  </r>
  <r>
    <m/>
    <m/>
    <m/>
    <m/>
    <s v="Lektori finanszírozás megszüntetése miatti kiadásnövekmény, idei forrás, dologi"/>
    <s v="K"/>
    <n v="120"/>
    <s v="Tanfolyamok. továbbképzések"/>
    <m/>
    <n v="0"/>
    <n v="0"/>
    <n v="0"/>
  </r>
  <r>
    <m/>
    <m/>
    <m/>
    <m/>
    <s v="Lektori finanszírozás megszüntetése miatti kiadásnövekmény, idei forrás, dologi"/>
    <s v="K"/>
    <n v="122"/>
    <s v="Egyéb pénzügyi szoltáltatások (bankktg.)"/>
    <m/>
    <n v="0"/>
    <n v="0"/>
    <n v="0"/>
  </r>
  <r>
    <m/>
    <m/>
    <m/>
    <m/>
    <s v="Lektori finanszírozás megszüntetése miatti kiadásnövekmény, idei forrás, dologi"/>
    <s v="K"/>
    <n v="123"/>
    <s v="Anyag- és áruszállítás költségei"/>
    <m/>
    <n v="0"/>
    <n v="0"/>
    <n v="0"/>
  </r>
  <r>
    <m/>
    <m/>
    <m/>
    <m/>
    <s v="Lektori finanszírozás megszüntetése miatti kiadásnövekmény, idei forrás, dologi"/>
    <s v="K"/>
    <n v="124"/>
    <s v="Egyéb szállítás költségei"/>
    <m/>
    <n v="0"/>
    <n v="0"/>
    <n v="0"/>
  </r>
  <r>
    <m/>
    <m/>
    <m/>
    <m/>
    <s v="Lektori finanszírozás megszüntetése miatti kiadásnövekmény, idei forrás, dologi"/>
    <s v="K"/>
    <n v="125"/>
    <s v="Postai levél. csomag. feladott távirat"/>
    <m/>
    <n v="0"/>
    <n v="0"/>
    <n v="0"/>
  </r>
  <r>
    <m/>
    <m/>
    <m/>
    <m/>
    <s v="Lektori finanszírozás megszüntetése miatti kiadásnövekmény, idei forrás, dologi"/>
    <s v="K"/>
    <n v="126"/>
    <s v="Takarítás"/>
    <m/>
    <n v="0"/>
    <n v="0"/>
    <n v="0"/>
  </r>
  <r>
    <m/>
    <m/>
    <m/>
    <m/>
    <s v="Lektori finanszírozás megszüntetése miatti kiadásnövekmény, idei forrás, dologi"/>
    <s v="K"/>
    <n v="127"/>
    <s v="Rovarirtás"/>
    <m/>
    <n v="0"/>
    <n v="0"/>
    <n v="0"/>
  </r>
  <r>
    <m/>
    <m/>
    <m/>
    <m/>
    <s v="Lektori finanszírozás megszüntetése miatti kiadásnövekmény, idei forrás, dologi"/>
    <s v="K"/>
    <n v="128"/>
    <s v="Kommunális hulladék szállítási költségei"/>
    <m/>
    <n v="0"/>
    <n v="0"/>
    <n v="0"/>
  </r>
  <r>
    <m/>
    <m/>
    <m/>
    <m/>
    <s v="Lektori finanszírozás megszüntetése miatti kiadásnövekmény, idei forrás, dologi"/>
    <s v="K"/>
    <n v="129"/>
    <s v="Kéményseprési díjak költségei"/>
    <m/>
    <n v="0"/>
    <n v="0"/>
    <n v="0"/>
  </r>
  <r>
    <m/>
    <m/>
    <m/>
    <m/>
    <s v="Lektori finanszírozás megszüntetése miatti kiadásnövekmény, idei forrás, dologi"/>
    <s v="K"/>
    <n v="130"/>
    <s v="Nyomdai költség"/>
    <m/>
    <n v="0"/>
    <n v="0"/>
    <n v="0"/>
  </r>
  <r>
    <m/>
    <m/>
    <m/>
    <m/>
    <s v="Lektori finanszírozás megszüntetése miatti kiadásnövekmény, idei forrás, dologi"/>
    <s v="K"/>
    <n v="131"/>
    <s v="Ingatlanok üzemelt. fenntartási kiad."/>
    <m/>
    <n v="0"/>
    <n v="0"/>
    <n v="0"/>
  </r>
  <r>
    <m/>
    <m/>
    <m/>
    <m/>
    <s v="Lektori finanszírozás megszüntetése miatti kiadásnövekmény, idei forrás, dologi"/>
    <s v="K"/>
    <n v="132"/>
    <s v="Egyéb üzemelt. Kiadások (mosás, rakodás)"/>
    <m/>
    <n v="0"/>
    <n v="0"/>
    <n v="0"/>
  </r>
  <r>
    <m/>
    <m/>
    <m/>
    <m/>
    <s v="Lektori finanszírozás megszüntetése miatti kiadásnövekmény, idei forrás, dologi"/>
    <s v="K"/>
    <n v="133"/>
    <s v="Egyéb más jellegű szolg. Költségei (audit, ell.)"/>
    <m/>
    <n v="0"/>
    <n v="0"/>
    <n v="0"/>
  </r>
  <r>
    <m/>
    <m/>
    <m/>
    <m/>
    <s v="Lektori finanszírozás megszüntetése miatti kiadásnövekmény, idei forrás, dologi"/>
    <s v="K"/>
    <n v="134"/>
    <s v="Biztosítási díj (központilag fizetett vagyonbiztosítás)"/>
    <m/>
    <n v="0"/>
    <n v="0"/>
    <n v="0"/>
  </r>
  <r>
    <m/>
    <m/>
    <m/>
    <m/>
    <s v="Lektori finanszírozás megszüntetése miatti kiadásnövekmény, idei forrás, dologi"/>
    <s v="K"/>
    <n v="137"/>
    <s v="Külföldi kiküldetések kiadásai"/>
    <m/>
    <n v="0"/>
    <n v="0"/>
    <n v="0"/>
  </r>
  <r>
    <m/>
    <m/>
    <m/>
    <m/>
    <s v="Lektori finanszírozás megszüntetése miatti kiadásnövekmény, idei forrás, dologi"/>
    <s v="K"/>
    <n v="138"/>
    <s v="Belföldi kiküldetések kiadásai"/>
    <m/>
    <n v="0"/>
    <n v="0"/>
    <n v="0"/>
  </r>
  <r>
    <m/>
    <m/>
    <m/>
    <m/>
    <s v="Lektori finanszírozás megszüntetése miatti kiadásnövekmény, idei forrás, dologi"/>
    <s v="K"/>
    <n v="139"/>
    <s v="Reklám- és propaganda költségei"/>
    <m/>
    <n v="0"/>
    <n v="0"/>
    <n v="0"/>
  </r>
  <r>
    <m/>
    <m/>
    <m/>
    <m/>
    <s v="Lektori finanszírozás megszüntetése miatti kiadásnövekmény, idei forrás, dologi"/>
    <s v="K"/>
    <n v="141"/>
    <s v="Nem levonható egyenes adós ÁFA anyag, szolg."/>
    <m/>
    <n v="0"/>
    <n v="0"/>
    <n v="0"/>
  </r>
  <r>
    <m/>
    <m/>
    <m/>
    <m/>
    <s v="Lektori finanszírozás megszüntetése miatti kiadásnövekmény, idei forrás, dologi"/>
    <s v="K"/>
    <n v="142"/>
    <s v="Egyenes adózású ÁFA befizetés"/>
    <m/>
    <n v="0"/>
    <n v="0"/>
    <n v="0"/>
  </r>
  <r>
    <m/>
    <m/>
    <m/>
    <m/>
    <s v="Lektori finanszírozás megszüntetése miatti kiadásnövekmény, idei forrás, dologi"/>
    <s v="K"/>
    <n v="144"/>
    <s v="Külf.pénzért.szóló köt.p.ügy.real.árfoly.veszt."/>
    <m/>
    <n v="0"/>
    <n v="0"/>
    <n v="0"/>
  </r>
  <r>
    <m/>
    <m/>
    <m/>
    <m/>
    <s v="Lektori finanszírozás megszüntetése miatti kiadásnövekmény, idei forrás, dologi"/>
    <s v="K"/>
    <n v="145"/>
    <s v="H. adók.e. vám, illeték és adójell. befiz. ráf."/>
    <m/>
    <n v="0"/>
    <n v="0"/>
    <n v="0"/>
  </r>
  <r>
    <m/>
    <m/>
    <m/>
    <m/>
    <s v="Lektori finanszírozás megszüntetése miatti kiadásnövekmény, idei forrás, dologi"/>
    <s v="K"/>
    <n v="146"/>
    <s v="Díjak, egyéb befiz., ráford. tagsági díjak kiad."/>
    <m/>
    <n v="0"/>
    <n v="0"/>
    <n v="0"/>
  </r>
  <r>
    <m/>
    <m/>
    <m/>
    <m/>
    <s v="Lektori finanszírozás megszüntetése miatti kiadásnövekmény, idei forrás, dologi"/>
    <s v="K"/>
    <n v="147"/>
    <s v="Turizmusfejlesztési hozzájárulás (4%)"/>
    <m/>
    <n v="0"/>
    <n v="0"/>
    <n v="0"/>
  </r>
  <r>
    <m/>
    <m/>
    <m/>
    <m/>
    <s v="Lektori finanszírozás megszüntetése miatti kiadásnövekmény, idei forrás, dologi"/>
    <s v="K"/>
    <n v="148"/>
    <s v="Különféle egyéb dologi kiad. miatti egyéb ráfordítások"/>
    <m/>
    <n v="0"/>
    <n v="0"/>
    <n v="0"/>
  </r>
  <r>
    <m/>
    <m/>
    <m/>
    <m/>
    <s v="Lektori finanszírozás megszüntetése miatti kiadásnövekmény, idei forrás, dologi"/>
    <s v="K"/>
    <n v="149"/>
    <s v="Kollégiumok FK keret fele"/>
    <m/>
    <n v="0"/>
    <n v="0"/>
    <n v="0"/>
  </r>
  <r>
    <s v="5."/>
    <m/>
    <m/>
    <m/>
    <s v="Kötelezően tervezendő műszak, energia, üzemeltetés (közterületesítés nélkül)"/>
    <s v="K2A"/>
    <m/>
    <s v="ÖSSZEGZŐ SOR"/>
    <n v="81117638.814537749"/>
    <n v="0"/>
    <n v="81117638.814537749"/>
    <n v="0"/>
  </r>
  <r>
    <m/>
    <s v="Üzemeltetési dologi kiadások"/>
    <s v="K"/>
    <s v="K2.b."/>
    <s v="Üzemeltetési kiadások, maradvány"/>
    <s v="MK"/>
    <m/>
    <s v="U-s munkaszámokon átfordult maradvány"/>
    <n v="3676627.1907808813"/>
    <n v="0"/>
    <n v="3676627.1907808813"/>
    <n v="0"/>
  </r>
  <r>
    <m/>
    <m/>
    <m/>
    <m/>
    <s v="Üzemeltetési kiadások, idei forrás, összesen"/>
    <m/>
    <m/>
    <s v="ÖSSZEGZŐ SOR"/>
    <n v="77441011.623756871"/>
    <n v="0"/>
    <n v="77441011.623756871"/>
    <n v="0"/>
  </r>
  <r>
    <m/>
    <s v="Üzemeltetési személyi kiadások"/>
    <s v="K"/>
    <s v="K1.b."/>
    <s v="Üzemeltetési kiadások, idei forrás, személyi"/>
    <s v="K"/>
    <m/>
    <s v="7.sz.melléklet szerint külön tervezendő"/>
    <n v="2931707.3893554108"/>
    <n v="0"/>
    <n v="2931707.3893554108"/>
    <n v="0"/>
  </r>
  <r>
    <m/>
    <s v="Üzemeltetési dologi kiadások"/>
    <s v="K"/>
    <s v="K2.b."/>
    <s v="Üzemeltetési kiadások, idei forrás, dologi"/>
    <s v="K"/>
    <m/>
    <s v="7.sz.melléklet szerint külön tervezendő"/>
    <n v="74509304.234401464"/>
    <n v="0"/>
    <n v="74509304.234401464"/>
    <n v="0"/>
  </r>
  <r>
    <s v="7."/>
    <m/>
    <m/>
    <m/>
    <s v="Kötelezően tervezendő informatikai kiadások (elszámolás után)"/>
    <s v="K2A"/>
    <m/>
    <s v="ÖSSZEGZŐ SOR"/>
    <n v="0"/>
    <n v="0"/>
    <n v="0"/>
    <n v="0"/>
  </r>
  <r>
    <m/>
    <s v="Informatikai dologi kiadások"/>
    <s v="K"/>
    <s v="K2.d."/>
    <s v="Informatikai kiadások, maradvány"/>
    <s v="MK"/>
    <m/>
    <s v="negatív esetén forrásátadás"/>
    <n v="0"/>
    <n v="0"/>
    <n v="0"/>
    <n v="0"/>
  </r>
  <r>
    <m/>
    <m/>
    <m/>
    <m/>
    <s v="Informatikai kiadások, idei forrás, összesen"/>
    <m/>
    <m/>
    <s v="ÖSSZEGZŐ SOR"/>
    <n v="0"/>
    <n v="0"/>
    <n v="0"/>
    <n v="0"/>
  </r>
  <r>
    <m/>
    <s v="Informatikai személyi kiadások"/>
    <s v="K"/>
    <s v="K1.c."/>
    <s v="Informatikai kiadások, idei forrás, személyi"/>
    <s v="K"/>
    <m/>
    <s v="12.sz.melléklet szerint külön tervezendő"/>
    <n v="0"/>
    <n v="0"/>
    <n v="0"/>
    <n v="0"/>
  </r>
  <r>
    <m/>
    <s v="Informatikai dologi kiadások"/>
    <s v="K"/>
    <s v="K2.d."/>
    <s v="Informatikai kiadások, idei forrás, dologi"/>
    <s v="K"/>
    <m/>
    <s v="12.sz.melléklet szerint külön tervezendő"/>
    <n v="0"/>
    <n v="0"/>
    <n v="0"/>
    <n v="0"/>
  </r>
  <r>
    <s v="8."/>
    <s v="Kötelezően tervezendő telefonköltség (2020. évi elszámolás összege alapján)"/>
    <s v="K"/>
    <s v="K2.e."/>
    <s v="Kötelezően tervezendő telefonköltség (2020. évi elszámolás összege alapján)"/>
    <s v="K2A"/>
    <m/>
    <s v="ÖSSZEGZŐ SOR"/>
    <n v="51421"/>
    <n v="35994.700000000004"/>
    <n v="15426.299999999996"/>
    <n v="35994.700000000004"/>
  </r>
  <r>
    <m/>
    <m/>
    <m/>
    <m/>
    <s v="Telefonköltség, maradvány"/>
    <s v="MK"/>
    <m/>
    <s v="MARADVÁNY"/>
    <n v="51421"/>
    <n v="35994.700000000004"/>
    <n v="15426.299999999996"/>
    <n v="35994.700000000004"/>
  </r>
  <r>
    <m/>
    <m/>
    <m/>
    <m/>
    <s v="Telefonköltség, idei forrás"/>
    <s v="K"/>
    <m/>
    <s v="idei forrás ÖSSZESEN: töltendő, ha nincs alábontás"/>
    <m/>
    <n v="0"/>
    <n v="0"/>
    <n v="0"/>
  </r>
  <r>
    <m/>
    <m/>
    <m/>
    <m/>
    <s v="Telefonköltség, idei forrás"/>
    <s v="K"/>
    <n v="63"/>
    <s v="Kifizetői 15,5 %-os SZOCHO"/>
    <m/>
    <n v="0"/>
    <n v="0"/>
    <n v="0"/>
  </r>
  <r>
    <m/>
    <m/>
    <m/>
    <m/>
    <s v="Telefonköltség, idei forrás"/>
    <s v="K"/>
    <n v="64"/>
    <s v="Kifizető által fizetett SZJA"/>
    <m/>
    <n v="0"/>
    <n v="0"/>
    <n v="0"/>
  </r>
  <r>
    <m/>
    <m/>
    <m/>
    <m/>
    <s v="Telefonköltség, idei forrás"/>
    <s v="K"/>
    <n v="92"/>
    <s v="Nem adatátviteli célú távközlési díjak"/>
    <m/>
    <n v="0"/>
    <n v="0"/>
    <n v="0"/>
  </r>
  <r>
    <m/>
    <m/>
    <m/>
    <m/>
    <s v="Telefonköltség, idei forrás"/>
    <s v="K"/>
    <n v="142"/>
    <s v="Egyenes adózású ÁFA befizetés"/>
    <m/>
    <n v="0"/>
    <n v="0"/>
    <n v="0"/>
  </r>
  <r>
    <s v="10."/>
    <s v="Dologi kiadások (üzemeltetetés és informatika nélkül)"/>
    <s v="K"/>
    <s v="K2.a. "/>
    <s v="Dologi kiadások"/>
    <s v="K2A"/>
    <m/>
    <s v="ÖSSZEGZŐ SOR"/>
    <n v="22424327"/>
    <n v="0"/>
    <n v="22424327"/>
    <n v="0"/>
  </r>
  <r>
    <m/>
    <m/>
    <m/>
    <m/>
    <s v="Dologi kiadások, maradvány"/>
    <s v="MK"/>
    <m/>
    <s v="MARADVÁNY"/>
    <n v="22424327"/>
    <n v="0"/>
    <n v="22424327"/>
    <n v="0"/>
  </r>
  <r>
    <m/>
    <m/>
    <m/>
    <m/>
    <s v="Dologi kiadások, idei forrás"/>
    <s v="K"/>
    <m/>
    <s v="idei forrás ÖSSZESEN: töltendő, ha nincs alábontás"/>
    <m/>
    <n v="0"/>
    <n v="0"/>
    <n v="0"/>
  </r>
  <r>
    <m/>
    <m/>
    <m/>
    <m/>
    <s v="Dologi kiadások"/>
    <s v="K"/>
    <n v="67"/>
    <s v="Gyógyszerbeszerzés"/>
    <m/>
    <n v="0"/>
    <n v="0"/>
    <n v="0"/>
  </r>
  <r>
    <m/>
    <m/>
    <m/>
    <m/>
    <s v="Dologi kiadások"/>
    <s v="K"/>
    <n v="68"/>
    <s v="Vegyszerbeszerzés"/>
    <m/>
    <n v="0"/>
    <n v="0"/>
    <n v="0"/>
  </r>
  <r>
    <m/>
    <m/>
    <m/>
    <m/>
    <s v="Dologi kiadások"/>
    <s v="K"/>
    <n v="69"/>
    <s v="Egyéb szakmai anyagbeszerzés"/>
    <m/>
    <n v="0"/>
    <n v="0"/>
    <n v="0"/>
  </r>
  <r>
    <m/>
    <m/>
    <m/>
    <m/>
    <s v="Dologi kiadások"/>
    <s v="K"/>
    <n v="70"/>
    <s v="Könyvbeszerzés (5% ÁFA)"/>
    <m/>
    <n v="0"/>
    <n v="0"/>
    <n v="0"/>
  </r>
  <r>
    <m/>
    <m/>
    <m/>
    <m/>
    <s v="Dologi kiadások"/>
    <s v="K"/>
    <n v="71"/>
    <s v="Egy éven belül elhasználódó szakmai anyag"/>
    <m/>
    <n v="0"/>
    <n v="0"/>
    <n v="0"/>
  </r>
  <r>
    <m/>
    <m/>
    <m/>
    <m/>
    <s v="Dologi kiadások"/>
    <s v="K"/>
    <n v="73"/>
    <s v="Irodaszer. sokszorosítási. számítástechnikai anyagok"/>
    <m/>
    <n v="0"/>
    <n v="0"/>
    <n v="0"/>
  </r>
  <r>
    <m/>
    <m/>
    <m/>
    <m/>
    <s v="Dologi kiadások"/>
    <s v="K"/>
    <n v="74"/>
    <s v="Nyomtatvány beszerzés"/>
    <m/>
    <n v="0"/>
    <n v="0"/>
    <n v="0"/>
  </r>
  <r>
    <m/>
    <m/>
    <m/>
    <m/>
    <s v="Dologi kiadások"/>
    <s v="K"/>
    <n v="75"/>
    <s v="Hajtó- és kenőanyag beszerzése"/>
    <m/>
    <n v="0"/>
    <n v="0"/>
    <n v="0"/>
  </r>
  <r>
    <m/>
    <m/>
    <m/>
    <m/>
    <s v="Dologi kiadások"/>
    <s v="K"/>
    <n v="76"/>
    <s v="Munka-. védő- és formaruha beszerzés"/>
    <m/>
    <n v="0"/>
    <n v="0"/>
    <n v="0"/>
  </r>
  <r>
    <m/>
    <m/>
    <m/>
    <m/>
    <s v="Dologi kiadások"/>
    <s v="K"/>
    <n v="77"/>
    <s v="Karbantartási anyagok. alkatrészek.szerszámok beszerz"/>
    <m/>
    <n v="0"/>
    <n v="0"/>
    <n v="0"/>
  </r>
  <r>
    <m/>
    <m/>
    <m/>
    <m/>
    <s v="Dologi kiadások"/>
    <s v="K"/>
    <n v="78"/>
    <s v="Bútorok.berend..felszer. tárgyak. textíliák beszerz."/>
    <m/>
    <n v="0"/>
    <n v="0"/>
    <n v="0"/>
  </r>
  <r>
    <m/>
    <m/>
    <m/>
    <m/>
    <s v="Dologi kiadások"/>
    <s v="K"/>
    <n v="79"/>
    <s v="Tisztítószerek. tisztálkodási szerek beszerzése"/>
    <m/>
    <n v="0"/>
    <n v="0"/>
    <n v="0"/>
  </r>
  <r>
    <m/>
    <m/>
    <m/>
    <m/>
    <s v="Dologi kiadások"/>
    <s v="K"/>
    <n v="80"/>
    <s v="Számítástechnikai alkatrészek.készletek beszerzése"/>
    <m/>
    <n v="0"/>
    <n v="0"/>
    <n v="0"/>
  </r>
  <r>
    <m/>
    <m/>
    <m/>
    <m/>
    <s v="Dologi kiadások"/>
    <s v="K"/>
    <n v="81"/>
    <s v="Egyéb készletbeszerzés"/>
    <m/>
    <n v="0"/>
    <n v="0"/>
    <n v="0"/>
  </r>
  <r>
    <m/>
    <m/>
    <m/>
    <m/>
    <s v="Dologi kiadások"/>
    <s v="K"/>
    <n v="84"/>
    <s v="Számítástechnikai oktatási szolg."/>
    <m/>
    <n v="0"/>
    <n v="0"/>
    <n v="0"/>
  </r>
  <r>
    <m/>
    <m/>
    <m/>
    <m/>
    <s v="Dologi kiadások"/>
    <s v="K"/>
    <n v="85"/>
    <s v="Inform.eszközök, szolg.bérlet,lízingelés ktg."/>
    <m/>
    <n v="0"/>
    <n v="0"/>
    <n v="0"/>
  </r>
  <r>
    <m/>
    <m/>
    <m/>
    <m/>
    <s v="Dologi kiadások"/>
    <s v="K"/>
    <n v="86"/>
    <s v="Informatikai eszközök karbantartása. kisjav."/>
    <m/>
    <n v="0"/>
    <n v="0"/>
    <n v="0"/>
  </r>
  <r>
    <m/>
    <m/>
    <m/>
    <m/>
    <s v="Dologi kiadások"/>
    <s v="K"/>
    <n v="87"/>
    <s v="Adatfeldolgozási szolgáltatások"/>
    <m/>
    <n v="0"/>
    <n v="0"/>
    <n v="0"/>
  </r>
  <r>
    <m/>
    <m/>
    <m/>
    <m/>
    <s v="Dologi kiadások"/>
    <s v="K"/>
    <n v="88"/>
    <s v="Adatátviteli célú távközlési díjak"/>
    <m/>
    <n v="0"/>
    <n v="0"/>
    <n v="0"/>
  </r>
  <r>
    <m/>
    <m/>
    <m/>
    <m/>
    <s v="Dologi kiadások"/>
    <s v="K"/>
    <n v="90"/>
    <s v="TV előfizetési díj"/>
    <m/>
    <n v="0"/>
    <n v="0"/>
    <n v="0"/>
  </r>
  <r>
    <m/>
    <m/>
    <m/>
    <m/>
    <s v="Dologi kiadások"/>
    <s v="K"/>
    <n v="91"/>
    <s v="Egyéb kommunikációs szolgáltatások"/>
    <m/>
    <n v="0"/>
    <n v="0"/>
    <n v="0"/>
  </r>
  <r>
    <m/>
    <m/>
    <m/>
    <m/>
    <s v="Dologi kiadások"/>
    <s v="K"/>
    <n v="92"/>
    <s v="Nem adatátviteli célú távközlési díjak"/>
    <m/>
    <n v="0"/>
    <n v="0"/>
    <n v="0"/>
  </r>
  <r>
    <m/>
    <m/>
    <m/>
    <m/>
    <s v="Dologi kiadások"/>
    <s v="K"/>
    <n v="93"/>
    <s v="Nem járulékköteles távközlési díj"/>
    <m/>
    <n v="0"/>
    <n v="0"/>
    <n v="0"/>
  </r>
  <r>
    <m/>
    <m/>
    <m/>
    <m/>
    <s v="Dologi kiadások"/>
    <s v="K"/>
    <n v="96"/>
    <s v="Villamosenergia szolgáltatás díja"/>
    <m/>
    <n v="0"/>
    <n v="0"/>
    <n v="0"/>
  </r>
  <r>
    <m/>
    <m/>
    <m/>
    <m/>
    <s v="Dologi kiadások"/>
    <s v="K"/>
    <n v="97"/>
    <s v="Gázenergia szolgáltatás díja"/>
    <m/>
    <n v="0"/>
    <n v="0"/>
    <n v="0"/>
  </r>
  <r>
    <m/>
    <m/>
    <m/>
    <m/>
    <s v="Dologi kiadások"/>
    <s v="K"/>
    <n v="98"/>
    <s v="Távhő és melegvíz szolgáltatás díja"/>
    <m/>
    <n v="0"/>
    <n v="0"/>
    <n v="0"/>
  </r>
  <r>
    <m/>
    <m/>
    <m/>
    <m/>
    <s v="Dologi kiadások"/>
    <s v="K"/>
    <n v="99"/>
    <s v="Víz- és csatornadíjak"/>
    <m/>
    <n v="0"/>
    <n v="0"/>
    <n v="0"/>
  </r>
  <r>
    <m/>
    <m/>
    <m/>
    <m/>
    <s v="Dologi kiadások"/>
    <s v="K"/>
    <n v="100"/>
    <s v="ÁFA mentes villamosenergia szolgáltatás díja"/>
    <m/>
    <n v="0"/>
    <n v="0"/>
    <n v="0"/>
  </r>
  <r>
    <m/>
    <m/>
    <m/>
    <m/>
    <s v="Dologi kiadások"/>
    <s v="K"/>
    <n v="102"/>
    <s v="Vásárolt élelmezés"/>
    <m/>
    <n v="0"/>
    <n v="0"/>
    <n v="0"/>
  </r>
  <r>
    <m/>
    <m/>
    <m/>
    <m/>
    <s v="Dologi kiadások"/>
    <s v="K"/>
    <n v="104"/>
    <s v="PPP szolgáltatás"/>
    <m/>
    <n v="0"/>
    <n v="0"/>
    <n v="0"/>
  </r>
  <r>
    <m/>
    <m/>
    <m/>
    <m/>
    <s v="Dologi kiadások"/>
    <s v="K"/>
    <n v="105"/>
    <s v="Egyéb kül. bérleti és lízing díjak (PPP nélkül)"/>
    <m/>
    <n v="0"/>
    <n v="0"/>
    <n v="0"/>
  </r>
  <r>
    <m/>
    <m/>
    <m/>
    <m/>
    <s v="Dologi kiadások"/>
    <s v="K"/>
    <n v="106"/>
    <s v="Ingatlan bérleti díj költségei (Áfa mentes)"/>
    <m/>
    <n v="0"/>
    <n v="0"/>
    <n v="0"/>
  </r>
  <r>
    <m/>
    <m/>
    <m/>
    <m/>
    <s v="Dologi kiadások"/>
    <s v="K"/>
    <n v="108"/>
    <s v="Ingatlanok karbantartása. kisjavítása"/>
    <m/>
    <n v="0"/>
    <n v="0"/>
    <n v="0"/>
  </r>
  <r>
    <m/>
    <m/>
    <m/>
    <m/>
    <s v="Dologi kiadások"/>
    <s v="K"/>
    <n v="109"/>
    <s v="Gépek berendezések karbantartása, kisjavítása ktg."/>
    <m/>
    <n v="0"/>
    <n v="0"/>
    <n v="0"/>
  </r>
  <r>
    <m/>
    <m/>
    <m/>
    <m/>
    <s v="Dologi kiadások"/>
    <s v="K"/>
    <n v="110"/>
    <s v="Járművekkel kapcsolatos karbantartási, kisjav. kiadások"/>
    <m/>
    <n v="0"/>
    <n v="0"/>
    <n v="0"/>
  </r>
  <r>
    <m/>
    <m/>
    <m/>
    <m/>
    <s v="Dologi kiadások"/>
    <s v="K"/>
    <n v="112"/>
    <s v="AHT-n belüli közvetített szolgáltatások"/>
    <m/>
    <n v="0"/>
    <n v="0"/>
    <n v="0"/>
  </r>
  <r>
    <m/>
    <m/>
    <m/>
    <m/>
    <s v="Dologi kiadások"/>
    <s v="K"/>
    <n v="113"/>
    <s v="AHT-n kívüli közvetített szolgáltatások"/>
    <m/>
    <n v="0"/>
    <n v="0"/>
    <n v="0"/>
  </r>
  <r>
    <m/>
    <m/>
    <m/>
    <m/>
    <s v="Dologi kiadások"/>
    <s v="K"/>
    <n v="115"/>
    <s v="Vásárolt közszolgáltatások (pld. egészségügyi)"/>
    <m/>
    <n v="0"/>
    <n v="0"/>
    <n v="0"/>
  </r>
  <r>
    <m/>
    <m/>
    <m/>
    <m/>
    <s v="Dologi kiadások"/>
    <s v="K"/>
    <n v="116"/>
    <s v="Jogi szolgáltatások"/>
    <m/>
    <n v="0"/>
    <n v="0"/>
    <n v="0"/>
  </r>
  <r>
    <m/>
    <m/>
    <m/>
    <m/>
    <s v="Dologi kiadások"/>
    <s v="K"/>
    <n v="117"/>
    <s v="Számlázott (okt..kut.)szellemi tev.kiad."/>
    <m/>
    <n v="0"/>
    <n v="0"/>
    <n v="0"/>
  </r>
  <r>
    <m/>
    <m/>
    <m/>
    <m/>
    <s v="Dologi kiadások"/>
    <s v="K"/>
    <n v="118"/>
    <s v="Szakmai szolgáltatások"/>
    <m/>
    <n v="0"/>
    <n v="0"/>
    <n v="0"/>
  </r>
  <r>
    <m/>
    <m/>
    <m/>
    <m/>
    <s v="Dologi kiadások"/>
    <s v="K"/>
    <n v="119"/>
    <s v="Sport és kulturális szolgáltatás"/>
    <m/>
    <n v="0"/>
    <n v="0"/>
    <n v="0"/>
  </r>
  <r>
    <m/>
    <m/>
    <m/>
    <m/>
    <s v="Dologi kiadások"/>
    <s v="K"/>
    <n v="120"/>
    <s v="Tanfolyamok. továbbképzések"/>
    <m/>
    <n v="0"/>
    <n v="0"/>
    <n v="0"/>
  </r>
  <r>
    <m/>
    <m/>
    <m/>
    <m/>
    <s v="Dologi kiadások"/>
    <s v="K"/>
    <n v="122"/>
    <s v="Egyéb pénzügyi szoltáltatások (bankktg.)"/>
    <m/>
    <n v="0"/>
    <n v="0"/>
    <n v="0"/>
  </r>
  <r>
    <m/>
    <m/>
    <m/>
    <m/>
    <s v="Dologi kiadások"/>
    <s v="K"/>
    <n v="123"/>
    <s v="Anyag- és áruszállítás költségei"/>
    <m/>
    <n v="0"/>
    <n v="0"/>
    <n v="0"/>
  </r>
  <r>
    <m/>
    <m/>
    <m/>
    <m/>
    <s v="Dologi kiadások"/>
    <s v="K"/>
    <n v="124"/>
    <s v="Egyéb szállítás költségei"/>
    <m/>
    <n v="0"/>
    <n v="0"/>
    <n v="0"/>
  </r>
  <r>
    <m/>
    <m/>
    <m/>
    <m/>
    <s v="Dologi kiadások"/>
    <s v="K"/>
    <n v="125"/>
    <s v="Postai levél. csomag. feladott távirat"/>
    <m/>
    <n v="0"/>
    <n v="0"/>
    <n v="0"/>
  </r>
  <r>
    <m/>
    <m/>
    <m/>
    <m/>
    <s v="Dologi kiadások"/>
    <s v="K"/>
    <n v="126"/>
    <s v="Takarítás"/>
    <m/>
    <n v="0"/>
    <n v="0"/>
    <n v="0"/>
  </r>
  <r>
    <m/>
    <m/>
    <m/>
    <m/>
    <s v="Dologi kiadások"/>
    <s v="K"/>
    <n v="127"/>
    <s v="Rovarirtás"/>
    <m/>
    <n v="0"/>
    <n v="0"/>
    <n v="0"/>
  </r>
  <r>
    <m/>
    <m/>
    <m/>
    <m/>
    <s v="Dologi kiadások"/>
    <s v="K"/>
    <n v="128"/>
    <s v="Kommunális hulladék szállítási költségei"/>
    <m/>
    <n v="0"/>
    <n v="0"/>
    <n v="0"/>
  </r>
  <r>
    <m/>
    <m/>
    <m/>
    <m/>
    <s v="Dologi kiadások"/>
    <s v="K"/>
    <n v="129"/>
    <s v="Kéményseprési díjak költségei"/>
    <m/>
    <n v="0"/>
    <n v="0"/>
    <n v="0"/>
  </r>
  <r>
    <m/>
    <m/>
    <m/>
    <m/>
    <s v="Dologi kiadások"/>
    <s v="K"/>
    <n v="130"/>
    <s v="Nyomdai költség"/>
    <m/>
    <n v="0"/>
    <n v="0"/>
    <n v="0"/>
  </r>
  <r>
    <m/>
    <m/>
    <m/>
    <m/>
    <s v="Dologi kiadások"/>
    <s v="K"/>
    <n v="131"/>
    <s v="Ingatlanok üzemelt. fenntartási kiad."/>
    <m/>
    <n v="0"/>
    <n v="0"/>
    <n v="0"/>
  </r>
  <r>
    <m/>
    <m/>
    <m/>
    <m/>
    <s v="Dologi kiadások"/>
    <s v="K"/>
    <n v="132"/>
    <s v="Egyéb üzemelt. Kiadások (mosás, rakodás)"/>
    <m/>
    <n v="0"/>
    <n v="0"/>
    <n v="0"/>
  </r>
  <r>
    <m/>
    <m/>
    <m/>
    <m/>
    <s v="Dologi kiadások"/>
    <s v="K"/>
    <n v="133"/>
    <s v="Egyéb más jellegű szolg. Költségei (audit, ell.)"/>
    <m/>
    <n v="0"/>
    <n v="0"/>
    <n v="0"/>
  </r>
  <r>
    <m/>
    <m/>
    <m/>
    <m/>
    <s v="Dologi kiadások"/>
    <s v="K"/>
    <n v="134"/>
    <s v="Biztosítási díj (központilag fizetett vagyonbiztosítás)"/>
    <m/>
    <n v="0"/>
    <n v="0"/>
    <n v="0"/>
  </r>
  <r>
    <m/>
    <m/>
    <m/>
    <m/>
    <s v="Dologi kiadások"/>
    <s v="K"/>
    <n v="137"/>
    <s v="Külföldi kiküldetések kiadásai"/>
    <m/>
    <n v="0"/>
    <n v="0"/>
    <n v="0"/>
  </r>
  <r>
    <m/>
    <m/>
    <m/>
    <m/>
    <s v="Dologi kiadások"/>
    <s v="K"/>
    <n v="138"/>
    <s v="Belföldi kiküldetések kiadásai"/>
    <m/>
    <n v="0"/>
    <n v="0"/>
    <n v="0"/>
  </r>
  <r>
    <m/>
    <m/>
    <m/>
    <m/>
    <s v="Dologi kiadások"/>
    <s v="K"/>
    <n v="139"/>
    <s v="Reklám- és propaganda költségei"/>
    <m/>
    <n v="0"/>
    <n v="0"/>
    <n v="0"/>
  </r>
  <r>
    <m/>
    <m/>
    <m/>
    <m/>
    <s v="Dologi kiadások"/>
    <s v="K"/>
    <n v="141"/>
    <s v="Nem levonható egyenes adós ÁFA anyag, szolg."/>
    <m/>
    <n v="0"/>
    <n v="0"/>
    <n v="0"/>
  </r>
  <r>
    <m/>
    <m/>
    <m/>
    <m/>
    <s v="Dologi kiadások"/>
    <s v="K"/>
    <n v="142"/>
    <s v="Egyenes adózású ÁFA befizetés"/>
    <m/>
    <n v="0"/>
    <n v="0"/>
    <n v="0"/>
  </r>
  <r>
    <m/>
    <m/>
    <m/>
    <m/>
    <s v="Dologi kiadások"/>
    <s v="K"/>
    <n v="144"/>
    <s v="Külf.pénzért.szóló köt.p.ügy.real.árfoly.veszt."/>
    <m/>
    <n v="0"/>
    <n v="0"/>
    <n v="0"/>
  </r>
  <r>
    <m/>
    <m/>
    <m/>
    <m/>
    <s v="Dologi kiadások"/>
    <s v="K"/>
    <n v="145"/>
    <s v="H. adók.e. vám, illeték és adójell. befiz. ráf."/>
    <m/>
    <n v="0"/>
    <n v="0"/>
    <n v="0"/>
  </r>
  <r>
    <m/>
    <m/>
    <m/>
    <m/>
    <s v="Dologi kiadások"/>
    <s v="K"/>
    <n v="146"/>
    <s v="Díjak, egyéb befiz., ráford. tagsági díjak kiad."/>
    <m/>
    <n v="0"/>
    <n v="0"/>
    <n v="0"/>
  </r>
  <r>
    <m/>
    <m/>
    <m/>
    <m/>
    <s v="Dologi kiadások"/>
    <s v="K"/>
    <n v="147"/>
    <s v="Turizmusfejlesztési hozzájárulás (4%)"/>
    <m/>
    <n v="0"/>
    <n v="0"/>
    <n v="0"/>
  </r>
  <r>
    <m/>
    <m/>
    <m/>
    <m/>
    <s v="Dologi kiadások"/>
    <s v="K"/>
    <n v="148"/>
    <s v="Különféle egyéb dologi kiad. miatti egyéb ráfordítások"/>
    <m/>
    <n v="0"/>
    <n v="0"/>
    <n v="0"/>
  </r>
  <r>
    <m/>
    <m/>
    <m/>
    <m/>
    <s v="Dologi kiadások"/>
    <s v="K"/>
    <n v="149"/>
    <s v="Kollégiumok FK keret fele"/>
    <m/>
    <n v="0"/>
    <n v="0"/>
    <n v="0"/>
  </r>
  <r>
    <s v="11."/>
    <m/>
    <m/>
    <m/>
    <s v="Szakmai gyakorlatok és terepgyakorlatok (2020. évi igény alapján)"/>
    <s v="K2A"/>
    <m/>
    <s v="ÖSSZEGZŐ SOR"/>
    <n v="308000"/>
    <n v="215600.00000000003"/>
    <n v="92399.999999999971"/>
    <n v="215600.00000000003"/>
  </r>
  <r>
    <m/>
    <m/>
    <m/>
    <m/>
    <s v="Szakmai gyakorlatok és terepgyakorlatok kiadásai, maradvány, összesen"/>
    <m/>
    <m/>
    <s v="ÖSSZEGZŐ SOR"/>
    <n v="0"/>
    <n v="0"/>
    <n v="0"/>
    <n v="0"/>
  </r>
  <r>
    <m/>
    <s v="Személyi kiadások (üzemeltetetés és informatika nélkül)"/>
    <s v="K"/>
    <s v="K1.a."/>
    <s v="Szakmai gyakorlatok és terepgyakorlatok kiadásai, maradvány, személyi"/>
    <s v="MK"/>
    <m/>
    <s v="MARADVÁNY"/>
    <m/>
    <n v="0"/>
    <n v="0"/>
    <n v="0"/>
  </r>
  <r>
    <m/>
    <s v="Dologi kiadások (üzemeltetetés és informatika nélkül)"/>
    <s v="K"/>
    <s v="K2.a. "/>
    <s v="Szakmai gyakorlatok és terepgyakorlatok kiadásai, maradvány, dologi"/>
    <s v="MK"/>
    <m/>
    <s v="MARADVÁNY"/>
    <m/>
    <n v="0"/>
    <n v="0"/>
    <n v="0"/>
  </r>
  <r>
    <m/>
    <m/>
    <m/>
    <m/>
    <s v="Szakmai gyakorlatok és terepgyakorlatok kiadásai, idei forrás, összesen"/>
    <m/>
    <m/>
    <s v="ÖSSZEGZŐ SOR"/>
    <n v="308000"/>
    <n v="215600.00000000003"/>
    <n v="92399.999999999971"/>
    <n v="215600.00000000003"/>
  </r>
  <r>
    <m/>
    <s v="Személyi kiadások (üzemeltetetés és informatika nélkül)"/>
    <s v="K"/>
    <s v="K1.a."/>
    <s v="Szakmai gyakorlatok és terepgyakorlatok kiadásai, idei forrás, személyi"/>
    <s v="K"/>
    <m/>
    <s v="űrlapsor szerinti bontás külön tervezendő"/>
    <m/>
    <n v="0"/>
    <n v="0"/>
    <n v="0"/>
  </r>
  <r>
    <m/>
    <s v="Dologi kiadások (üzemeltetetés és informatika nélkül)"/>
    <s v="K"/>
    <s v="K2.a. "/>
    <s v="Szakmai gyakorlatok és terepgyakorlatok kiadásai, idei forrás, dologi"/>
    <s v="K"/>
    <m/>
    <s v="űrlapsor szerinti bontás külön tervezendő"/>
    <n v="308000"/>
    <n v="215600.00000000003"/>
    <n v="92399.999999999971"/>
    <n v="215600.00000000003"/>
  </r>
  <r>
    <s v="12."/>
    <s v="Kiválósági ösztöndíjhoz hozzájárulás (-6,1mFt maradvány, 2020/21 II. és 2021/22 I. félév tanév becsült adatai alapján"/>
    <s v="K"/>
    <m/>
    <s v="Kiválósági ösztöndíjhoz hozzájárulás (-6,1mFt maradvány, 2020/21 II. és 2021/22 I. félév tanév becsült adatai alapján"/>
    <s v="K2A"/>
    <m/>
    <m/>
    <n v="0"/>
    <m/>
    <m/>
    <m/>
  </r>
  <r>
    <m/>
    <m/>
    <m/>
    <m/>
    <m/>
    <m/>
    <m/>
    <m/>
    <m/>
    <m/>
    <m/>
    <m/>
  </r>
  <r>
    <m/>
    <m/>
    <m/>
    <m/>
    <m/>
    <m/>
    <m/>
    <m/>
    <m/>
    <m/>
    <m/>
    <m/>
  </r>
  <r>
    <s v="13."/>
    <m/>
    <m/>
    <m/>
    <s v="Kari kiválósági kiadások"/>
    <s v="K2A"/>
    <m/>
    <s v="ÖSSZEGZŐ SOR"/>
    <n v="16772127.758422859"/>
    <n v="0"/>
    <n v="16772127.758422859"/>
    <n v="0"/>
  </r>
  <r>
    <m/>
    <m/>
    <m/>
    <m/>
    <s v="Kari kiválósági kiadások, maradvány"/>
    <s v="MK"/>
    <m/>
    <s v="MARADVÁNY"/>
    <n v="10497387"/>
    <n v="0"/>
    <n v="10497387"/>
    <n v="0"/>
  </r>
  <r>
    <m/>
    <s v="Kari kiválósági személyi kiadások"/>
    <s v="K"/>
    <s v="K1.d. "/>
    <s v="Kari kiválósági személyi kiadások, maradvány"/>
    <m/>
    <m/>
    <m/>
    <n v="8497387"/>
    <n v="0"/>
    <n v="8497387"/>
    <n v="0"/>
  </r>
  <r>
    <m/>
    <s v="Kari kiválósági dologi kiadások"/>
    <s v="K"/>
    <s v="K2.f."/>
    <s v="Kari kiválósági dologi kiadások, maradvány"/>
    <m/>
    <m/>
    <m/>
    <n v="2000000"/>
    <n v="0"/>
    <n v="2000000"/>
    <n v="0"/>
  </r>
  <r>
    <m/>
    <m/>
    <m/>
    <m/>
    <s v="Kari kiválósági kiadások, idei forrás összesen"/>
    <s v="K"/>
    <m/>
    <s v="ÖSSZEGZŐ SOR"/>
    <n v="6274740.758422859"/>
    <n v="0"/>
    <n v="6274740.758422859"/>
    <n v="0"/>
  </r>
  <r>
    <m/>
    <s v="Kari kiválósági személyi kiadások"/>
    <s v="K"/>
    <s v="K1.d. "/>
    <s v="Kari kiválósági személyi kiadások, idei forrás"/>
    <m/>
    <m/>
    <s v="idei forrás ÖSSZESEN: töltendő, ha nincs alábontás"/>
    <n v="5647266.6825805735"/>
    <n v="0"/>
    <n v="5647266.6825805735"/>
    <n v="0"/>
  </r>
  <r>
    <m/>
    <m/>
    <m/>
    <m/>
    <s v="Kari kiválósági személyi kiadások"/>
    <s v="K"/>
    <n v="14"/>
    <s v="Oktatók alapilletményei"/>
    <m/>
    <n v="0"/>
    <n v="0"/>
    <n v="0"/>
  </r>
  <r>
    <m/>
    <m/>
    <m/>
    <m/>
    <s v="Kari kiválósági személyi kiadások"/>
    <s v="K"/>
    <n v="15"/>
    <s v="Kutatók alapilletményei"/>
    <m/>
    <n v="0"/>
    <n v="0"/>
    <n v="0"/>
  </r>
  <r>
    <m/>
    <m/>
    <m/>
    <m/>
    <s v="Kari kiválósági személyi kiadások"/>
    <s v="K"/>
    <n v="16"/>
    <s v="Működést támogató közalkalmazottak alapilletményei"/>
    <m/>
    <n v="0"/>
    <n v="0"/>
    <n v="0"/>
  </r>
  <r>
    <m/>
    <m/>
    <m/>
    <m/>
    <s v="Kari kiválósági személyi kiadások"/>
    <s v="K"/>
    <n v="17"/>
    <s v="ALAPILLETMÉNY ÖSSZESEN"/>
    <m/>
    <n v="0"/>
    <n v="0"/>
    <n v="0"/>
  </r>
  <r>
    <m/>
    <m/>
    <m/>
    <m/>
    <s v="Kari kiválósági személyi kiadások"/>
    <s v="K"/>
    <n v="18"/>
    <s v="Illetménykiegészítés"/>
    <m/>
    <n v="0"/>
    <n v="0"/>
    <n v="0"/>
  </r>
  <r>
    <m/>
    <m/>
    <m/>
    <m/>
    <s v="Kari kiválósági személyi kiadások"/>
    <s v="K"/>
    <n v="19"/>
    <s v="Nyelvpótlék"/>
    <m/>
    <n v="0"/>
    <n v="0"/>
    <n v="0"/>
  </r>
  <r>
    <m/>
    <m/>
    <m/>
    <m/>
    <s v="Kari kiválósági személyi kiadások"/>
    <s v="K"/>
    <n v="20"/>
    <s v="Egyéb kötelező illetménypótlékok"/>
    <m/>
    <n v="0"/>
    <n v="0"/>
    <n v="0"/>
  </r>
  <r>
    <m/>
    <m/>
    <m/>
    <m/>
    <s v="Kari kiválósági személyi kiadások"/>
    <s v="K"/>
    <n v="21"/>
    <s v="Egyéb feltételtől függő pótlékok és juttatások"/>
    <m/>
    <n v="0"/>
    <n v="0"/>
    <n v="0"/>
  </r>
  <r>
    <m/>
    <m/>
    <m/>
    <m/>
    <s v="Kari kiválósági személyi kiadások"/>
    <s v="K"/>
    <n v="22"/>
    <s v="Rendszeres keresetkiegészítés"/>
    <m/>
    <n v="0"/>
    <n v="0"/>
    <n v="0"/>
  </r>
  <r>
    <m/>
    <m/>
    <m/>
    <m/>
    <s v="Kari kiválósági személyi kiadások"/>
    <s v="K"/>
    <n v="23"/>
    <s v="Eseti keresetkiegészítés"/>
    <m/>
    <n v="0"/>
    <n v="0"/>
    <n v="0"/>
  </r>
  <r>
    <m/>
    <m/>
    <m/>
    <m/>
    <s v="Kari kiválósági személyi kiadások"/>
    <s v="K"/>
    <n v="24"/>
    <s v="Egyéb juttatások kiadásai"/>
    <m/>
    <n v="0"/>
    <n v="0"/>
    <n v="0"/>
  </r>
  <r>
    <m/>
    <m/>
    <m/>
    <m/>
    <s v="Kari kiválósági személyi kiadások"/>
    <s v="K"/>
    <n v="25"/>
    <s v="Hallgatói munkadíjak"/>
    <m/>
    <n v="0"/>
    <n v="0"/>
    <n v="0"/>
  </r>
  <r>
    <m/>
    <m/>
    <m/>
    <m/>
    <s v="Kari kiválósági személyi kiadások"/>
    <s v="K"/>
    <n v="26"/>
    <s v="Üres álláshelyekre tervezett illetmény (okt+kut+egyéb+hallg)"/>
    <m/>
    <n v="0"/>
    <n v="0"/>
    <n v="0"/>
  </r>
  <r>
    <m/>
    <m/>
    <m/>
    <m/>
    <s v="Kari kiválósági személyi kiadások"/>
    <s v="K"/>
    <n v="30"/>
    <s v="Céljuttatás, projektprémium"/>
    <m/>
    <n v="0"/>
    <n v="0"/>
    <n v="0"/>
  </r>
  <r>
    <m/>
    <m/>
    <m/>
    <m/>
    <s v="Kari kiválósági személyi kiadások"/>
    <s v="K"/>
    <n v="31"/>
    <s v="Készenlét. ügyelet. helyettesítési díj, túlóra"/>
    <m/>
    <n v="0"/>
    <n v="0"/>
    <n v="0"/>
  </r>
  <r>
    <m/>
    <m/>
    <m/>
    <m/>
    <s v="Kari kiválósági személyi kiadások"/>
    <s v="K"/>
    <n v="32"/>
    <s v="Végkielégítés"/>
    <m/>
    <n v="0"/>
    <n v="0"/>
    <n v="0"/>
  </r>
  <r>
    <m/>
    <m/>
    <m/>
    <m/>
    <s v="Kari kiválósági személyi kiadások"/>
    <s v="K"/>
    <n v="33"/>
    <s v="Jubileumi jutalom"/>
    <m/>
    <n v="0"/>
    <n v="0"/>
    <n v="0"/>
  </r>
  <r>
    <m/>
    <m/>
    <m/>
    <m/>
    <s v="Kari kiválósági személyi kiadások"/>
    <s v="K"/>
    <n v="34"/>
    <s v="Iskolarendsz.képzés hozzájár."/>
    <m/>
    <n v="0"/>
    <n v="0"/>
    <n v="0"/>
  </r>
  <r>
    <m/>
    <m/>
    <m/>
    <m/>
    <s v="Kari kiválósági személyi kiadások"/>
    <s v="K"/>
    <n v="35"/>
    <s v="Iskolakezdési támogatás teljesítése"/>
    <m/>
    <n v="0"/>
    <n v="0"/>
    <n v="0"/>
  </r>
  <r>
    <m/>
    <m/>
    <m/>
    <m/>
    <s v="Kari kiválósági személyi kiadások"/>
    <s v="K"/>
    <n v="36"/>
    <s v="Egyéb béren kívüli juttatás teljesítése"/>
    <m/>
    <n v="0"/>
    <n v="0"/>
    <n v="0"/>
  </r>
  <r>
    <m/>
    <m/>
    <m/>
    <m/>
    <s v="Kari kiválósági személyi kiadások"/>
    <s v="K"/>
    <n v="37"/>
    <s v="Munkábajárás útiköltsége, bérlet"/>
    <m/>
    <n v="0"/>
    <n v="0"/>
    <n v="0"/>
  </r>
  <r>
    <m/>
    <m/>
    <m/>
    <m/>
    <s v="Kari kiválósági személyi kiadások"/>
    <s v="K"/>
    <n v="38"/>
    <s v="Munkábajárás útiköltsége - saját gk. (9 Ft/km)"/>
    <m/>
    <n v="0"/>
    <n v="0"/>
    <n v="0"/>
  </r>
  <r>
    <m/>
    <m/>
    <m/>
    <m/>
    <s v="Kari kiválósági személyi kiadások"/>
    <s v="K"/>
    <n v="39"/>
    <s v="Egyéb költségtérítések (bankköltség)"/>
    <m/>
    <n v="0"/>
    <n v="0"/>
    <n v="0"/>
  </r>
  <r>
    <m/>
    <m/>
    <m/>
    <m/>
    <s v="Kari kiválósági személyi kiadások"/>
    <s v="K"/>
    <n v="40"/>
    <s v="Lakhatási támogatás,albérleti hozzájárulás"/>
    <m/>
    <n v="0"/>
    <n v="0"/>
    <n v="0"/>
  </r>
  <r>
    <m/>
    <m/>
    <m/>
    <m/>
    <s v="Kari kiválósági személyi kiadások"/>
    <s v="K"/>
    <n v="41"/>
    <s v="Szociális jellegű juttatások"/>
    <m/>
    <n v="0"/>
    <n v="0"/>
    <n v="0"/>
  </r>
  <r>
    <m/>
    <m/>
    <m/>
    <m/>
    <s v="Kari kiválósági személyi kiadások"/>
    <s v="K"/>
    <n v="42"/>
    <s v="Foglalkoztatottak e.szem.jutt.  (Távolléti díj)"/>
    <m/>
    <n v="0"/>
    <n v="0"/>
    <n v="0"/>
  </r>
  <r>
    <m/>
    <m/>
    <m/>
    <m/>
    <s v="Kari kiválósági személyi kiadások"/>
    <s v="K"/>
    <n v="43"/>
    <s v="Saját munkavállaló oktatási megbízási díj"/>
    <m/>
    <n v="0"/>
    <n v="0"/>
    <n v="0"/>
  </r>
  <r>
    <m/>
    <m/>
    <m/>
    <m/>
    <s v="Kari kiválósági személyi kiadások"/>
    <s v="K"/>
    <n v="44"/>
    <s v="Külföldi napidíj teljesítése"/>
    <m/>
    <n v="0"/>
    <n v="0"/>
    <n v="0"/>
  </r>
  <r>
    <m/>
    <m/>
    <m/>
    <m/>
    <s v="Kari kiválósági személyi kiadások"/>
    <s v="K"/>
    <n v="45"/>
    <s v="Bérkompenzáció (teljes és részmunkaidős foglalk.)"/>
    <m/>
    <n v="0"/>
    <n v="0"/>
    <n v="0"/>
  </r>
  <r>
    <m/>
    <m/>
    <m/>
    <m/>
    <s v="Kari kiválósági személyi kiadások"/>
    <s v="K"/>
    <n v="47"/>
    <s v="Külső megbízott megbízási díj teljesítése"/>
    <m/>
    <n v="0"/>
    <n v="0"/>
    <n v="0"/>
  </r>
  <r>
    <m/>
    <m/>
    <m/>
    <m/>
    <s v="Kari kiválósági személyi kiadások"/>
    <s v="K"/>
    <n v="48"/>
    <s v="Külsős tiszteletdíj,szerzői díj,honoráriuma"/>
    <m/>
    <n v="0"/>
    <n v="0"/>
    <n v="0"/>
  </r>
  <r>
    <m/>
    <m/>
    <m/>
    <m/>
    <s v="Kari kiválósági személyi kiadások"/>
    <s v="K"/>
    <n v="49"/>
    <s v="Külsős belföldi napidíj teljesítése"/>
    <m/>
    <n v="0"/>
    <n v="0"/>
    <n v="0"/>
  </r>
  <r>
    <m/>
    <m/>
    <m/>
    <m/>
    <s v="Kari kiválósági személyi kiadások"/>
    <s v="K"/>
    <n v="50"/>
    <s v="Külsős külföldi napidíj teljesítése"/>
    <m/>
    <n v="0"/>
    <n v="0"/>
    <n v="0"/>
  </r>
  <r>
    <m/>
    <m/>
    <m/>
    <m/>
    <s v="Kari kiválósági személyi kiadások"/>
    <s v="K"/>
    <n v="51"/>
    <s v="MVÉGZÉSRE IR. E. JOGVISZONYBAN FIZETETT JUTTATÁSOK"/>
    <m/>
    <n v="0"/>
    <n v="0"/>
    <n v="0"/>
  </r>
  <r>
    <m/>
    <m/>
    <m/>
    <m/>
    <s v="Kari kiválósági személyi kiadások"/>
    <s v="K"/>
    <n v="52"/>
    <s v="Felmentési bér teljesítése"/>
    <m/>
    <n v="0"/>
    <n v="0"/>
    <n v="0"/>
  </r>
  <r>
    <m/>
    <m/>
    <m/>
    <m/>
    <s v="Kari kiválósági személyi kiadások"/>
    <s v="K"/>
    <n v="53"/>
    <s v="Munkaviszonyban nem állók költségtérítése"/>
    <m/>
    <n v="0"/>
    <n v="0"/>
    <n v="0"/>
  </r>
  <r>
    <m/>
    <m/>
    <m/>
    <m/>
    <s v="Kari kiválósági személyi kiadások"/>
    <s v="K"/>
    <n v="54"/>
    <s v="Ktg.és egyéb juttatások"/>
    <m/>
    <n v="0"/>
    <n v="0"/>
    <n v="0"/>
  </r>
  <r>
    <m/>
    <m/>
    <m/>
    <m/>
    <s v="Kari kiválósági személyi kiadások"/>
    <s v="K"/>
    <n v="55"/>
    <s v="Ktg.és egyéb jutt./vas.gyém.rubin okl.,ö.díj kieg.,OTKA p.)"/>
    <m/>
    <n v="0"/>
    <n v="0"/>
    <n v="0"/>
  </r>
  <r>
    <m/>
    <m/>
    <m/>
    <m/>
    <s v="Kari kiválósági személyi kiadások"/>
    <s v="K"/>
    <n v="56"/>
    <s v="Reprezentáció"/>
    <m/>
    <n v="0"/>
    <n v="0"/>
    <n v="0"/>
  </r>
  <r>
    <m/>
    <m/>
    <m/>
    <m/>
    <s v="Kari kiválósági személyi kiadások"/>
    <s v="K"/>
    <n v="57"/>
    <s v="EGYÉB KÜLSŐ SZEMÉLYI JUTTATÁSOK"/>
    <m/>
    <n v="0"/>
    <n v="0"/>
    <n v="0"/>
  </r>
  <r>
    <m/>
    <m/>
    <m/>
    <m/>
    <s v="Kari kiválósági személyi kiadások"/>
    <s v="K"/>
    <n v="58"/>
    <s v="KÜLSŐ SZEMÉLYI JUTTATÁSOK"/>
    <m/>
    <n v="0"/>
    <n v="0"/>
    <n v="0"/>
  </r>
  <r>
    <m/>
    <m/>
    <m/>
    <m/>
    <s v="Kari kiválósági személyi kiadások"/>
    <s v="K"/>
    <n v="59"/>
    <s v="SZEMÉLYI JUTTATÁSOK"/>
    <m/>
    <n v="0"/>
    <n v="0"/>
    <n v="0"/>
  </r>
  <r>
    <m/>
    <m/>
    <m/>
    <m/>
    <s v="Kari kiválósági személyi kiadások"/>
    <s v="K"/>
    <n v="60"/>
    <s v="SZOCHÓ (15,5%)"/>
    <m/>
    <n v="0"/>
    <n v="0"/>
    <n v="0"/>
  </r>
  <r>
    <m/>
    <m/>
    <m/>
    <m/>
    <s v="Kari kiválósági személyi kiadások"/>
    <s v="K"/>
    <n v="61"/>
    <s v="Üres"/>
    <m/>
    <n v="0"/>
    <n v="0"/>
    <n v="0"/>
  </r>
  <r>
    <m/>
    <m/>
    <m/>
    <m/>
    <s v="Kari kiválósági személyi kiadások"/>
    <s v="K"/>
    <n v="62"/>
    <s v="EKHO (15,5%)"/>
    <m/>
    <n v="0"/>
    <n v="0"/>
    <n v="0"/>
  </r>
  <r>
    <m/>
    <m/>
    <m/>
    <m/>
    <s v="Kari kiválósági személyi kiadások"/>
    <s v="K"/>
    <n v="63"/>
    <s v="Kifizetői 15,5 %-os SZOCHO"/>
    <m/>
    <n v="0"/>
    <n v="0"/>
    <n v="0"/>
  </r>
  <r>
    <m/>
    <m/>
    <m/>
    <m/>
    <s v="Kari kiválósági személyi kiadások"/>
    <s v="K"/>
    <n v="64"/>
    <s v="Kifizető által fizetett SZJA"/>
    <m/>
    <n v="0"/>
    <n v="0"/>
    <n v="0"/>
  </r>
  <r>
    <m/>
    <m/>
    <m/>
    <m/>
    <s v="Kari kiválósági személyi kiadások"/>
    <s v="K"/>
    <n v="65"/>
    <s v="Rehabilitációs hozzájárulás"/>
    <m/>
    <n v="0"/>
    <n v="0"/>
    <n v="0"/>
  </r>
  <r>
    <m/>
    <m/>
    <m/>
    <m/>
    <s v="Kari kiválósági személyi kiadások"/>
    <s v="K"/>
    <n v="66"/>
    <s v="MUNKAADÓKAT T.JÁRULÉKOK ÉS SZOCIÁLIS HOZZÁJÁRULÁSI ADÓ"/>
    <m/>
    <n v="0"/>
    <n v="0"/>
    <n v="0"/>
  </r>
  <r>
    <m/>
    <s v="Kari kiválósági dologi kiadások"/>
    <s v="K"/>
    <s v="K2.f."/>
    <s v="Kari kiválósági dologi kiadások, idei forrás"/>
    <m/>
    <m/>
    <s v="idei forrás ÖSSZESEN: töltendő, ha nincs alábontás"/>
    <n v="627474.07584228553"/>
    <n v="0"/>
    <n v="627474.07584228553"/>
    <n v="0"/>
  </r>
  <r>
    <m/>
    <m/>
    <m/>
    <m/>
    <s v="Kari kiválósági dologi kiadások"/>
    <s v="K"/>
    <n v="67"/>
    <s v="Gyógyszerbeszerzés"/>
    <m/>
    <n v="0"/>
    <n v="0"/>
    <n v="0"/>
  </r>
  <r>
    <m/>
    <m/>
    <m/>
    <m/>
    <s v="Kari kiválósági dologi kiadások"/>
    <s v="K"/>
    <n v="68"/>
    <s v="Vegyszerbeszerzés"/>
    <m/>
    <n v="0"/>
    <n v="0"/>
    <n v="0"/>
  </r>
  <r>
    <m/>
    <m/>
    <m/>
    <m/>
    <s v="Kari kiválósági dologi kiadások"/>
    <s v="K"/>
    <n v="69"/>
    <s v="Egyéb szakmai anyagbeszerzés"/>
    <m/>
    <n v="0"/>
    <n v="0"/>
    <n v="0"/>
  </r>
  <r>
    <m/>
    <m/>
    <m/>
    <m/>
    <s v="Kari kiválósági dologi kiadások"/>
    <s v="K"/>
    <n v="70"/>
    <s v="Könyvbeszerzés (5% ÁFA)"/>
    <m/>
    <n v="0"/>
    <n v="0"/>
    <n v="0"/>
  </r>
  <r>
    <m/>
    <m/>
    <m/>
    <m/>
    <s v="Kari kiválósági dologi kiadások"/>
    <s v="K"/>
    <n v="71"/>
    <s v="Egy éven belül elhasználódó szakmai anyag"/>
    <m/>
    <n v="0"/>
    <n v="0"/>
    <n v="0"/>
  </r>
  <r>
    <m/>
    <m/>
    <m/>
    <m/>
    <s v="Kari kiválósági dologi kiadások"/>
    <s v="K"/>
    <n v="73"/>
    <s v="Irodaszer. sokszorosítási. számítástechnikai anyagok"/>
    <m/>
    <n v="0"/>
    <n v="0"/>
    <n v="0"/>
  </r>
  <r>
    <m/>
    <m/>
    <m/>
    <m/>
    <s v="Kari kiválósági dologi kiadások"/>
    <s v="K"/>
    <n v="74"/>
    <s v="Nyomtatvány beszerzés"/>
    <m/>
    <n v="0"/>
    <n v="0"/>
    <n v="0"/>
  </r>
  <r>
    <m/>
    <m/>
    <m/>
    <m/>
    <s v="Kari kiválósági dologi kiadások"/>
    <s v="K"/>
    <n v="75"/>
    <s v="Hajtó- és kenőanyag beszerzése"/>
    <m/>
    <n v="0"/>
    <n v="0"/>
    <n v="0"/>
  </r>
  <r>
    <m/>
    <m/>
    <m/>
    <m/>
    <s v="Kari kiválósági dologi kiadások"/>
    <s v="K"/>
    <n v="76"/>
    <s v="Munka-. védő- és formaruha beszerzés"/>
    <m/>
    <n v="0"/>
    <n v="0"/>
    <n v="0"/>
  </r>
  <r>
    <m/>
    <m/>
    <m/>
    <m/>
    <s v="Kari kiválósági dologi kiadások"/>
    <s v="K"/>
    <n v="77"/>
    <s v="Karbantartási anyagok. alkatrészek.szerszámok beszerz"/>
    <m/>
    <n v="0"/>
    <n v="0"/>
    <n v="0"/>
  </r>
  <r>
    <m/>
    <m/>
    <m/>
    <m/>
    <s v="Kari kiválósági dologi kiadások"/>
    <s v="K"/>
    <n v="78"/>
    <s v="Bútorok.berend..felszer. tárgyak. textíliák beszerz."/>
    <m/>
    <n v="0"/>
    <n v="0"/>
    <n v="0"/>
  </r>
  <r>
    <m/>
    <m/>
    <m/>
    <m/>
    <s v="Kari kiválósági dologi kiadások"/>
    <s v="K"/>
    <n v="79"/>
    <s v="Tisztítószerek. tisztálkodási szerek beszerzése"/>
    <m/>
    <n v="0"/>
    <n v="0"/>
    <n v="0"/>
  </r>
  <r>
    <m/>
    <m/>
    <m/>
    <m/>
    <s v="Kari kiválósági dologi kiadások"/>
    <s v="K"/>
    <n v="80"/>
    <s v="Számítástechnikai alkatrészek.készletek beszerzése"/>
    <m/>
    <n v="0"/>
    <n v="0"/>
    <n v="0"/>
  </r>
  <r>
    <m/>
    <m/>
    <m/>
    <m/>
    <s v="Kari kiválósági dologi kiadások"/>
    <s v="K"/>
    <n v="81"/>
    <s v="Egyéb készletbeszerzés"/>
    <m/>
    <n v="0"/>
    <n v="0"/>
    <n v="0"/>
  </r>
  <r>
    <m/>
    <m/>
    <m/>
    <m/>
    <s v="Kari kiválósági dologi kiadások"/>
    <s v="K"/>
    <n v="84"/>
    <s v="Számítástechnikai oktatási szolg."/>
    <m/>
    <n v="0"/>
    <n v="0"/>
    <n v="0"/>
  </r>
  <r>
    <m/>
    <m/>
    <m/>
    <m/>
    <s v="Kari kiválósági dologi kiadások"/>
    <s v="K"/>
    <n v="85"/>
    <s v="Inform.eszközök, szolg.bérlet,lízingelés ktg."/>
    <m/>
    <n v="0"/>
    <n v="0"/>
    <n v="0"/>
  </r>
  <r>
    <m/>
    <m/>
    <m/>
    <m/>
    <s v="Kari kiválósági dologi kiadások"/>
    <s v="K"/>
    <n v="86"/>
    <s v="Informatikai eszközök karbantartása. kisjav."/>
    <m/>
    <n v="0"/>
    <n v="0"/>
    <n v="0"/>
  </r>
  <r>
    <m/>
    <m/>
    <m/>
    <m/>
    <s v="Kari kiválósági dologi kiadások"/>
    <s v="K"/>
    <n v="87"/>
    <s v="Adatfeldolgozási szolgáltatások"/>
    <m/>
    <n v="0"/>
    <n v="0"/>
    <n v="0"/>
  </r>
  <r>
    <m/>
    <m/>
    <m/>
    <m/>
    <s v="Kari kiválósági dologi kiadások"/>
    <s v="K"/>
    <n v="88"/>
    <s v="Adatátviteli célú távközlési díjak"/>
    <m/>
    <n v="0"/>
    <n v="0"/>
    <n v="0"/>
  </r>
  <r>
    <m/>
    <m/>
    <m/>
    <m/>
    <s v="Kari kiválósági dologi kiadások"/>
    <s v="K"/>
    <n v="90"/>
    <s v="TV előfizetési díj"/>
    <m/>
    <n v="0"/>
    <n v="0"/>
    <n v="0"/>
  </r>
  <r>
    <m/>
    <m/>
    <m/>
    <m/>
    <s v="Kari kiválósági dologi kiadások"/>
    <s v="K"/>
    <n v="91"/>
    <s v="Egyéb kommunikációs szolgáltatások"/>
    <m/>
    <n v="0"/>
    <n v="0"/>
    <n v="0"/>
  </r>
  <r>
    <m/>
    <m/>
    <m/>
    <m/>
    <s v="Kari kiválósági dologi kiadások"/>
    <s v="K"/>
    <n v="92"/>
    <s v="Nem adatátviteli célú távközlési díjak"/>
    <m/>
    <n v="0"/>
    <n v="0"/>
    <n v="0"/>
  </r>
  <r>
    <m/>
    <m/>
    <m/>
    <m/>
    <s v="Kari kiválósági dologi kiadások"/>
    <s v="K"/>
    <n v="93"/>
    <s v="Nem járulékköteles távközlési díj"/>
    <m/>
    <n v="0"/>
    <n v="0"/>
    <n v="0"/>
  </r>
  <r>
    <m/>
    <m/>
    <m/>
    <m/>
    <s v="Kari kiválósági dologi kiadások"/>
    <s v="K"/>
    <n v="96"/>
    <s v="Villamosenergia szolgáltatás díja"/>
    <m/>
    <n v="0"/>
    <n v="0"/>
    <n v="0"/>
  </r>
  <r>
    <m/>
    <m/>
    <m/>
    <m/>
    <s v="Kari kiválósági dologi kiadások"/>
    <s v="K"/>
    <n v="97"/>
    <s v="Gázenergia szolgáltatás díja"/>
    <m/>
    <n v="0"/>
    <n v="0"/>
    <n v="0"/>
  </r>
  <r>
    <m/>
    <m/>
    <m/>
    <m/>
    <s v="Kari kiválósági dologi kiadások"/>
    <s v="K"/>
    <n v="98"/>
    <s v="Távhő és melegvíz szolgáltatás díja"/>
    <m/>
    <n v="0"/>
    <n v="0"/>
    <n v="0"/>
  </r>
  <r>
    <m/>
    <m/>
    <m/>
    <m/>
    <s v="Kari kiválósági dologi kiadások"/>
    <s v="K"/>
    <n v="99"/>
    <s v="Víz- és csatornadíjak"/>
    <m/>
    <n v="0"/>
    <n v="0"/>
    <n v="0"/>
  </r>
  <r>
    <m/>
    <m/>
    <m/>
    <m/>
    <s v="Kari kiválósági dologi kiadások"/>
    <s v="K"/>
    <n v="100"/>
    <s v="ÁFA mentes villamosenergia szolgáltatás díja"/>
    <m/>
    <n v="0"/>
    <n v="0"/>
    <n v="0"/>
  </r>
  <r>
    <m/>
    <m/>
    <m/>
    <m/>
    <s v="Kari kiválósági dologi kiadások"/>
    <s v="K"/>
    <n v="102"/>
    <s v="Vásárolt élelmezés"/>
    <m/>
    <n v="0"/>
    <n v="0"/>
    <n v="0"/>
  </r>
  <r>
    <m/>
    <m/>
    <m/>
    <m/>
    <s v="Kari kiválósági dologi kiadások"/>
    <s v="K"/>
    <n v="104"/>
    <s v="PPP szolgáltatás"/>
    <m/>
    <n v="0"/>
    <n v="0"/>
    <n v="0"/>
  </r>
  <r>
    <m/>
    <m/>
    <m/>
    <m/>
    <s v="Kari kiválósági dologi kiadások"/>
    <s v="K"/>
    <n v="105"/>
    <s v="Egyéb kül. bérleti és lízing díjak (PPP nélkül)"/>
    <m/>
    <n v="0"/>
    <n v="0"/>
    <n v="0"/>
  </r>
  <r>
    <m/>
    <m/>
    <m/>
    <m/>
    <s v="Kari kiválósági dologi kiadások"/>
    <s v="K"/>
    <n v="106"/>
    <s v="Ingatlan bérleti díj költségei (Áfa mentes)"/>
    <m/>
    <n v="0"/>
    <n v="0"/>
    <n v="0"/>
  </r>
  <r>
    <m/>
    <m/>
    <m/>
    <m/>
    <s v="Kari kiválósági dologi kiadások"/>
    <s v="K"/>
    <n v="108"/>
    <s v="Ingatlanok karbantartása. kisjavítása"/>
    <m/>
    <n v="0"/>
    <n v="0"/>
    <n v="0"/>
  </r>
  <r>
    <m/>
    <m/>
    <m/>
    <m/>
    <s v="Kari kiválósági dologi kiadások"/>
    <s v="K"/>
    <n v="109"/>
    <s v="Gépek berendezések karbantartása, kisjavítása ktg."/>
    <m/>
    <n v="0"/>
    <n v="0"/>
    <n v="0"/>
  </r>
  <r>
    <m/>
    <m/>
    <m/>
    <m/>
    <s v="Kari kiválósági dologi kiadások"/>
    <s v="K"/>
    <n v="110"/>
    <s v="Járművekkel kapcsolatos karbantartási, kisjav. kiadások"/>
    <m/>
    <n v="0"/>
    <n v="0"/>
    <n v="0"/>
  </r>
  <r>
    <m/>
    <m/>
    <m/>
    <m/>
    <s v="Kari kiválósági dologi kiadások"/>
    <s v="K"/>
    <n v="112"/>
    <s v="AHT-n belüli közvetített szolgáltatások"/>
    <m/>
    <n v="0"/>
    <n v="0"/>
    <n v="0"/>
  </r>
  <r>
    <m/>
    <m/>
    <m/>
    <m/>
    <s v="Kari kiválósági dologi kiadások"/>
    <s v="K"/>
    <n v="113"/>
    <s v="AHT-n kívüli közvetített szolgáltatások"/>
    <m/>
    <n v="0"/>
    <n v="0"/>
    <n v="0"/>
  </r>
  <r>
    <m/>
    <m/>
    <m/>
    <m/>
    <s v="Kari kiválósági dologi kiadások"/>
    <s v="K"/>
    <n v="115"/>
    <s v="Vásárolt közszolgáltatások (pld. egészségügyi)"/>
    <m/>
    <n v="0"/>
    <n v="0"/>
    <n v="0"/>
  </r>
  <r>
    <m/>
    <m/>
    <m/>
    <m/>
    <s v="Kari kiválósági dologi kiadások"/>
    <s v="K"/>
    <n v="116"/>
    <s v="Jogi szolgáltatások"/>
    <m/>
    <n v="0"/>
    <n v="0"/>
    <n v="0"/>
  </r>
  <r>
    <m/>
    <m/>
    <m/>
    <m/>
    <s v="Kari kiválósági dologi kiadások"/>
    <s v="K"/>
    <n v="117"/>
    <s v="Számlázott (okt..kut.)szellemi tev.kiad."/>
    <m/>
    <n v="0"/>
    <n v="0"/>
    <n v="0"/>
  </r>
  <r>
    <m/>
    <m/>
    <m/>
    <m/>
    <s v="Kari kiválósági dologi kiadások"/>
    <s v="K"/>
    <n v="118"/>
    <s v="Szakmai szolgáltatások"/>
    <m/>
    <n v="0"/>
    <n v="0"/>
    <n v="0"/>
  </r>
  <r>
    <m/>
    <m/>
    <m/>
    <m/>
    <s v="Kari kiválósági dologi kiadások"/>
    <s v="K"/>
    <n v="119"/>
    <s v="Sport és kulturális szolgáltatás"/>
    <m/>
    <n v="0"/>
    <n v="0"/>
    <n v="0"/>
  </r>
  <r>
    <m/>
    <m/>
    <m/>
    <m/>
    <s v="Kari kiválósági dologi kiadások"/>
    <s v="K"/>
    <n v="120"/>
    <s v="Tanfolyamok. továbbképzések"/>
    <m/>
    <n v="0"/>
    <n v="0"/>
    <n v="0"/>
  </r>
  <r>
    <m/>
    <m/>
    <m/>
    <m/>
    <s v="Kari kiválósági dologi kiadások"/>
    <s v="K"/>
    <n v="122"/>
    <s v="Egyéb pénzügyi szoltáltatások (bankktg.)"/>
    <m/>
    <n v="0"/>
    <n v="0"/>
    <n v="0"/>
  </r>
  <r>
    <m/>
    <m/>
    <m/>
    <m/>
    <s v="Kari kiválósági dologi kiadások"/>
    <s v="K"/>
    <n v="123"/>
    <s v="Anyag- és áruszállítás költségei"/>
    <m/>
    <n v="0"/>
    <n v="0"/>
    <n v="0"/>
  </r>
  <r>
    <m/>
    <m/>
    <m/>
    <m/>
    <s v="Kari kiválósági dologi kiadások"/>
    <s v="K"/>
    <n v="124"/>
    <s v="Egyéb szállítás költségei"/>
    <m/>
    <n v="0"/>
    <n v="0"/>
    <n v="0"/>
  </r>
  <r>
    <m/>
    <m/>
    <m/>
    <m/>
    <s v="Kari kiválósági dologi kiadások"/>
    <s v="K"/>
    <n v="125"/>
    <s v="Postai levél. csomag. feladott távirat"/>
    <m/>
    <n v="0"/>
    <n v="0"/>
    <n v="0"/>
  </r>
  <r>
    <m/>
    <m/>
    <m/>
    <m/>
    <s v="Kari kiválósági dologi kiadások"/>
    <s v="K"/>
    <n v="126"/>
    <s v="Takarítás"/>
    <m/>
    <n v="0"/>
    <n v="0"/>
    <n v="0"/>
  </r>
  <r>
    <m/>
    <m/>
    <m/>
    <m/>
    <s v="Kari kiválósági dologi kiadások"/>
    <s v="K"/>
    <n v="127"/>
    <s v="Rovarirtás"/>
    <m/>
    <n v="0"/>
    <n v="0"/>
    <n v="0"/>
  </r>
  <r>
    <m/>
    <m/>
    <m/>
    <m/>
    <s v="Kari kiválósági dologi kiadások"/>
    <s v="K"/>
    <n v="128"/>
    <s v="Kommunális hulladék szállítási költségei"/>
    <m/>
    <n v="0"/>
    <n v="0"/>
    <n v="0"/>
  </r>
  <r>
    <m/>
    <m/>
    <m/>
    <m/>
    <s v="Kari kiválósági dologi kiadások"/>
    <s v="K"/>
    <n v="129"/>
    <s v="Kéményseprési díjak költségei"/>
    <m/>
    <n v="0"/>
    <n v="0"/>
    <n v="0"/>
  </r>
  <r>
    <m/>
    <m/>
    <m/>
    <m/>
    <s v="Kari kiválósági dologi kiadások"/>
    <s v="K"/>
    <n v="130"/>
    <s v="Nyomdai költség"/>
    <m/>
    <n v="0"/>
    <n v="0"/>
    <n v="0"/>
  </r>
  <r>
    <m/>
    <m/>
    <m/>
    <m/>
    <s v="Kari kiválósági dologi kiadások"/>
    <s v="K"/>
    <n v="131"/>
    <s v="Ingatlanok üzemelt. fenntartási kiad."/>
    <m/>
    <n v="0"/>
    <n v="0"/>
    <n v="0"/>
  </r>
  <r>
    <m/>
    <m/>
    <m/>
    <m/>
    <s v="Kari kiválósági dologi kiadások"/>
    <s v="K"/>
    <n v="132"/>
    <s v="Egyéb üzemelt. Kiadások (mosás, rakodás)"/>
    <m/>
    <n v="0"/>
    <n v="0"/>
    <n v="0"/>
  </r>
  <r>
    <m/>
    <m/>
    <m/>
    <m/>
    <s v="Kari kiválósági dologi kiadások"/>
    <s v="K"/>
    <n v="133"/>
    <s v="Egyéb más jellegű szolg. Költségei (audit, ell.)"/>
    <m/>
    <n v="0"/>
    <n v="0"/>
    <n v="0"/>
  </r>
  <r>
    <m/>
    <m/>
    <m/>
    <m/>
    <s v="Kari kiválósági dologi kiadások"/>
    <s v="K"/>
    <n v="134"/>
    <s v="Biztosítási díj (központilag fizetett vagyonbiztosítás)"/>
    <m/>
    <n v="0"/>
    <n v="0"/>
    <n v="0"/>
  </r>
  <r>
    <m/>
    <m/>
    <m/>
    <m/>
    <s v="Kari kiválósági dologi kiadások"/>
    <s v="K"/>
    <n v="137"/>
    <s v="Külföldi kiküldetések kiadásai"/>
    <m/>
    <n v="0"/>
    <n v="0"/>
    <n v="0"/>
  </r>
  <r>
    <m/>
    <m/>
    <m/>
    <m/>
    <s v="Kari kiválósági dologi kiadások"/>
    <s v="K"/>
    <n v="138"/>
    <s v="Belföldi kiküldetések kiadásai"/>
    <m/>
    <n v="0"/>
    <n v="0"/>
    <n v="0"/>
  </r>
  <r>
    <m/>
    <m/>
    <m/>
    <m/>
    <s v="Kari kiválósági dologi kiadások"/>
    <s v="K"/>
    <n v="139"/>
    <s v="Reklám- és propaganda költségei"/>
    <m/>
    <n v="0"/>
    <n v="0"/>
    <n v="0"/>
  </r>
  <r>
    <m/>
    <m/>
    <m/>
    <m/>
    <s v="Kari kiválósági dologi kiadások"/>
    <s v="K"/>
    <n v="141"/>
    <s v="Nem levonható egyenes adós ÁFA anyag, szolg."/>
    <m/>
    <n v="0"/>
    <n v="0"/>
    <n v="0"/>
  </r>
  <r>
    <m/>
    <m/>
    <m/>
    <m/>
    <s v="Kari kiválósági dologi kiadások"/>
    <s v="K"/>
    <n v="142"/>
    <s v="Egyenes adózású ÁFA befizetés"/>
    <m/>
    <n v="0"/>
    <n v="0"/>
    <n v="0"/>
  </r>
  <r>
    <m/>
    <m/>
    <m/>
    <m/>
    <s v="Kari kiválósági dologi kiadások"/>
    <s v="K"/>
    <n v="144"/>
    <s v="Külf.pénzért.szóló köt.p.ügy.real.árfoly.veszt."/>
    <m/>
    <n v="0"/>
    <n v="0"/>
    <n v="0"/>
  </r>
  <r>
    <m/>
    <m/>
    <m/>
    <m/>
    <s v="Kari kiválósági dologi kiadások"/>
    <s v="K"/>
    <n v="145"/>
    <s v="H. adók.e. vám, illeték és adójell. befiz. ráf."/>
    <m/>
    <n v="0"/>
    <n v="0"/>
    <n v="0"/>
  </r>
  <r>
    <m/>
    <m/>
    <m/>
    <m/>
    <s v="Kari kiválósági dologi kiadások"/>
    <s v="K"/>
    <n v="146"/>
    <s v="Díjak, egyéb befiz., ráford. tagsági díjak kiad."/>
    <m/>
    <n v="0"/>
    <n v="0"/>
    <n v="0"/>
  </r>
  <r>
    <m/>
    <m/>
    <m/>
    <m/>
    <s v="Kari kiválósági dologi kiadások"/>
    <s v="K"/>
    <n v="147"/>
    <s v="Turizmusfejlesztési hozzájárulás (4%)"/>
    <m/>
    <n v="0"/>
    <n v="0"/>
    <n v="0"/>
  </r>
  <r>
    <m/>
    <m/>
    <m/>
    <m/>
    <s v="Kari kiválósági dologi kiadások"/>
    <s v="K"/>
    <n v="148"/>
    <s v="Különféle egyéb dologi kiad. miatti egyéb ráfordítások"/>
    <m/>
    <n v="0"/>
    <n v="0"/>
    <n v="0"/>
  </r>
  <r>
    <m/>
    <m/>
    <m/>
    <m/>
    <s v="Kari kiválósági dologi kiadások"/>
    <s v="K"/>
    <n v="149"/>
    <s v="Kollégiumok FK keret fele"/>
    <m/>
    <n v="0"/>
    <n v="0"/>
    <n v="0"/>
  </r>
  <r>
    <s v="14."/>
    <m/>
    <m/>
    <m/>
    <s v="Kiadások célfeladatokra (átfutó)"/>
    <s v="K2A"/>
    <m/>
    <s v="ÖSSZEGZŐ SOR"/>
    <n v="0"/>
    <n v="0"/>
    <n v="0"/>
    <n v="0"/>
  </r>
  <r>
    <m/>
    <m/>
    <m/>
    <m/>
    <s v="Kiadások célfeladatokra (átfutó), maradvány, összesen"/>
    <m/>
    <m/>
    <s v="ÖSSZEGZŐ SOR"/>
    <n v="0"/>
    <n v="0"/>
    <n v="0"/>
    <n v="0"/>
  </r>
  <r>
    <m/>
    <s v="Személyi kiadások (üzemeltetetés és informatika nélkül)"/>
    <s v="K"/>
    <s v="K1.a."/>
    <s v="Kiadások célfeladatokra (átfutó), maradvány, személyi"/>
    <s v="MK"/>
    <m/>
    <s v="MARADVÁNY"/>
    <m/>
    <n v="0"/>
    <n v="0"/>
    <n v="0"/>
  </r>
  <r>
    <m/>
    <s v="Dologi kiadások (üzemeltetetés és informatika nélkül)"/>
    <s v="K"/>
    <s v="K2.a. "/>
    <s v="Kiadások célfeladatokra (átfutó), maradvány, dologi"/>
    <s v="MK"/>
    <m/>
    <s v="MARADVÁNY"/>
    <m/>
    <n v="0"/>
    <n v="0"/>
    <n v="0"/>
  </r>
  <r>
    <m/>
    <m/>
    <m/>
    <m/>
    <s v="Kiadások célfeladatokra (átfutó), idei forrás, összesen"/>
    <m/>
    <m/>
    <s v="ÖSSZEGZŐ SOR"/>
    <n v="0"/>
    <n v="0"/>
    <n v="0"/>
    <n v="0"/>
  </r>
  <r>
    <m/>
    <s v="Személyi kiadások (üzemeltetetés és informatika nélkül)"/>
    <s v="K"/>
    <s v="K1.a."/>
    <s v="Kiadások célfeladatokra (átfutó), idei forrás, személyi"/>
    <s v="K"/>
    <m/>
    <s v="űrlapsor szerinti bontás külön tervezendő"/>
    <m/>
    <n v="0"/>
    <n v="0"/>
    <n v="0"/>
  </r>
  <r>
    <m/>
    <s v="Dologi kiadások (üzemeltetetés és informatika nélkül)"/>
    <s v="K"/>
    <s v="K2.a. "/>
    <s v="Kiadások célfeladatokra (átfutó), idei forrás, dologi"/>
    <s v="K"/>
    <m/>
    <s v="űrlapsor szerinti bontás külön tervezendő"/>
    <n v="0"/>
    <n v="0"/>
    <n v="0"/>
    <n v="0"/>
  </r>
  <r>
    <m/>
    <s v="KIADÁSOK ÖSSZESEN"/>
    <s v="V."/>
    <s v="K.V."/>
    <s v="KIADÁSOK ÖSSZESEN"/>
    <m/>
    <m/>
    <m/>
    <n v="290384885.97089612"/>
    <n v="251594.70000000004"/>
    <n v="290133291.27089614"/>
    <n v="251594.70000000004"/>
  </r>
  <r>
    <m/>
    <s v="KORRIGÁLT EGYENLEG (KARI BELSŐ POZÍCIÓ)"/>
    <s v="VI."/>
    <s v="B.VI."/>
    <s v="KORRIGÁLT EGYENLEG (KARI BELSŐ POZÍCIÓ)"/>
    <m/>
    <m/>
    <m/>
    <n v="39768911.453265667"/>
    <n v="286570953.85920113"/>
    <n v="-246802042.40593541"/>
    <n v="338496993.97656322"/>
  </r>
  <r>
    <m/>
    <s v="BDPK KERESZTFINANSZÍROZÁS"/>
    <s v="B"/>
    <s v="B33"/>
    <s v="BDPK KERESZTFINANSZÍROZÁS"/>
    <m/>
    <m/>
    <m/>
    <n v="-26953095.94710359"/>
    <n v="-26953095.94710359"/>
    <n v="0"/>
    <n v="0"/>
  </r>
  <r>
    <m/>
    <m/>
    <m/>
    <m/>
    <m/>
    <m/>
    <n v="334"/>
    <s v="T BDPK keresztfinanszírozás"/>
    <n v="-26953096"/>
    <m/>
    <m/>
    <m/>
  </r>
  <r>
    <m/>
    <m/>
    <m/>
    <m/>
    <m/>
    <m/>
    <n v="287"/>
    <s v="SB BDPK keresztfinanszírozás"/>
    <n v="5.2896410226821899E-2"/>
    <m/>
    <m/>
    <m/>
  </r>
  <r>
    <m/>
    <s v="KORRIGÁLT EGYENLEG 2"/>
    <s v="VII."/>
    <s v="B.VII."/>
    <s v="KORRIGÁLT EGYENLEG 2"/>
    <m/>
    <m/>
    <m/>
    <n v="12815815.506162077"/>
    <n v="259617857.91209754"/>
    <n v="-246802042.40593541"/>
    <n v="338496993.97656322"/>
  </r>
  <r>
    <m/>
    <m/>
    <m/>
    <m/>
    <m/>
    <m/>
    <m/>
    <m/>
    <m/>
    <m/>
    <m/>
    <m/>
  </r>
  <r>
    <m/>
    <m/>
    <m/>
    <m/>
    <m/>
    <m/>
    <m/>
    <m/>
    <m/>
    <m/>
    <m/>
    <m/>
  </r>
  <r>
    <m/>
    <s v="2021. évi forrás összesen 2.a alapján"/>
    <s v="Ö"/>
    <m/>
    <s v="2021. évi forrás összesen 2.a alapján"/>
    <s v="B2A"/>
    <m/>
    <s v=" "/>
    <n v="289909983.42416179"/>
    <n v="288662605.55920112"/>
    <n v="1247377.8649607254"/>
    <n v="340588645.6765632"/>
  </r>
  <r>
    <m/>
    <s v="Tervezett 2021. évi forrás összesen"/>
    <s v="Ö"/>
    <s v="Ö1."/>
    <s v="Tervezett 2021. évi forrás összesen"/>
    <s v="B + űrlapsorszámos B2A"/>
    <m/>
    <m/>
    <n v="289909983.35757923"/>
    <n v="288662605.55920106"/>
    <n v="113218881.0445089"/>
    <n v="104531403.39124969"/>
  </r>
  <r>
    <m/>
    <s v="Maradvány forrás összesen"/>
    <s v="Ö"/>
    <s v="Ö2."/>
    <s v="Maradvány forrás összesen"/>
    <s v="MB"/>
    <m/>
    <s v=" "/>
    <n v="40243814"/>
    <n v="-1840057"/>
    <n v="42083871"/>
    <n v="-1840057"/>
  </r>
  <r>
    <m/>
    <s v="Tervezett 2021. évi forrás + maradvány összesen"/>
    <s v="Ö"/>
    <s v="Ö3."/>
    <s v="Tervezett 2021. évi forrás + maradvány összesen"/>
    <m/>
    <m/>
    <m/>
    <n v="330153797.35757923"/>
    <n v="286822548.55920106"/>
    <n v="155302752.0445089"/>
    <n v="102691346.39124969"/>
  </r>
  <r>
    <m/>
    <s v="Kiadás 2.a) összesen"/>
    <s v="Ö"/>
    <m/>
    <s v="Kiadás 2.a) összesen"/>
    <s v="K2A"/>
    <m/>
    <s v=" "/>
    <n v="290384885.97089612"/>
    <n v="251594.70000000004"/>
    <n v="290133291.27089614"/>
    <n v="251594.70000000004"/>
  </r>
  <r>
    <m/>
    <s v="Tervezett kiadás 2021. évi forrásból összesen"/>
    <s v="Ö"/>
    <s v="Ö4."/>
    <s v="Tervezett kiadás 2021. évi forrásból összesen"/>
    <s v="K"/>
    <m/>
    <s v=" "/>
    <n v="253735123.78011525"/>
    <n v="215600.00000000003"/>
    <n v="253519523.78011525"/>
    <n v="215600.00000000003"/>
  </r>
  <r>
    <m/>
    <s v="Tervezett kiadás maradványból összesen"/>
    <s v="Ö"/>
    <s v="Ö5."/>
    <s v="Tervezett kiadás maradványból összesen"/>
    <s v="MK"/>
    <m/>
    <s v=" "/>
    <n v="36649762.190780878"/>
    <n v="35994.700000000004"/>
    <n v="36613767.490780883"/>
    <n v="35994.700000000004"/>
  </r>
  <r>
    <m/>
    <s v="Tervezett kiadás mindösszesen"/>
    <s v="Ö"/>
    <s v="Ö6."/>
    <s v="Tervezett kiadás mindösszesen"/>
    <m/>
    <m/>
    <s v=" "/>
    <n v="290384885.97089612"/>
    <n v="251594.70000000004"/>
    <n v="290133291.27089614"/>
    <n v="251594.70000000004"/>
  </r>
  <r>
    <m/>
    <s v="Keresztfinanszírozás előtti egyenleg, 2021. évi forrás"/>
    <s v="Ö"/>
    <m/>
    <s v="Keresztfinanszírozás előtti egyenleg, 2021. évi forrás"/>
    <m/>
    <m/>
    <m/>
    <n v="36174859.577463984"/>
    <n v="288447005.55920106"/>
    <n v="-140300642.73560634"/>
    <n v="104315803.39124969"/>
  </r>
  <r>
    <m/>
    <s v="Keresztfinanszírozás előtti egyenleg, maradvány"/>
    <s v="Ö"/>
    <m/>
    <s v="Keresztfinanszírozás előtti egyenleg, maradvány"/>
    <m/>
    <m/>
    <m/>
    <n v="3594051.8092191219"/>
    <n v="-1876051.7"/>
    <n v="5470103.5092191175"/>
    <n v="-1876051.7"/>
  </r>
  <r>
    <m/>
    <s v="Keresztfinanszírozás előtti egyenleg, összesen"/>
    <s v="Ö"/>
    <s v="Ö7."/>
    <s v="Keresztfinanszírozás előtti egyenleg, összesen"/>
    <m/>
    <m/>
    <s v=" "/>
    <n v="39768911.386683106"/>
    <n v="286570953.85920107"/>
    <n v="-134830539.22638723"/>
    <n v="102439751.69124968"/>
  </r>
  <r>
    <m/>
    <m/>
    <m/>
    <m/>
    <m/>
    <m/>
    <m/>
    <m/>
    <m/>
    <m/>
    <m/>
    <m/>
  </r>
  <r>
    <m/>
    <s v="31. Belső keresztfinanszírozás összesen"/>
    <m/>
    <m/>
    <s v="Belső keresztfinanszírozás összesen"/>
    <m/>
    <m/>
    <m/>
    <n v="0"/>
    <n v="0"/>
    <n v="0"/>
    <n v="0"/>
  </r>
  <r>
    <m/>
    <m/>
    <m/>
    <m/>
    <s v="Belső keresztfinanszírozás, saját bevétel"/>
    <s v="B"/>
    <n v="300"/>
    <s v="SB Belső keresztfinanszírozás"/>
    <n v="0"/>
    <n v="0"/>
    <n v="0"/>
    <n v="0"/>
  </r>
  <r>
    <m/>
    <m/>
    <m/>
    <m/>
    <s v="Belső keresztfinanszírozás, támogatás"/>
    <s v="B"/>
    <n v="345"/>
    <s v="T Belső keresztfinanszírozás"/>
    <n v="0"/>
    <n v="0"/>
    <n v="0"/>
    <n v="0"/>
  </r>
  <r>
    <m/>
    <m/>
    <m/>
    <m/>
    <s v="Belső keresztfinanszírozás, maradvány"/>
    <s v="MB"/>
    <m/>
    <s v="MARADVÁNY"/>
    <m/>
    <m/>
    <m/>
    <m/>
  </r>
  <r>
    <m/>
    <s v="Keresztfinanszírozás utáni egyenleg"/>
    <m/>
    <m/>
    <m/>
    <m/>
    <m/>
    <m/>
    <m/>
    <m/>
    <m/>
    <m/>
  </r>
  <r>
    <m/>
    <m/>
    <m/>
    <m/>
    <m/>
    <m/>
    <m/>
    <m/>
    <m/>
    <m/>
    <m/>
    <m/>
  </r>
  <r>
    <m/>
    <m/>
    <m/>
    <m/>
    <m/>
    <m/>
    <m/>
    <m/>
    <m/>
    <m/>
    <m/>
    <m/>
  </r>
  <r>
    <m/>
    <s v="Pályázatok után 5% kiválósági alap átadása"/>
    <m/>
    <m/>
    <s v="Pályázatok után 5% kiválósági alap átadása"/>
    <m/>
    <n v="298"/>
    <s v="SB Kiválósági Alap"/>
    <n v="0"/>
    <m/>
    <m/>
    <m/>
  </r>
  <r>
    <m/>
    <s v="Pályázatok után 5% ÁKTH átadása"/>
    <m/>
    <m/>
    <s v="Pályázatok után 5% ÁKTH átadása"/>
    <m/>
    <n v="298"/>
    <s v="SB Kiválósági Alap"/>
    <n v="0"/>
    <m/>
    <m/>
    <m/>
  </r>
  <r>
    <m/>
    <m/>
    <m/>
    <m/>
    <m/>
    <m/>
    <m/>
    <m/>
    <m/>
    <m/>
    <m/>
    <m/>
  </r>
  <r>
    <m/>
    <m/>
    <m/>
    <m/>
    <m/>
    <m/>
    <m/>
    <m/>
    <m/>
    <m/>
    <m/>
    <m/>
  </r>
  <r>
    <m/>
    <m/>
    <m/>
    <m/>
    <m/>
    <m/>
    <m/>
    <m/>
    <m/>
    <m/>
    <m/>
    <m/>
  </r>
  <r>
    <m/>
    <m/>
    <m/>
    <m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628">
  <r>
    <x v="0"/>
    <x v="0"/>
    <s v="2.A ÖSSZEGEI"/>
    <s v="TERVEZETT"/>
    <m/>
    <m/>
    <m/>
    <s v="B131SSZPI"/>
    <s v="B131SSZSI"/>
    <s v="B13101/17"/>
    <s v="B39019/19"/>
    <m/>
    <m/>
    <m/>
    <m/>
    <m/>
    <s v="USZKAROPPK"/>
    <s v="KOZTERSZH"/>
    <s v="AKTHSZHELY"/>
    <s v="K07002/17"/>
    <s v="R10601/18"/>
    <s v="K06301/20"/>
    <s v="K06301/19"/>
    <s v="RR9704/14"/>
    <s v="KK9702/16"/>
    <s v="KK9701/16"/>
    <s v="R13101/16"/>
    <s v="R13201/16"/>
    <s v="ANYKRIVIZS"/>
    <s v="T20102/18"/>
    <s v="K07301/19"/>
    <s v="K07302/19"/>
    <s v="K07303/19"/>
    <s v="K07304/19"/>
    <s v="K04901/21"/>
    <s v="K16601/17"/>
    <s v="K07101/18"/>
    <m/>
  </r>
  <r>
    <x v="1"/>
    <x v="1"/>
    <n v="17"/>
    <m/>
    <m/>
    <m/>
    <m/>
    <s v="B0390"/>
    <s v="B0400"/>
    <s v="B0001"/>
    <s v="B0001"/>
    <s v="B0001"/>
    <m/>
    <s v="B0001"/>
    <s v="B0001"/>
    <s v="B0001"/>
    <s v="B0001"/>
    <s v="B0001"/>
    <s v="B0001"/>
    <s v="B0001"/>
    <s v="B0001"/>
    <s v="B0001"/>
    <s v="B0001"/>
    <s v="B0001"/>
    <s v="B0001"/>
    <s v="B0001"/>
    <s v="B0001"/>
    <s v="B0001"/>
    <s v="B0001"/>
    <s v="B0001"/>
    <s v="B0001"/>
    <s v="B0001"/>
    <s v="B0001"/>
    <s v="B0001"/>
    <s v="B0001"/>
    <s v="B0001"/>
    <s v="B0001"/>
    <m/>
  </r>
  <r>
    <x v="0"/>
    <x v="2"/>
    <n v="322532888"/>
    <n v="322532888.44302481"/>
    <n v="-0.44302481412887573"/>
    <n v="322532888.44302481"/>
    <m/>
    <n v="131717675.20589235"/>
    <n v="190815213.23713246"/>
    <n v="0"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3"/>
    <n v="105166091.74698077"/>
    <n v="105166091.74698077"/>
    <n v="0"/>
    <n v="105166091.74698077"/>
    <m/>
    <m/>
    <m/>
    <m/>
    <m/>
    <m/>
    <m/>
    <m/>
    <m/>
    <n v="105166091.74698077"/>
    <m/>
    <m/>
    <m/>
    <m/>
    <m/>
    <m/>
    <m/>
    <m/>
    <m/>
    <m/>
    <m/>
    <m/>
    <m/>
    <m/>
    <m/>
    <m/>
    <m/>
    <m/>
    <m/>
    <m/>
    <m/>
    <m/>
  </r>
  <r>
    <x v="3"/>
    <x v="4"/>
    <n v="-2155679.0843714089"/>
    <n v="-2155679.0843714089"/>
    <n v="0"/>
    <n v="0"/>
    <m/>
    <m/>
    <m/>
    <m/>
    <m/>
    <m/>
    <m/>
    <m/>
    <m/>
    <n v="-2155679.0843714089"/>
    <m/>
    <m/>
    <m/>
    <m/>
    <m/>
    <m/>
    <m/>
    <m/>
    <m/>
    <m/>
    <m/>
    <m/>
    <m/>
    <m/>
    <m/>
    <n v="2155679.0843714089"/>
    <m/>
    <m/>
    <m/>
    <m/>
    <m/>
    <m/>
  </r>
  <r>
    <x v="4"/>
    <x v="5"/>
    <n v="103010412.66260937"/>
    <n v="0"/>
    <n v="103010412.66260937"/>
    <n v="0"/>
    <s v="22.b2"/>
    <n v="39007340.107798137"/>
    <n v="35539154.488258593"/>
    <n v="28463918.066552646"/>
    <m/>
    <m/>
    <m/>
    <m/>
    <m/>
    <n v="-103010412.66260937"/>
    <m/>
    <m/>
    <m/>
    <m/>
    <m/>
    <m/>
    <m/>
    <m/>
    <m/>
    <m/>
    <m/>
    <m/>
    <m/>
    <m/>
    <m/>
    <m/>
    <m/>
    <m/>
    <m/>
    <m/>
    <m/>
    <m/>
  </r>
  <r>
    <x v="4"/>
    <x v="5"/>
    <n v="0"/>
    <n v="0"/>
    <n v="0"/>
    <n v="0"/>
    <n v="1"/>
    <n v="14894083.737121161"/>
    <n v="13569834.329431485"/>
    <n v="-28463918.066552646"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n v="219522475.78041548"/>
    <n v="219522475.78041542"/>
    <n v="0"/>
    <n v="0"/>
    <s v="22.b3"/>
    <n v="63588527.089870855"/>
    <n v="115797020.96544622"/>
    <n v="40136927.725098342"/>
    <m/>
    <m/>
    <m/>
    <m/>
    <m/>
    <m/>
    <m/>
    <m/>
    <m/>
    <m/>
    <m/>
    <m/>
    <m/>
    <m/>
    <m/>
    <m/>
    <m/>
    <m/>
    <m/>
    <m/>
    <m/>
    <n v="-219522475.78041548"/>
    <m/>
    <m/>
    <m/>
    <m/>
    <m/>
    <m/>
  </r>
  <r>
    <x v="5"/>
    <x v="6"/>
    <n v="0"/>
    <n v="0"/>
    <n v="0"/>
    <n v="0"/>
    <n v="2"/>
    <n v="14227724.271102197"/>
    <n v="25909203.453996144"/>
    <n v="-40136927.725098342"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n v="26827084"/>
    <n v="26827083.782376859"/>
    <n v="0.21762314066290855"/>
    <n v="26827083.782376859"/>
    <m/>
    <n v="16993295.24538311"/>
    <n v="9833788.5369937494"/>
    <n v="0"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7"/>
    <n v="8617440.4903810564"/>
    <n v="8617440.4903810564"/>
    <n v="0"/>
    <n v="8617440.4903810564"/>
    <m/>
    <m/>
    <m/>
    <m/>
    <m/>
    <m/>
    <m/>
    <m/>
    <m/>
    <n v="8617440.4903810564"/>
    <m/>
    <m/>
    <m/>
    <m/>
    <m/>
    <m/>
    <m/>
    <m/>
    <m/>
    <m/>
    <m/>
    <m/>
    <m/>
    <m/>
    <m/>
    <m/>
    <m/>
    <m/>
    <m/>
    <m/>
    <m/>
    <m/>
  </r>
  <r>
    <x v="7"/>
    <x v="8"/>
    <n v="-138909.41664954461"/>
    <n v="-138909.41664954461"/>
    <n v="0"/>
    <n v="0"/>
    <m/>
    <m/>
    <m/>
    <m/>
    <m/>
    <m/>
    <m/>
    <m/>
    <m/>
    <n v="-138909.41664954461"/>
    <m/>
    <m/>
    <m/>
    <m/>
    <m/>
    <m/>
    <m/>
    <m/>
    <m/>
    <m/>
    <m/>
    <m/>
    <m/>
    <m/>
    <n v="138909.41664954461"/>
    <m/>
    <m/>
    <m/>
    <m/>
    <m/>
    <m/>
    <m/>
  </r>
  <r>
    <x v="8"/>
    <x v="9"/>
    <n v="8478531.0737315118"/>
    <n v="0"/>
    <n v="8478531.0737315118"/>
    <n v="0"/>
    <s v="22.b2"/>
    <n v="1625605.2644606594"/>
    <n v="3745679.9468195587"/>
    <n v="3107245.8624512916"/>
    <m/>
    <m/>
    <m/>
    <m/>
    <m/>
    <n v="-8478531.0737315118"/>
    <m/>
    <m/>
    <m/>
    <m/>
    <m/>
    <m/>
    <m/>
    <m/>
    <m/>
    <m/>
    <m/>
    <m/>
    <m/>
    <m/>
    <m/>
    <m/>
    <m/>
    <m/>
    <m/>
    <m/>
    <m/>
    <m/>
  </r>
  <r>
    <x v="8"/>
    <x v="9"/>
    <n v="0"/>
    <n v="0"/>
    <n v="0"/>
    <n v="0"/>
    <n v="3"/>
    <n v="940399.74294541415"/>
    <n v="2166846.1195058776"/>
    <n v="-3107245.8624512916"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10"/>
    <n v="18348552.708645355"/>
    <n v="18348552.708645351"/>
    <n v="0"/>
    <n v="0"/>
    <s v="22.b3"/>
    <n v="13255932.214952378"/>
    <n v="3602893.4505932811"/>
    <n v="1489727.0430996923"/>
    <m/>
    <m/>
    <m/>
    <m/>
    <m/>
    <m/>
    <m/>
    <m/>
    <m/>
    <m/>
    <m/>
    <m/>
    <m/>
    <m/>
    <m/>
    <m/>
    <m/>
    <m/>
    <m/>
    <m/>
    <n v="-18348552.708645355"/>
    <m/>
    <m/>
    <m/>
    <m/>
    <m/>
    <m/>
    <m/>
  </r>
  <r>
    <x v="9"/>
    <x v="10"/>
    <n v="0"/>
    <n v="0"/>
    <n v="0"/>
    <n v="0"/>
    <n v="4"/>
    <n v="1171358.0230246601"/>
    <n v="318369.02007503231"/>
    <n v="-1489727.0430996923"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n v="28138193"/>
    <n v="28138193"/>
    <n v="0"/>
    <n v="28138193"/>
    <m/>
    <n v="0"/>
    <n v="0"/>
    <n v="0"/>
    <n v="0"/>
    <n v="0"/>
    <n v="0"/>
    <n v="0"/>
    <n v="0"/>
    <n v="0"/>
    <n v="28138193"/>
    <m/>
    <m/>
    <m/>
    <m/>
    <m/>
    <m/>
    <m/>
    <m/>
    <m/>
    <m/>
    <m/>
    <m/>
    <m/>
    <m/>
    <m/>
    <m/>
    <m/>
    <m/>
    <m/>
    <m/>
    <m/>
  </r>
  <r>
    <x v="0"/>
    <x v="1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"/>
    <x v="1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"/>
    <x v="1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"/>
    <x v="1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3"/>
    <x v="1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"/>
    <x v="1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"/>
    <x v="1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"/>
    <x v="1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9"/>
    <n v="21919837.007874016"/>
    <n v="21919837.007874016"/>
    <n v="0"/>
    <n v="21919837.007874016"/>
    <m/>
    <m/>
    <m/>
    <m/>
    <m/>
    <m/>
    <m/>
    <m/>
    <m/>
    <m/>
    <n v="21919837.007874016"/>
    <m/>
    <m/>
    <m/>
    <m/>
    <m/>
    <m/>
    <m/>
    <m/>
    <m/>
    <m/>
    <m/>
    <m/>
    <m/>
    <m/>
    <m/>
    <m/>
    <m/>
    <m/>
    <m/>
    <m/>
    <m/>
  </r>
  <r>
    <x v="18"/>
    <x v="2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x v="2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0"/>
    <x v="2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1"/>
    <x v="2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2"/>
    <x v="2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3"/>
    <x v="2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4"/>
    <x v="2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5"/>
    <x v="2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6"/>
    <x v="2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7"/>
    <x v="29"/>
    <n v="300000"/>
    <n v="300000"/>
    <n v="0"/>
    <n v="300000"/>
    <m/>
    <m/>
    <m/>
    <m/>
    <m/>
    <m/>
    <m/>
    <m/>
    <m/>
    <m/>
    <n v="300000"/>
    <m/>
    <m/>
    <m/>
    <m/>
    <m/>
    <m/>
    <m/>
    <m/>
    <m/>
    <m/>
    <m/>
    <m/>
    <m/>
    <m/>
    <m/>
    <m/>
    <m/>
    <m/>
    <m/>
    <m/>
    <m/>
  </r>
  <r>
    <x v="28"/>
    <x v="3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9"/>
    <x v="3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0"/>
    <x v="3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1"/>
    <x v="3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2"/>
    <x v="3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3"/>
    <x v="3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4"/>
    <x v="3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5"/>
    <x v="3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6"/>
    <x v="3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7"/>
    <x v="3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8"/>
    <x v="4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9"/>
    <x v="4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0"/>
    <x v="4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1"/>
    <x v="4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"/>
    <x v="4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3"/>
    <x v="4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4"/>
    <x v="4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5"/>
    <x v="4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6"/>
    <x v="4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7"/>
    <x v="4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8"/>
    <x v="5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9"/>
    <x v="51"/>
    <n v="5918355.9921259843"/>
    <n v="5918355.9921259843"/>
    <n v="0"/>
    <n v="5918355.9921259843"/>
    <m/>
    <m/>
    <m/>
    <m/>
    <m/>
    <m/>
    <m/>
    <m/>
    <m/>
    <m/>
    <n v="5918355.9921259843"/>
    <m/>
    <m/>
    <m/>
    <m/>
    <m/>
    <m/>
    <m/>
    <m/>
    <m/>
    <m/>
    <m/>
    <m/>
    <m/>
    <m/>
    <m/>
    <m/>
    <m/>
    <m/>
    <m/>
    <m/>
    <m/>
  </r>
  <r>
    <x v="50"/>
    <x v="5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1"/>
    <x v="5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2"/>
    <x v="5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3"/>
    <x v="5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4"/>
    <x v="5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5"/>
    <x v="5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6"/>
    <x v="5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7"/>
    <x v="5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8"/>
    <x v="6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9"/>
    <x v="6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0"/>
    <x v="6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n v="949293"/>
    <n v="949292.70801568264"/>
    <n v="0.29198431735858321"/>
    <n v="949292.70801568264"/>
    <m/>
    <n v="270776.51194593706"/>
    <n v="678516.19606974558"/>
    <n v="0"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7"/>
    <n v="482559.50979000004"/>
    <n v="482559.50979000004"/>
    <n v="0"/>
    <n v="482559.50979000004"/>
    <m/>
    <m/>
    <m/>
    <m/>
    <m/>
    <m/>
    <m/>
    <m/>
    <m/>
    <n v="482559.50979000004"/>
    <m/>
    <m/>
    <m/>
    <m/>
    <m/>
    <m/>
    <m/>
    <m/>
    <m/>
    <m/>
    <m/>
    <m/>
    <m/>
    <m/>
    <m/>
    <m/>
    <m/>
    <m/>
    <m/>
    <m/>
    <m/>
    <m/>
  </r>
  <r>
    <x v="7"/>
    <x v="8"/>
    <n v="0"/>
    <n v="0"/>
    <n v="0"/>
    <n v="0"/>
    <m/>
    <m/>
    <m/>
    <m/>
    <m/>
    <m/>
    <m/>
    <m/>
    <m/>
    <n v="0"/>
    <m/>
    <m/>
    <m/>
    <m/>
    <m/>
    <m/>
    <m/>
    <m/>
    <m/>
    <m/>
    <m/>
    <m/>
    <m/>
    <m/>
    <m/>
    <m/>
    <m/>
    <n v="0"/>
    <m/>
    <m/>
    <m/>
    <m/>
  </r>
  <r>
    <x v="8"/>
    <x v="9"/>
    <n v="482559.50979000004"/>
    <n v="0"/>
    <n v="482559.50979000004"/>
    <n v="0"/>
    <s v="22.b2"/>
    <n v="0"/>
    <n v="0"/>
    <n v="482559.50979000004"/>
    <m/>
    <m/>
    <m/>
    <m/>
    <m/>
    <n v="-482559.50979000004"/>
    <m/>
    <m/>
    <m/>
    <m/>
    <m/>
    <m/>
    <m/>
    <m/>
    <m/>
    <m/>
    <m/>
    <m/>
    <m/>
    <m/>
    <m/>
    <m/>
    <m/>
    <m/>
    <m/>
    <m/>
    <m/>
    <m/>
  </r>
  <r>
    <x v="8"/>
    <x v="9"/>
    <n v="0"/>
    <n v="0"/>
    <n v="0"/>
    <n v="0"/>
    <n v="5"/>
    <n v="0"/>
    <n v="482559.50979000004"/>
    <n v="-482559.50979000004"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10"/>
    <n v="466733.1982256826"/>
    <n v="466733.19822568266"/>
    <n v="0"/>
    <n v="0"/>
    <s v="22.b3"/>
    <n v="268725.17473398743"/>
    <n v="194472.16592896913"/>
    <n v="3535.857562726047"/>
    <m/>
    <m/>
    <m/>
    <m/>
    <m/>
    <m/>
    <m/>
    <m/>
    <m/>
    <m/>
    <m/>
    <m/>
    <m/>
    <m/>
    <m/>
    <m/>
    <m/>
    <m/>
    <m/>
    <m/>
    <m/>
    <m/>
    <m/>
    <n v="-466733.1982256826"/>
    <m/>
    <m/>
    <m/>
    <m/>
  </r>
  <r>
    <x v="9"/>
    <x v="10"/>
    <n v="0"/>
    <n v="0"/>
    <n v="0"/>
    <n v="0"/>
    <n v="6"/>
    <n v="2051.3372119496635"/>
    <n v="1484.5203507763833"/>
    <n v="-3535.857562726047"/>
    <m/>
    <m/>
    <m/>
    <m/>
    <m/>
    <m/>
    <m/>
    <m/>
    <m/>
    <m/>
    <m/>
    <m/>
    <m/>
    <m/>
    <m/>
    <m/>
    <m/>
    <m/>
    <m/>
    <m/>
    <m/>
    <m/>
    <m/>
    <m/>
    <m/>
    <m/>
    <m/>
    <m/>
  </r>
  <r>
    <x v="61"/>
    <x v="63"/>
    <n v="24079000"/>
    <n v="24079000"/>
    <n v="0"/>
    <n v="24079000"/>
    <n v="7"/>
    <n v="9072242.6722960062"/>
    <n v="15006757.327703994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n v="0"/>
    <n v="0"/>
    <n v="0"/>
    <n v="0"/>
    <m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</r>
  <r>
    <x v="61"/>
    <x v="63"/>
    <n v="0"/>
    <n v="0"/>
    <n v="0"/>
    <n v="0"/>
    <s v="14.b"/>
    <n v="0"/>
    <n v="0"/>
    <n v="0"/>
    <n v="0"/>
    <m/>
    <n v="0"/>
    <m/>
    <m/>
    <m/>
    <m/>
    <m/>
    <m/>
    <m/>
    <m/>
    <m/>
    <m/>
    <m/>
    <m/>
    <m/>
    <m/>
    <m/>
    <m/>
    <m/>
    <m/>
    <m/>
    <m/>
    <m/>
    <m/>
    <m/>
    <m/>
    <m/>
  </r>
  <r>
    <x v="61"/>
    <x v="63"/>
    <n v="0"/>
    <n v="0"/>
    <n v="0"/>
    <n v="0"/>
    <s v="14.c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1"/>
    <x v="63"/>
    <n v="0"/>
    <n v="0"/>
    <n v="0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</r>
  <r>
    <x v="61"/>
    <x v="63"/>
    <n v="0"/>
    <n v="0"/>
    <n v="0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</r>
  <r>
    <x v="61"/>
    <x v="63"/>
    <n v="0"/>
    <n v="0"/>
    <n v="0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</r>
  <r>
    <x v="61"/>
    <x v="63"/>
    <n v="0"/>
    <n v="0"/>
    <n v="0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n v="402526458"/>
    <n v="402526457.93341732"/>
    <n v="6.6582643892616034E-2"/>
    <n v="402526457.93341732"/>
    <m/>
    <n v="158053989.63551742"/>
    <n v="216334275.29789996"/>
    <n v="0"/>
    <n v="0"/>
    <n v="0"/>
    <n v="0"/>
    <n v="0"/>
    <n v="0"/>
    <n v="0"/>
    <n v="2813819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2"/>
    <n v="-76480027.019999996"/>
    <n v="-76480027.007349297"/>
    <n v="-1.265069842338562E-2"/>
    <n v="1.265069842338562E-2"/>
    <m/>
    <n v="-30030258.030748308"/>
    <n v="-41103512.306600988"/>
    <n v="0"/>
    <n v="0"/>
    <n v="0"/>
    <n v="0"/>
    <n v="0"/>
    <n v="0"/>
    <n v="0"/>
    <n v="-5346256.67"/>
    <m/>
    <n v="76480027.019999996"/>
    <m/>
    <m/>
    <m/>
    <m/>
    <m/>
    <m/>
    <m/>
    <m/>
    <m/>
    <m/>
    <m/>
    <m/>
    <m/>
    <m/>
    <m/>
    <m/>
    <m/>
    <m/>
    <m/>
  </r>
  <r>
    <x v="62"/>
    <x v="64"/>
    <n v="-10623768.300000001"/>
    <n v="-10623768.203174584"/>
    <n v="-9.6825417131185532E-2"/>
    <n v="9.6825417131185532E-2"/>
    <m/>
    <n v="-3280173.6338925189"/>
    <n v="-1997337.8992820641"/>
    <n v="0"/>
    <n v="0"/>
    <n v="0"/>
    <n v="0"/>
    <n v="0"/>
    <n v="0"/>
    <n v="0"/>
    <n v="-5346256.67"/>
    <m/>
    <n v="10623768.300000001"/>
    <m/>
    <m/>
    <m/>
    <m/>
    <m/>
    <m/>
    <m/>
    <m/>
    <m/>
    <m/>
    <m/>
    <m/>
    <m/>
    <m/>
    <m/>
    <m/>
    <m/>
    <m/>
    <m/>
  </r>
  <r>
    <x v="63"/>
    <x v="65"/>
    <n v="-65856258.719999999"/>
    <n v="-65856258.804174721"/>
    <n v="8.417472243309021E-2"/>
    <n v="-8.417472243309021E-2"/>
    <m/>
    <n v="-26750084.39685579"/>
    <n v="-39106174.407318927"/>
    <n v="0"/>
    <n v="0"/>
    <n v="0"/>
    <n v="0"/>
    <n v="0"/>
    <n v="0"/>
    <n v="0"/>
    <n v="0"/>
    <m/>
    <n v="65856258.719999999"/>
    <m/>
    <m/>
    <m/>
    <m/>
    <m/>
    <m/>
    <m/>
    <m/>
    <m/>
    <m/>
    <m/>
    <m/>
    <m/>
    <m/>
    <m/>
    <m/>
    <m/>
    <m/>
    <m/>
  </r>
  <r>
    <x v="0"/>
    <x v="2"/>
    <n v="-2012632.29"/>
    <n v="-2012632.2896670869"/>
    <n v="-3.3291312865912914E-4"/>
    <n v="3.3291312865912914E-4"/>
    <m/>
    <n v="-790269.94817758712"/>
    <n v="-1081671.3764894998"/>
    <n v="0"/>
    <n v="0"/>
    <n v="0"/>
    <n v="0"/>
    <n v="0"/>
    <n v="0"/>
    <n v="0"/>
    <n v="-140690.965"/>
    <m/>
    <m/>
    <m/>
    <m/>
    <n v="2012632.29"/>
    <m/>
    <m/>
    <m/>
    <m/>
    <m/>
    <m/>
    <m/>
    <m/>
    <m/>
    <m/>
    <m/>
    <m/>
    <m/>
    <m/>
    <m/>
    <m/>
  </r>
  <r>
    <x v="64"/>
    <x v="66"/>
    <n v="-279572.84999999998"/>
    <n v="-279572.84745196271"/>
    <n v="-2.5480372714810073E-3"/>
    <n v="2.5480372714810073E-3"/>
    <m/>
    <n v="-86320.358786645229"/>
    <n v="-52561.523665317472"/>
    <n v="0"/>
    <n v="0"/>
    <n v="0"/>
    <n v="0"/>
    <n v="0"/>
    <n v="0"/>
    <n v="0"/>
    <n v="-140690.965"/>
    <n v="0"/>
    <n v="0"/>
    <n v="0"/>
    <n v="0"/>
    <n v="279572.84999999998"/>
    <m/>
    <m/>
    <m/>
    <m/>
    <m/>
    <m/>
    <m/>
    <m/>
    <m/>
    <m/>
    <m/>
    <m/>
    <m/>
    <m/>
    <m/>
    <m/>
  </r>
  <r>
    <x v="65"/>
    <x v="67"/>
    <n v="-1733059.44"/>
    <n v="-1733059.4422151241"/>
    <n v="2.2151242010295391E-3"/>
    <n v="-2.2151242010295391E-3"/>
    <m/>
    <n v="-703949.5893909419"/>
    <n v="-1029109.8528241822"/>
    <n v="0"/>
    <n v="0"/>
    <n v="0"/>
    <n v="0"/>
    <n v="0"/>
    <n v="0"/>
    <n v="0"/>
    <n v="0"/>
    <n v="0"/>
    <n v="0"/>
    <n v="0"/>
    <n v="0"/>
    <n v="1733059.44"/>
    <m/>
    <m/>
    <m/>
    <m/>
    <m/>
    <m/>
    <m/>
    <m/>
    <m/>
    <m/>
    <m/>
    <m/>
    <m/>
    <m/>
    <m/>
    <m/>
  </r>
  <r>
    <x v="0"/>
    <x v="2"/>
    <n v="-6037896.8700000001"/>
    <n v="9.98739677015692E-4"/>
    <n v="-6037896.8709987402"/>
    <n v="9.98739677015692E-4"/>
    <m/>
    <n v="-2370809.8445327613"/>
    <n v="-3245014.1294684992"/>
    <n v="0"/>
    <n v="6037896.8700000001"/>
    <n v="0"/>
    <n v="0"/>
    <n v="0"/>
    <n v="0"/>
    <n v="0"/>
    <n v="-422072.89499999996"/>
    <m/>
    <m/>
    <m/>
    <m/>
    <m/>
    <m/>
    <m/>
    <m/>
    <m/>
    <m/>
    <m/>
    <m/>
    <m/>
    <m/>
    <m/>
    <m/>
    <m/>
    <m/>
    <m/>
    <m/>
    <m/>
  </r>
  <r>
    <x v="66"/>
    <x v="68"/>
    <n v="-838718.54999999993"/>
    <n v="7.6441118726506829E-3"/>
    <n v="-838718.5576441118"/>
    <n v="7.6441118726506829E-3"/>
    <m/>
    <n v="-258961.07635993569"/>
    <n v="-157684.57099595241"/>
    <n v="0"/>
    <n v="838718.54999999993"/>
    <n v="0"/>
    <n v="0"/>
    <n v="0"/>
    <n v="0"/>
    <n v="0"/>
    <n v="-422072.89499999996"/>
    <m/>
    <m/>
    <m/>
    <m/>
    <m/>
    <m/>
    <m/>
    <m/>
    <m/>
    <m/>
    <m/>
    <m/>
    <m/>
    <m/>
    <m/>
    <m/>
    <m/>
    <m/>
    <m/>
    <m/>
    <m/>
  </r>
  <r>
    <x v="67"/>
    <x v="69"/>
    <n v="-5199178.32"/>
    <n v="-6.64537213742733E-3"/>
    <n v="-5199178.3133546282"/>
    <n v="-6.64537213742733E-3"/>
    <m/>
    <n v="-2111848.7681728257"/>
    <n v="-3087329.5584725467"/>
    <n v="0"/>
    <n v="5199178.32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</r>
  <r>
    <x v="68"/>
    <x v="70"/>
    <n v="6037896.8700000001"/>
    <n v="0"/>
    <n v="6037896.870000000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9"/>
    <x v="71"/>
    <n v="-14167162.406577878"/>
    <n v="-14167162.406577878"/>
    <n v="0"/>
    <n v="0"/>
    <n v="10"/>
    <n v="-5416856.2142797764"/>
    <n v="-8750306.1922981013"/>
    <n v="0"/>
    <m/>
    <m/>
    <m/>
    <m/>
    <m/>
    <m/>
    <m/>
    <m/>
    <m/>
    <m/>
    <m/>
    <m/>
    <m/>
    <m/>
    <m/>
    <m/>
    <m/>
    <m/>
    <m/>
    <n v="14167162.406577878"/>
    <m/>
    <m/>
    <m/>
    <m/>
    <m/>
    <m/>
    <m/>
    <m/>
  </r>
  <r>
    <x v="70"/>
    <x v="72"/>
    <n v="-24408712.8712871"/>
    <n v="-24408712.8712871"/>
    <n v="0"/>
    <n v="0"/>
    <n v="10"/>
    <n v="-9332743.156668596"/>
    <n v="-15075969.714618504"/>
    <n v="0"/>
    <m/>
    <m/>
    <m/>
    <m/>
    <m/>
    <m/>
    <m/>
    <m/>
    <m/>
    <m/>
    <m/>
    <m/>
    <m/>
    <m/>
    <m/>
    <m/>
    <m/>
    <m/>
    <m/>
    <m/>
    <m/>
    <m/>
    <m/>
    <m/>
    <m/>
    <n v="24408712.8712871"/>
    <m/>
    <m/>
  </r>
  <r>
    <x v="71"/>
    <x v="73"/>
    <n v="-14953560"/>
    <n v="-14953560.000000002"/>
    <n v="0"/>
    <n v="0"/>
    <n v="11"/>
    <n v="-6520160.9235145459"/>
    <n v="-8091475.1442481671"/>
    <n v="0"/>
    <m/>
    <m/>
    <m/>
    <m/>
    <m/>
    <m/>
    <n v="-341923.93223728728"/>
    <m/>
    <m/>
    <n v="14953560"/>
    <m/>
    <m/>
    <m/>
    <m/>
    <m/>
    <m/>
    <m/>
    <m/>
    <m/>
    <m/>
    <m/>
    <m/>
    <m/>
    <m/>
    <m/>
    <m/>
    <m/>
    <m/>
  </r>
  <r>
    <x v="0"/>
    <x v="2"/>
    <n v="0"/>
    <n v="0"/>
    <n v="0"/>
    <n v="0"/>
    <m/>
    <n v="0"/>
    <n v="0"/>
    <n v="0"/>
    <m/>
    <m/>
    <m/>
    <m/>
    <m/>
    <m/>
    <m/>
    <m/>
    <m/>
    <m/>
    <m/>
    <m/>
    <m/>
    <m/>
    <n v="0"/>
    <n v="0"/>
    <m/>
    <m/>
    <m/>
    <m/>
    <m/>
    <m/>
    <m/>
    <m/>
    <m/>
    <m/>
    <m/>
    <m/>
  </r>
  <r>
    <x v="0"/>
    <x v="2"/>
    <n v="0"/>
    <n v="0"/>
    <n v="0"/>
    <n v="0"/>
    <m/>
    <n v="0"/>
    <n v="0"/>
    <n v="0"/>
    <m/>
    <m/>
    <m/>
    <m/>
    <m/>
    <m/>
    <m/>
    <m/>
    <m/>
    <m/>
    <m/>
    <m/>
    <m/>
    <m/>
    <n v="0"/>
    <m/>
    <m/>
    <m/>
    <m/>
    <m/>
    <m/>
    <m/>
    <m/>
    <m/>
    <m/>
    <m/>
    <m/>
    <m/>
  </r>
  <r>
    <x v="72"/>
    <x v="74"/>
    <n v="0"/>
    <n v="0"/>
    <n v="0"/>
    <n v="0"/>
    <m/>
    <n v="0"/>
    <n v="0"/>
    <n v="0"/>
    <m/>
    <m/>
    <m/>
    <m/>
    <m/>
    <m/>
    <m/>
    <m/>
    <m/>
    <m/>
    <m/>
    <m/>
    <m/>
    <m/>
    <n v="0"/>
    <m/>
    <m/>
    <m/>
    <m/>
    <m/>
    <m/>
    <m/>
    <m/>
    <m/>
    <m/>
    <m/>
    <m/>
    <m/>
  </r>
  <r>
    <x v="73"/>
    <x v="75"/>
    <n v="0"/>
    <n v="0"/>
    <n v="0"/>
    <n v="0"/>
    <m/>
    <n v="0"/>
    <n v="0"/>
    <n v="0"/>
    <m/>
    <m/>
    <m/>
    <m/>
    <m/>
    <m/>
    <m/>
    <m/>
    <m/>
    <m/>
    <m/>
    <m/>
    <m/>
    <m/>
    <n v="0"/>
    <m/>
    <m/>
    <m/>
    <m/>
    <m/>
    <m/>
    <m/>
    <m/>
    <m/>
    <m/>
    <m/>
    <m/>
    <m/>
  </r>
  <r>
    <x v="0"/>
    <x v="2"/>
    <n v="0"/>
    <n v="0"/>
    <n v="0"/>
    <n v="0"/>
    <m/>
    <n v="0"/>
    <n v="0"/>
    <n v="0"/>
    <m/>
    <m/>
    <m/>
    <m/>
    <m/>
    <m/>
    <m/>
    <m/>
    <m/>
    <m/>
    <m/>
    <m/>
    <m/>
    <m/>
    <m/>
    <n v="0"/>
    <m/>
    <m/>
    <m/>
    <m/>
    <m/>
    <m/>
    <m/>
    <m/>
    <m/>
    <m/>
    <m/>
    <m/>
  </r>
  <r>
    <x v="72"/>
    <x v="74"/>
    <n v="0"/>
    <n v="0"/>
    <n v="0"/>
    <n v="0"/>
    <m/>
    <n v="0"/>
    <n v="0"/>
    <n v="0"/>
    <m/>
    <m/>
    <m/>
    <m/>
    <m/>
    <m/>
    <m/>
    <m/>
    <m/>
    <m/>
    <m/>
    <m/>
    <m/>
    <m/>
    <m/>
    <n v="0"/>
    <m/>
    <m/>
    <m/>
    <m/>
    <m/>
    <m/>
    <m/>
    <m/>
    <m/>
    <m/>
    <m/>
    <m/>
  </r>
  <r>
    <x v="73"/>
    <x v="75"/>
    <n v="0"/>
    <n v="0"/>
    <n v="0"/>
    <n v="0"/>
    <m/>
    <n v="0"/>
    <n v="0"/>
    <n v="0"/>
    <m/>
    <m/>
    <m/>
    <m/>
    <m/>
    <m/>
    <m/>
    <m/>
    <m/>
    <m/>
    <m/>
    <m/>
    <m/>
    <m/>
    <m/>
    <n v="0"/>
    <m/>
    <m/>
    <m/>
    <m/>
    <m/>
    <m/>
    <m/>
    <m/>
    <m/>
    <m/>
    <m/>
    <m/>
  </r>
  <r>
    <x v="0"/>
    <x v="2"/>
    <n v="0"/>
    <n v="0"/>
    <n v="0"/>
    <n v="0"/>
    <m/>
    <n v="0"/>
    <n v="0"/>
    <n v="0"/>
    <m/>
    <m/>
    <m/>
    <m/>
    <m/>
    <m/>
    <m/>
    <m/>
    <m/>
    <m/>
    <m/>
    <m/>
    <m/>
    <n v="0"/>
    <m/>
    <m/>
    <m/>
    <m/>
    <m/>
    <m/>
    <m/>
    <m/>
    <m/>
    <m/>
    <m/>
    <m/>
    <m/>
    <m/>
  </r>
  <r>
    <x v="72"/>
    <x v="74"/>
    <n v="0"/>
    <n v="0"/>
    <n v="0"/>
    <n v="0"/>
    <m/>
    <n v="0"/>
    <n v="0"/>
    <n v="0"/>
    <m/>
    <m/>
    <m/>
    <m/>
    <m/>
    <m/>
    <m/>
    <m/>
    <m/>
    <m/>
    <m/>
    <m/>
    <m/>
    <n v="0"/>
    <m/>
    <m/>
    <m/>
    <m/>
    <m/>
    <m/>
    <m/>
    <m/>
    <m/>
    <m/>
    <m/>
    <m/>
    <m/>
    <m/>
  </r>
  <r>
    <x v="73"/>
    <x v="75"/>
    <n v="0"/>
    <n v="0"/>
    <n v="0"/>
    <n v="0"/>
    <m/>
    <n v="0"/>
    <n v="0"/>
    <n v="0"/>
    <m/>
    <m/>
    <m/>
    <m/>
    <m/>
    <m/>
    <m/>
    <m/>
    <m/>
    <m/>
    <m/>
    <m/>
    <m/>
    <n v="0"/>
    <m/>
    <m/>
    <m/>
    <m/>
    <m/>
    <m/>
    <m/>
    <m/>
    <m/>
    <m/>
    <m/>
    <m/>
    <m/>
    <m/>
  </r>
  <r>
    <x v="0"/>
    <x v="2"/>
    <n v="6694998"/>
    <n v="6694998"/>
    <n v="0"/>
    <n v="0"/>
    <m/>
    <n v="2633734.7504132232"/>
    <n v="4061263.2495867768"/>
    <n v="0"/>
    <m/>
    <m/>
    <m/>
    <m/>
    <m/>
    <m/>
    <m/>
    <n v="-6694998"/>
    <m/>
    <m/>
    <m/>
    <m/>
    <m/>
    <m/>
    <m/>
    <m/>
    <m/>
    <m/>
    <m/>
    <m/>
    <m/>
    <m/>
    <m/>
    <m/>
    <m/>
    <m/>
    <m/>
    <m/>
  </r>
  <r>
    <x v="74"/>
    <x v="76"/>
    <n v="5309168"/>
    <n v="5309168"/>
    <n v="0"/>
    <n v="0"/>
    <n v="12"/>
    <n v="2088565.2628099173"/>
    <n v="3220602.7371900827"/>
    <n v="0"/>
    <m/>
    <m/>
    <m/>
    <m/>
    <m/>
    <m/>
    <m/>
    <n v="-5309168"/>
    <m/>
    <m/>
    <m/>
    <m/>
    <m/>
    <m/>
    <m/>
    <m/>
    <m/>
    <m/>
    <m/>
    <m/>
    <m/>
    <m/>
    <m/>
    <m/>
    <m/>
    <m/>
    <m/>
    <m/>
  </r>
  <r>
    <x v="75"/>
    <x v="77"/>
    <n v="1385830"/>
    <n v="1385830"/>
    <n v="0"/>
    <n v="0"/>
    <n v="12"/>
    <n v="545169.48760330584"/>
    <n v="840660.51239669416"/>
    <n v="0"/>
    <m/>
    <m/>
    <m/>
    <m/>
    <m/>
    <m/>
    <m/>
    <n v="-1385830"/>
    <m/>
    <m/>
    <m/>
    <m/>
    <m/>
    <m/>
    <m/>
    <m/>
    <m/>
    <m/>
    <m/>
    <m/>
    <m/>
    <m/>
    <m/>
    <m/>
    <m/>
    <m/>
    <m/>
    <m/>
  </r>
  <r>
    <x v="0"/>
    <x v="2"/>
    <n v="0"/>
    <n v="0"/>
    <n v="0"/>
    <n v="0"/>
    <m/>
    <n v="0"/>
    <n v="0"/>
    <n v="0"/>
    <m/>
    <m/>
    <n v="0"/>
    <m/>
    <m/>
    <m/>
    <m/>
    <m/>
    <m/>
    <m/>
    <m/>
    <m/>
    <m/>
    <m/>
    <m/>
    <m/>
    <m/>
    <m/>
    <m/>
    <m/>
    <m/>
    <m/>
    <m/>
    <m/>
    <m/>
    <m/>
    <m/>
    <m/>
  </r>
  <r>
    <x v="76"/>
    <x v="78"/>
    <n v="0"/>
    <n v="0"/>
    <n v="0"/>
    <n v="0"/>
    <m/>
    <n v="0"/>
    <n v="0"/>
    <n v="0"/>
    <m/>
    <m/>
    <n v="0"/>
    <m/>
    <m/>
    <m/>
    <m/>
    <m/>
    <m/>
    <m/>
    <m/>
    <m/>
    <m/>
    <m/>
    <m/>
    <m/>
    <m/>
    <m/>
    <m/>
    <m/>
    <m/>
    <m/>
    <m/>
    <m/>
    <m/>
    <m/>
    <m/>
    <m/>
  </r>
  <r>
    <x v="77"/>
    <x v="79"/>
    <n v="0"/>
    <n v="0"/>
    <n v="0"/>
    <n v="0"/>
    <m/>
    <n v="0"/>
    <n v="0"/>
    <n v="0"/>
    <m/>
    <m/>
    <n v="0"/>
    <m/>
    <m/>
    <m/>
    <m/>
    <m/>
    <m/>
    <m/>
    <m/>
    <m/>
    <m/>
    <m/>
    <m/>
    <m/>
    <m/>
    <m/>
    <m/>
    <m/>
    <m/>
    <m/>
    <m/>
    <m/>
    <m/>
    <m/>
    <m/>
    <m/>
  </r>
  <r>
    <x v="68"/>
    <x v="70"/>
    <n v="0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n v="-77441011.623756886"/>
    <n v="0"/>
    <n v="-77441011.623756886"/>
    <n v="0"/>
    <m/>
    <n v="-30464397.961081222"/>
    <n v="-46976613.662675664"/>
    <n v="0"/>
    <m/>
    <m/>
    <m/>
    <m/>
    <m/>
    <m/>
    <n v="77441011.623756886"/>
    <m/>
    <m/>
    <m/>
    <m/>
    <m/>
    <m/>
    <m/>
    <m/>
    <m/>
    <m/>
    <m/>
    <m/>
    <m/>
    <m/>
    <m/>
    <m/>
    <m/>
    <m/>
    <m/>
    <m/>
    <m/>
  </r>
  <r>
    <x v="78"/>
    <x v="80"/>
    <n v="-25687987.242806148"/>
    <n v="0"/>
    <n v="-25687987.242806148"/>
    <n v="0"/>
    <n v="12"/>
    <n v="-10105356.964938616"/>
    <n v="-15582630.277867531"/>
    <n v="0"/>
    <m/>
    <m/>
    <m/>
    <m/>
    <m/>
    <m/>
    <n v="25687987.242806148"/>
    <m/>
    <m/>
    <m/>
    <m/>
    <m/>
    <m/>
    <m/>
    <m/>
    <m/>
    <m/>
    <m/>
    <m/>
    <m/>
    <m/>
    <m/>
    <m/>
    <m/>
    <m/>
    <m/>
    <m/>
    <m/>
  </r>
  <r>
    <x v="79"/>
    <x v="81"/>
    <n v="-51753024.380950734"/>
    <n v="0"/>
    <n v="-51753024.380950734"/>
    <n v="0"/>
    <n v="12"/>
    <n v="-20359040.996142603"/>
    <n v="-31393983.384808131"/>
    <n v="0"/>
    <m/>
    <m/>
    <m/>
    <m/>
    <m/>
    <m/>
    <n v="51753024.380950734"/>
    <m/>
    <m/>
    <m/>
    <m/>
    <m/>
    <m/>
    <m/>
    <m/>
    <m/>
    <m/>
    <m/>
    <m/>
    <m/>
    <m/>
    <m/>
    <m/>
    <m/>
    <m/>
    <m/>
    <m/>
    <m/>
  </r>
  <r>
    <x v="68"/>
    <x v="70"/>
    <n v="77441011.623756886"/>
    <m/>
    <n v="77441011.6237568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80"/>
    <x v="82"/>
    <n v="0"/>
    <n v="0"/>
    <n v="0"/>
    <n v="0"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m/>
  </r>
  <r>
    <x v="0"/>
    <x v="0"/>
    <n v="277199361.412135"/>
    <n v="277199361.35953468"/>
    <n v="5.2600294351577759E-2"/>
    <n v="402526457.94739968"/>
    <m/>
    <n v="75762228.30692786"/>
    <n v="96070976.021087334"/>
    <n v="0"/>
    <n v="6037896.8700000001"/>
    <n v="0"/>
    <n v="0"/>
    <n v="0"/>
    <n v="0"/>
    <n v="0"/>
    <n v="99328260.161519602"/>
    <n v="-6694998"/>
    <n v="76480027.019999996"/>
    <n v="14953560"/>
    <n v="0"/>
    <n v="2012632.29"/>
    <n v="0"/>
    <n v="0"/>
    <n v="0"/>
    <n v="0"/>
    <n v="0"/>
    <n v="0"/>
    <n v="0"/>
    <n v="14167162.406577878"/>
    <n v="0"/>
    <n v="0"/>
    <n v="0"/>
    <n v="0"/>
    <n v="0"/>
    <n v="24408712.8712871"/>
    <n v="0"/>
    <n v="0"/>
  </r>
  <r>
    <x v="0"/>
    <x v="83"/>
    <n v="52976172"/>
    <n v="52976172"/>
    <n v="0"/>
    <n v="52976172"/>
    <m/>
    <n v="11242042"/>
    <n v="-17389978"/>
    <n v="59216649"/>
    <m/>
    <m/>
    <m/>
    <m/>
    <m/>
    <n v="5527376"/>
    <n v="-5619917"/>
    <m/>
    <m/>
    <m/>
    <m/>
    <m/>
    <m/>
    <m/>
    <m/>
    <m/>
    <m/>
    <m/>
    <m/>
    <m/>
    <m/>
    <m/>
    <m/>
    <m/>
    <m/>
    <m/>
    <m/>
    <m/>
  </r>
  <r>
    <x v="0"/>
    <x v="83"/>
    <n v="-30874071"/>
    <n v="-30874071"/>
    <n v="0"/>
    <n v="-30874071"/>
    <m/>
    <n v="-10548116"/>
    <n v="-13059775"/>
    <n v="-6290643"/>
    <m/>
    <m/>
    <m/>
    <m/>
    <m/>
    <m/>
    <n v="-975537"/>
    <m/>
    <m/>
    <m/>
    <m/>
    <m/>
    <m/>
    <m/>
    <m/>
    <m/>
    <m/>
    <m/>
    <m/>
    <m/>
    <m/>
    <m/>
    <m/>
    <m/>
    <m/>
    <m/>
    <m/>
    <m/>
  </r>
  <r>
    <x v="0"/>
    <x v="83"/>
    <n v="10497387"/>
    <n v="10497387"/>
    <n v="0"/>
    <n v="10497387"/>
    <m/>
    <m/>
    <m/>
    <m/>
    <n v="10497387"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3"/>
    <n v="7695747"/>
    <n v="7695747"/>
    <n v="0"/>
    <n v="7695747"/>
    <n v="13"/>
    <n v="0"/>
    <n v="0"/>
    <n v="7695747"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3"/>
    <n v="-51421"/>
    <n v="-51421"/>
    <n v="0"/>
    <n v="-51421"/>
    <m/>
    <n v="0"/>
    <n v="0"/>
    <n v="-51421"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n v="317443175.412135"/>
    <n v="317443175.35953468"/>
    <n v="5.2600294351577759E-2"/>
    <n v="442770271.94739968"/>
    <m/>
    <n v="76456154.30692786"/>
    <n v="65621223.021087334"/>
    <n v="60570332"/>
    <n v="16535283.870000001"/>
    <n v="0"/>
    <n v="0"/>
    <n v="0"/>
    <n v="0"/>
    <n v="5527376"/>
    <n v="92732806.161519602"/>
    <n v="-6694998"/>
    <n v="76480027.019999996"/>
    <n v="14953560"/>
    <n v="0"/>
    <n v="2012632.29"/>
    <n v="0"/>
    <n v="0"/>
    <n v="0"/>
    <n v="0"/>
    <n v="0"/>
    <n v="0"/>
    <n v="0"/>
    <n v="14167162.406577878"/>
    <n v="0"/>
    <n v="0"/>
    <n v="0"/>
    <n v="0"/>
    <n v="0"/>
    <n v="24408712.8712871"/>
    <n v="0"/>
    <n v="0"/>
  </r>
  <r>
    <x v="4"/>
    <x v="5"/>
    <n v="15021592.561523914"/>
    <n v="15021592.561523914"/>
    <n v="0"/>
    <n v="15021592.561523914"/>
    <n v="8"/>
    <n v="5317540.0486270925"/>
    <n v="9704052.5128968209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3"/>
    <n v="768000"/>
    <n v="768000"/>
    <n v="0"/>
    <n v="768000"/>
    <n v="9"/>
    <n v="313639.87420462712"/>
    <n v="454360.12579537288"/>
    <n v="0"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n v="0"/>
    <n v="0"/>
    <n v="0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</r>
  <r>
    <x v="81"/>
    <x v="84"/>
    <n v="0"/>
    <n v="0"/>
    <n v="0"/>
    <n v="0"/>
    <m/>
    <m/>
    <m/>
    <m/>
    <m/>
    <m/>
    <m/>
    <m/>
    <m/>
    <n v="0"/>
    <m/>
    <m/>
    <m/>
    <m/>
    <m/>
    <m/>
    <m/>
    <m/>
    <m/>
    <m/>
    <m/>
    <m/>
    <m/>
    <m/>
    <m/>
    <m/>
    <m/>
    <m/>
    <n v="0"/>
    <m/>
    <m/>
    <m/>
  </r>
  <r>
    <x v="3"/>
    <x v="4"/>
    <n v="0"/>
    <n v="0"/>
    <n v="0"/>
    <n v="0"/>
    <m/>
    <m/>
    <m/>
    <m/>
    <m/>
    <m/>
    <m/>
    <m/>
    <m/>
    <n v="0"/>
    <m/>
    <m/>
    <m/>
    <m/>
    <m/>
    <m/>
    <m/>
    <m/>
    <m/>
    <m/>
    <m/>
    <m/>
    <m/>
    <m/>
    <m/>
    <m/>
    <n v="0"/>
    <m/>
    <m/>
    <m/>
    <m/>
    <m/>
  </r>
  <r>
    <x v="4"/>
    <x v="5"/>
    <n v="0"/>
    <n v="0"/>
    <n v="0"/>
    <n v="0"/>
    <s v="22.b2"/>
    <n v="0"/>
    <n v="0"/>
    <n v="0"/>
    <m/>
    <m/>
    <m/>
    <m/>
    <m/>
    <n v="0"/>
    <m/>
    <m/>
    <m/>
    <m/>
    <m/>
    <m/>
    <m/>
    <m/>
    <m/>
    <m/>
    <m/>
    <m/>
    <m/>
    <m/>
    <m/>
    <m/>
    <m/>
    <m/>
    <m/>
    <m/>
    <m/>
    <m/>
  </r>
  <r>
    <x v="4"/>
    <x v="5"/>
    <n v="0"/>
    <n v="0"/>
    <n v="0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5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5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5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5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n v="0"/>
    <n v="0"/>
    <n v="0"/>
    <n v="0"/>
    <s v="22.b3"/>
    <n v="0"/>
    <n v="0"/>
    <n v="0"/>
    <m/>
    <m/>
    <m/>
    <m/>
    <m/>
    <m/>
    <m/>
    <m/>
    <m/>
    <m/>
    <m/>
    <m/>
    <m/>
    <m/>
    <m/>
    <m/>
    <m/>
    <m/>
    <m/>
    <m/>
    <m/>
    <m/>
    <n v="0"/>
    <m/>
    <m/>
    <m/>
    <m/>
    <m/>
  </r>
  <r>
    <x v="5"/>
    <x v="6"/>
    <n v="0"/>
    <n v="0"/>
    <n v="0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81"/>
    <x v="84"/>
    <n v="0"/>
    <n v="0"/>
    <n v="0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n v="0"/>
    <m/>
    <m/>
    <m/>
  </r>
  <r>
    <x v="0"/>
    <x v="2"/>
    <n v="-3000022.5866895439"/>
    <n v="-3000022.5866895439"/>
    <n v="0"/>
    <n v="0"/>
    <m/>
    <n v="-1069924.1853380268"/>
    <n v="-1930098.4013515171"/>
    <n v="0"/>
    <n v="0"/>
    <n v="0"/>
    <n v="0"/>
    <n v="0"/>
    <n v="0"/>
    <n v="0"/>
    <n v="0"/>
    <n v="0"/>
    <n v="3000022.5866895439"/>
    <n v="0"/>
    <n v="0"/>
    <n v="0"/>
    <n v="0"/>
    <n v="0"/>
    <n v="0"/>
    <n v="0"/>
    <n v="0"/>
    <n v="0"/>
    <n v="0"/>
    <n v="0"/>
    <n v="0"/>
    <n v="0"/>
    <n v="0"/>
    <n v="0"/>
    <n v="0"/>
    <m/>
    <m/>
    <n v="0"/>
  </r>
  <r>
    <x v="63"/>
    <x v="65"/>
    <n v="-3000022.5866895439"/>
    <n v="-3000022.5866895439"/>
    <n v="0"/>
    <n v="0"/>
    <m/>
    <n v="-1069924.1853380268"/>
    <n v="-1930098.4013515171"/>
    <n v="0"/>
    <n v="0"/>
    <n v="0"/>
    <n v="0"/>
    <n v="0"/>
    <n v="0"/>
    <n v="0"/>
    <n v="0"/>
    <m/>
    <n v="3000022.5866895439"/>
    <m/>
    <m/>
    <m/>
    <m/>
    <m/>
    <m/>
    <m/>
    <m/>
    <m/>
    <m/>
    <m/>
    <m/>
    <m/>
    <m/>
    <m/>
    <m/>
    <m/>
    <m/>
    <m/>
  </r>
  <r>
    <x v="0"/>
    <x v="83"/>
    <n v="0"/>
    <n v="0"/>
    <n v="0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n v="-78947.96280761958"/>
    <n v="-78947.96280761958"/>
    <n v="0"/>
    <n v="0"/>
    <m/>
    <n v="-28155.899614158599"/>
    <n v="-50792.063193460977"/>
    <n v="0"/>
    <n v="0"/>
    <n v="0"/>
    <n v="0"/>
    <n v="0"/>
    <n v="0"/>
    <n v="0"/>
    <n v="0"/>
    <n v="0"/>
    <n v="0"/>
    <n v="0"/>
    <n v="0"/>
    <n v="78947.96280761958"/>
    <n v="0"/>
    <n v="0"/>
    <n v="0"/>
    <n v="0"/>
    <n v="0"/>
    <n v="0"/>
    <n v="0"/>
    <n v="0"/>
    <n v="0"/>
    <n v="0"/>
    <n v="0"/>
    <n v="0"/>
    <n v="0"/>
    <m/>
    <m/>
    <n v="0"/>
  </r>
  <r>
    <x v="65"/>
    <x v="67"/>
    <n v="-78947.96280761958"/>
    <n v="-78947.96280761958"/>
    <n v="0"/>
    <n v="0"/>
    <m/>
    <n v="-28155.899614158599"/>
    <n v="-50792.063193460977"/>
    <n v="0"/>
    <n v="0"/>
    <n v="0"/>
    <n v="0"/>
    <n v="0"/>
    <n v="0"/>
    <n v="0"/>
    <n v="0"/>
    <m/>
    <m/>
    <m/>
    <m/>
    <n v="78947.96280761958"/>
    <m/>
    <m/>
    <m/>
    <m/>
    <m/>
    <m/>
    <m/>
    <m/>
    <m/>
    <m/>
    <m/>
    <m/>
    <m/>
    <m/>
    <m/>
    <m/>
  </r>
  <r>
    <x v="0"/>
    <x v="83"/>
    <n v="0"/>
    <n v="0"/>
    <n v="0"/>
    <n v="0"/>
    <m/>
    <n v="0"/>
    <n v="0"/>
    <n v="0"/>
    <m/>
    <m/>
    <m/>
    <m/>
    <m/>
    <m/>
    <m/>
    <m/>
    <m/>
    <m/>
    <m/>
    <n v="0"/>
    <m/>
    <m/>
    <m/>
    <m/>
    <m/>
    <m/>
    <m/>
    <m/>
    <m/>
    <m/>
    <m/>
    <m/>
    <m/>
    <m/>
    <m/>
    <m/>
  </r>
  <r>
    <x v="0"/>
    <x v="2"/>
    <n v="-236843.8884228587"/>
    <n v="-2.9103830456733704E-11"/>
    <n v="-236843.88842285867"/>
    <n v="-2.9103830456733704E-11"/>
    <m/>
    <n v="-84467.698842475787"/>
    <n v="-152376.18958038292"/>
    <n v="0"/>
    <n v="236843.888422858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n v="0"/>
  </r>
  <r>
    <x v="67"/>
    <x v="69"/>
    <n v="-236843.8884228587"/>
    <n v="0"/>
    <n v="-236843.8884228587"/>
    <n v="0"/>
    <m/>
    <n v="-84467.698842475787"/>
    <n v="-152376.18958038292"/>
    <n v="0"/>
    <n v="236843.8884228587"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3"/>
    <n v="0"/>
    <n v="0"/>
    <n v="0"/>
    <n v="0"/>
    <m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70"/>
    <n v="236843.8884228587"/>
    <n v="0"/>
    <n v="236843.8884228587"/>
    <n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n v="0"/>
  </r>
  <r>
    <x v="68"/>
    <x v="70"/>
    <n v="236843.8884228587"/>
    <n v="0"/>
    <n v="236843.888422858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n v="330153797.42416179"/>
    <n v="330153797.37156147"/>
    <n v="5.2600294380681589E-2"/>
    <n v="458559864.50892359"/>
    <m/>
    <n v="80904786.445964918"/>
    <n v="73646369.005654186"/>
    <n v="60570332"/>
    <n v="16772127.758422859"/>
    <n v="0"/>
    <n v="0"/>
    <n v="0"/>
    <n v="0"/>
    <n v="5527376"/>
    <n v="92732806.161519602"/>
    <n v="-6694998"/>
    <n v="79480049.606689543"/>
    <n v="14953560"/>
    <n v="0"/>
    <n v="2091580.2528076195"/>
    <n v="0"/>
    <n v="0"/>
    <n v="0"/>
    <n v="0"/>
    <n v="0"/>
    <n v="0"/>
    <n v="0"/>
    <n v="14167162.406577878"/>
    <n v="0"/>
    <n v="0"/>
    <n v="0"/>
    <n v="0"/>
    <n v="0"/>
    <n v="24408712.8712871"/>
    <n v="0"/>
    <n v="0"/>
  </r>
  <r>
    <x v="0"/>
    <x v="2"/>
    <n v="0"/>
    <n v="0"/>
    <n v="0"/>
    <n v="0"/>
    <m/>
    <n v="-30140883.216086335"/>
    <n v="-12583857.707952507"/>
    <n v="59867284.271020681"/>
    <m/>
    <m/>
    <m/>
    <m/>
    <m/>
    <n v="-5527376"/>
    <n v="-11615167.346981831"/>
    <m/>
    <m/>
    <m/>
    <m/>
    <m/>
    <m/>
    <m/>
    <m/>
    <m/>
    <m/>
    <m/>
    <m/>
    <m/>
    <m/>
    <m/>
    <m/>
    <m/>
    <m/>
    <m/>
    <m/>
    <m/>
  </r>
  <r>
    <x v="0"/>
    <x v="85"/>
    <n v="0"/>
    <n v="0"/>
    <n v="0"/>
    <n v="0"/>
    <m/>
    <n v="959299"/>
    <n v="30449753"/>
    <n v="-36153757.190780878"/>
    <m/>
    <m/>
    <m/>
    <m/>
    <m/>
    <n v="-5527376"/>
    <n v="10272081.190780882"/>
    <m/>
    <m/>
    <m/>
    <m/>
    <m/>
    <m/>
    <m/>
    <m/>
    <m/>
    <m/>
    <m/>
    <m/>
    <m/>
    <m/>
    <m/>
    <m/>
    <m/>
    <m/>
    <m/>
    <m/>
    <m/>
  </r>
  <r>
    <x v="0"/>
    <x v="86"/>
    <n v="0"/>
    <n v="0"/>
    <n v="0"/>
    <n v="0"/>
    <m/>
    <n v="959299"/>
    <m/>
    <m/>
    <m/>
    <m/>
    <m/>
    <m/>
    <m/>
    <n v="-959299"/>
    <m/>
    <m/>
    <m/>
    <m/>
    <m/>
    <m/>
    <m/>
    <m/>
    <m/>
    <m/>
    <m/>
    <m/>
    <m/>
    <m/>
    <m/>
    <m/>
    <m/>
    <m/>
    <m/>
    <m/>
    <m/>
    <m/>
  </r>
  <r>
    <x v="0"/>
    <x v="87"/>
    <n v="0"/>
    <n v="0"/>
    <n v="0"/>
    <n v="0"/>
    <m/>
    <m/>
    <n v="30449753"/>
    <n v="-30449753"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8"/>
    <n v="0"/>
    <n v="0"/>
    <n v="0"/>
    <n v="0"/>
    <m/>
    <m/>
    <m/>
    <n v="4568077"/>
    <m/>
    <m/>
    <m/>
    <m/>
    <m/>
    <n v="-4568077"/>
    <m/>
    <m/>
    <m/>
    <m/>
    <m/>
    <m/>
    <m/>
    <m/>
    <m/>
    <m/>
    <m/>
    <m/>
    <m/>
    <m/>
    <m/>
    <m/>
    <m/>
    <m/>
    <m/>
    <m/>
    <m/>
    <m/>
  </r>
  <r>
    <x v="0"/>
    <x v="89"/>
    <n v="0"/>
    <n v="0"/>
    <n v="0"/>
    <n v="0"/>
    <m/>
    <m/>
    <m/>
    <n v="-6595454"/>
    <m/>
    <m/>
    <m/>
    <m/>
    <m/>
    <m/>
    <n v="6595454"/>
    <m/>
    <m/>
    <m/>
    <m/>
    <m/>
    <m/>
    <m/>
    <m/>
    <m/>
    <m/>
    <m/>
    <m/>
    <m/>
    <m/>
    <m/>
    <m/>
    <m/>
    <m/>
    <m/>
    <m/>
    <m/>
  </r>
  <r>
    <x v="0"/>
    <x v="0"/>
    <n v="0"/>
    <n v="0"/>
    <n v="0"/>
    <n v="0"/>
    <m/>
    <n v="0"/>
    <n v="0"/>
    <n v="-3676627.1907808813"/>
    <m/>
    <m/>
    <m/>
    <m/>
    <m/>
    <m/>
    <n v="3676627.1907808813"/>
    <m/>
    <m/>
    <m/>
    <m/>
    <m/>
    <m/>
    <m/>
    <m/>
    <m/>
    <m/>
    <m/>
    <m/>
    <m/>
    <m/>
    <m/>
    <m/>
    <m/>
    <m/>
    <m/>
    <m/>
    <m/>
  </r>
  <r>
    <x v="0"/>
    <x v="2"/>
    <n v="0"/>
    <n v="0"/>
    <n v="0"/>
    <n v="0"/>
    <m/>
    <n v="-31100182.216086335"/>
    <n v="-43033610.707952507"/>
    <n v="96021041.461801559"/>
    <n v="0"/>
    <n v="0"/>
    <n v="0"/>
    <n v="0"/>
    <n v="0"/>
    <n v="0"/>
    <n v="-21887248.537762713"/>
    <m/>
    <m/>
    <m/>
    <m/>
    <m/>
    <m/>
    <m/>
    <m/>
    <m/>
    <m/>
    <m/>
    <m/>
    <m/>
    <m/>
    <m/>
    <m/>
    <m/>
    <m/>
    <m/>
    <m/>
    <m/>
  </r>
  <r>
    <x v="0"/>
    <x v="2"/>
    <n v="0"/>
    <n v="0"/>
    <n v="0"/>
    <n v="0"/>
    <m/>
    <n v="-3280173.6338925189"/>
    <n v="-1997337.8992820641"/>
    <n v="27506684.003174581"/>
    <n v="0"/>
    <n v="0"/>
    <n v="0"/>
    <n v="0"/>
    <n v="0"/>
    <n v="0"/>
    <n v="-22229172.469999999"/>
    <m/>
    <m/>
    <m/>
    <m/>
    <m/>
    <m/>
    <m/>
    <m/>
    <m/>
    <m/>
    <m/>
    <m/>
    <m/>
    <m/>
    <m/>
    <m/>
    <m/>
    <m/>
    <m/>
    <m/>
    <m/>
  </r>
  <r>
    <x v="82"/>
    <x v="90"/>
    <n v="0"/>
    <n v="0"/>
    <n v="0"/>
    <n v="0"/>
    <m/>
    <m/>
    <m/>
    <n v="22229172.469999999"/>
    <m/>
    <m/>
    <m/>
    <m/>
    <m/>
    <m/>
    <n v="-22229172.469999999"/>
    <m/>
    <m/>
    <m/>
    <m/>
    <m/>
    <m/>
    <m/>
    <m/>
    <m/>
    <m/>
    <m/>
    <m/>
    <m/>
    <m/>
    <m/>
    <m/>
    <m/>
    <m/>
    <m/>
    <m/>
    <m/>
  </r>
  <r>
    <x v="82"/>
    <x v="90"/>
    <n v="0"/>
    <n v="0"/>
    <n v="0"/>
    <n v="0"/>
    <m/>
    <n v="-3280173.6338925189"/>
    <n v="-1997337.8992820641"/>
    <n v="5277511.5331745828"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n v="0"/>
    <n v="4.8894435167312622E-9"/>
    <n v="-4.8894435167312622E-9"/>
    <n v="4.8894435167312622E-9"/>
    <m/>
    <n v="-27820008.582193818"/>
    <n v="-41036272.808670446"/>
    <n v="68514357.458626986"/>
    <n v="0"/>
    <n v="0"/>
    <n v="0"/>
    <n v="0"/>
    <n v="0"/>
    <n v="0"/>
    <n v="341923.93223728728"/>
    <m/>
    <m/>
    <m/>
    <m/>
    <m/>
    <m/>
    <m/>
    <m/>
    <m/>
    <m/>
    <m/>
    <m/>
    <m/>
    <m/>
    <m/>
    <m/>
    <m/>
    <m/>
    <m/>
    <m/>
    <m/>
  </r>
  <r>
    <x v="70"/>
    <x v="72"/>
    <n v="0"/>
    <n v="0"/>
    <n v="0"/>
    <n v="0"/>
    <m/>
    <m/>
    <m/>
    <n v="-341923.93223728728"/>
    <m/>
    <m/>
    <m/>
    <m/>
    <m/>
    <m/>
    <n v="341923.93223728728"/>
    <m/>
    <m/>
    <m/>
    <m/>
    <m/>
    <m/>
    <m/>
    <m/>
    <m/>
    <m/>
    <m/>
    <m/>
    <m/>
    <m/>
    <m/>
    <m/>
    <m/>
    <m/>
    <m/>
    <m/>
    <m/>
  </r>
  <r>
    <x v="70"/>
    <x v="72"/>
    <n v="0"/>
    <n v="0"/>
    <n v="0"/>
    <n v="0"/>
    <m/>
    <n v="-27820008.582193818"/>
    <n v="-41036272.808670446"/>
    <n v="68856281.390864268"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n v="196907865.39793551"/>
    <n v="196907865.49157715"/>
    <n v="-9.364163875579834E-2"/>
    <n v="196907865.49157715"/>
    <m/>
    <n v="84146470.120788574"/>
    <n v="109903099.12078856"/>
    <n v="2858296.25"/>
    <n v="0"/>
    <m/>
    <n v="0"/>
    <m/>
    <m/>
    <n v="0"/>
    <n v="0"/>
    <m/>
    <m/>
    <m/>
    <m/>
    <m/>
    <m/>
    <m/>
    <m/>
    <m/>
    <m/>
    <m/>
    <m/>
    <m/>
    <m/>
    <m/>
    <m/>
    <m/>
    <m/>
    <m/>
    <m/>
    <m/>
  </r>
  <r>
    <x v="0"/>
    <x v="83"/>
    <n v="23572419"/>
    <n v="23572419"/>
    <n v="0"/>
    <n v="23572419"/>
    <m/>
    <n v="6018379"/>
    <n v="17554040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9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83"/>
    <x v="92"/>
    <n v="119825160.48621397"/>
    <n v="119825160.48621397"/>
    <n v="0"/>
    <n v="119825160.48621397"/>
    <m/>
    <n v="54742781.883799627"/>
    <n v="65082378.60241434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84"/>
    <x v="9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85"/>
    <x v="9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86"/>
    <x v="9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87"/>
    <x v="96"/>
    <n v="3482664"/>
    <n v="3482664"/>
    <n v="0"/>
    <n v="3482664"/>
    <m/>
    <n v="630000"/>
    <n v="2852664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88"/>
    <x v="9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89"/>
    <x v="98"/>
    <n v="934546"/>
    <n v="934546"/>
    <n v="0"/>
    <n v="934546"/>
    <m/>
    <n v="469091"/>
    <n v="46545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0"/>
    <x v="9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1"/>
    <x v="100"/>
    <n v="3863027"/>
    <n v="3863027"/>
    <n v="0"/>
    <n v="3863027"/>
    <m/>
    <n v="2591027"/>
    <n v="1272000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2"/>
    <x v="101"/>
    <n v="1771625"/>
    <n v="1771625"/>
    <n v="0"/>
    <n v="1771625"/>
    <m/>
    <n v="1681625"/>
    <n v="90000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3"/>
    <x v="102"/>
    <n v="1618800"/>
    <n v="1618800"/>
    <n v="0"/>
    <n v="1618800"/>
    <m/>
    <m/>
    <n v="1618800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4"/>
    <x v="10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5"/>
    <x v="10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6"/>
    <x v="10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7"/>
    <x v="10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8"/>
    <x v="10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9"/>
    <x v="10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0"/>
    <x v="10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1"/>
    <x v="10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2"/>
    <x v="110"/>
    <n v="554400"/>
    <n v="554400"/>
    <n v="0"/>
    <n v="554400"/>
    <m/>
    <n v="0"/>
    <n v="554400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3"/>
    <x v="11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4"/>
    <x v="11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5"/>
    <x v="11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6"/>
    <x v="114"/>
    <n v="280000"/>
    <n v="280000"/>
    <n v="0"/>
    <n v="280000"/>
    <m/>
    <n v="150000"/>
    <n v="130000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7"/>
    <x v="11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8"/>
    <x v="116"/>
    <n v="425976"/>
    <n v="425976"/>
    <n v="0"/>
    <n v="425976"/>
    <m/>
    <n v="192031"/>
    <n v="23394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9"/>
    <x v="11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0"/>
    <x v="11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1"/>
    <x v="11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2"/>
    <x v="12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3"/>
    <x v="12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4"/>
    <x v="122"/>
    <n v="37200"/>
    <n v="37200"/>
    <n v="0"/>
    <n v="37200"/>
    <m/>
    <n v="0"/>
    <n v="37200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5"/>
    <x v="12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6"/>
    <x v="124"/>
    <n v="14974500"/>
    <n v="14974500"/>
    <n v="0"/>
    <n v="14974500"/>
    <m/>
    <n v="7297000"/>
    <n v="7677500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7"/>
    <x v="12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8"/>
    <x v="12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9"/>
    <x v="12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0"/>
    <x v="12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1"/>
    <x v="12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2"/>
    <x v="13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3"/>
    <x v="13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4"/>
    <x v="13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5"/>
    <x v="13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6"/>
    <x v="13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7"/>
    <x v="13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8"/>
    <x v="13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9"/>
    <x v="137"/>
    <n v="22709251.755363166"/>
    <n v="22709251.755363166"/>
    <n v="0"/>
    <n v="22709251.755363166"/>
    <m/>
    <n v="10374535.236988943"/>
    <n v="12334716.518374223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</r>
  <r>
    <x v="130"/>
    <x v="10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31"/>
    <x v="13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32"/>
    <x v="139"/>
    <n v="0"/>
    <n v="0"/>
    <n v="0"/>
    <n v="0"/>
    <m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</r>
  <r>
    <x v="133"/>
    <x v="140"/>
    <n v="0"/>
    <n v="0"/>
    <n v="0"/>
    <n v="0"/>
    <m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</r>
  <r>
    <x v="134"/>
    <x v="141"/>
    <n v="2858296.25"/>
    <n v="2858296.25"/>
    <n v="0"/>
    <n v="2858296.25"/>
    <m/>
    <m/>
    <m/>
    <n v="2858296.25"/>
    <m/>
    <m/>
    <m/>
    <m/>
    <m/>
    <m/>
    <m/>
    <m/>
    <m/>
    <m/>
    <m/>
    <m/>
    <m/>
    <m/>
    <m/>
    <m/>
    <m/>
    <m/>
    <m/>
    <m/>
    <m/>
    <m/>
    <m/>
    <m/>
    <m/>
    <m/>
    <m/>
    <m/>
  </r>
  <r>
    <x v="135"/>
    <x v="14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n v="0"/>
    <n v="0"/>
    <n v="0"/>
    <n v="0"/>
    <m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</r>
  <r>
    <x v="0"/>
    <x v="0"/>
    <n v="0"/>
    <n v="0"/>
    <n v="0"/>
    <n v="0"/>
    <m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</r>
  <r>
    <x v="0"/>
    <x v="83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91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83"/>
    <x v="9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84"/>
    <x v="9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85"/>
    <x v="9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86"/>
    <x v="9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87"/>
    <x v="9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88"/>
    <x v="9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89"/>
    <x v="9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0"/>
    <x v="9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1"/>
    <x v="10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2"/>
    <x v="10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3"/>
    <x v="10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4"/>
    <x v="10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5"/>
    <x v="10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6"/>
    <x v="10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7"/>
    <x v="10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8"/>
    <x v="10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9"/>
    <x v="10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0"/>
    <x v="10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1"/>
    <x v="10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2"/>
    <x v="11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3"/>
    <x v="11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4"/>
    <x v="11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5"/>
    <x v="11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6"/>
    <x v="11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7"/>
    <x v="11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8"/>
    <x v="11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9"/>
    <x v="11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0"/>
    <x v="11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1"/>
    <x v="11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2"/>
    <x v="12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3"/>
    <x v="12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4"/>
    <x v="12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5"/>
    <x v="12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6"/>
    <x v="12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7"/>
    <x v="12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8"/>
    <x v="12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9"/>
    <x v="12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0"/>
    <x v="12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1"/>
    <x v="12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2"/>
    <x v="13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3"/>
    <x v="13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4"/>
    <x v="13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5"/>
    <x v="13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6"/>
    <x v="13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7"/>
    <x v="13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8"/>
    <x v="13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9"/>
    <x v="137"/>
    <n v="0"/>
    <n v="0"/>
    <n v="0"/>
    <n v="0"/>
    <m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</r>
  <r>
    <x v="130"/>
    <x v="10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31"/>
    <x v="13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32"/>
    <x v="139"/>
    <n v="0"/>
    <n v="0"/>
    <n v="0"/>
    <n v="0"/>
    <m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</r>
  <r>
    <x v="133"/>
    <x v="140"/>
    <n v="0"/>
    <n v="0"/>
    <n v="0"/>
    <n v="0"/>
    <m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</r>
  <r>
    <x v="134"/>
    <x v="14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35"/>
    <x v="14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n v="0"/>
    <n v="0"/>
    <n v="0"/>
    <n v="0"/>
    <m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</r>
  <r>
    <x v="0"/>
    <x v="8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91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36"/>
    <x v="14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37"/>
    <x v="14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38"/>
    <x v="14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39"/>
    <x v="14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0"/>
    <x v="14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1"/>
    <x v="14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2"/>
    <x v="14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3"/>
    <x v="15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4"/>
    <x v="15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5"/>
    <x v="15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6"/>
    <x v="15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7"/>
    <x v="15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8"/>
    <x v="15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9"/>
    <x v="15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0"/>
    <x v="15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1"/>
    <x v="15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2"/>
    <x v="15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3"/>
    <x v="16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4"/>
    <x v="16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5"/>
    <x v="16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6"/>
    <x v="16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7"/>
    <x v="16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8"/>
    <x v="16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9"/>
    <x v="16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0"/>
    <x v="16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1"/>
    <x v="16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2"/>
    <x v="16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3"/>
    <x v="17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4"/>
    <x v="17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5"/>
    <x v="17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6"/>
    <x v="17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7"/>
    <x v="17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8"/>
    <x v="17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9"/>
    <x v="17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0"/>
    <x v="17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1"/>
    <x v="17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2"/>
    <x v="17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3"/>
    <x v="18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4"/>
    <x v="18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5"/>
    <x v="18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6"/>
    <x v="18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7"/>
    <x v="18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8"/>
    <x v="18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9"/>
    <x v="18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80"/>
    <x v="18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81"/>
    <x v="18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82"/>
    <x v="18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83"/>
    <x v="19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84"/>
    <x v="19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85"/>
    <x v="19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86"/>
    <x v="19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87"/>
    <x v="19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88"/>
    <x v="19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89"/>
    <x v="19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0"/>
    <x v="19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1"/>
    <x v="19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2"/>
    <x v="19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3"/>
    <x v="20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4"/>
    <x v="20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5"/>
    <x v="202"/>
    <n v="0"/>
    <n v="0"/>
    <n v="0"/>
    <n v="0"/>
    <m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</r>
  <r>
    <x v="196"/>
    <x v="20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7"/>
    <x v="20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8"/>
    <x v="20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9"/>
    <x v="20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00"/>
    <x v="20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01"/>
    <x v="20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02"/>
    <x v="20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n v="81117638.814537749"/>
    <n v="81117638.425182343"/>
    <n v="0.38935540616512299"/>
    <n v="81117638.425182343"/>
    <m/>
    <m/>
    <m/>
    <m/>
    <m/>
    <m/>
    <m/>
    <m/>
    <m/>
    <m/>
    <n v="81117638.425182343"/>
    <m/>
    <m/>
    <m/>
    <m/>
    <m/>
    <m/>
    <m/>
    <m/>
    <m/>
    <m/>
    <m/>
    <m/>
    <m/>
    <m/>
    <m/>
    <m/>
    <m/>
    <m/>
    <m/>
    <m/>
    <m/>
  </r>
  <r>
    <x v="0"/>
    <x v="210"/>
    <n v="3676627.1907808813"/>
    <n v="3676627.1907808813"/>
    <n v="0"/>
    <n v="3676627.1907808813"/>
    <m/>
    <m/>
    <m/>
    <m/>
    <m/>
    <m/>
    <m/>
    <m/>
    <m/>
    <m/>
    <n v="3676627.1907808813"/>
    <m/>
    <m/>
    <m/>
    <m/>
    <m/>
    <m/>
    <m/>
    <m/>
    <m/>
    <m/>
    <m/>
    <m/>
    <m/>
    <m/>
    <m/>
    <m/>
    <m/>
    <m/>
    <m/>
    <m/>
    <m/>
  </r>
  <r>
    <x v="0"/>
    <x v="2"/>
    <n v="77441011.23375687"/>
    <n v="77441011.234401464"/>
    <n v="-6.4459443092346191E-4"/>
    <n v="77441011.234401464"/>
    <m/>
    <m/>
    <m/>
    <m/>
    <m/>
    <m/>
    <m/>
    <m/>
    <m/>
    <m/>
    <n v="77441011.234401464"/>
    <m/>
    <m/>
    <m/>
    <m/>
    <m/>
    <m/>
    <m/>
    <m/>
    <m/>
    <m/>
    <m/>
    <m/>
    <m/>
    <m/>
    <m/>
    <m/>
    <m/>
    <m/>
    <m/>
    <m/>
    <m/>
  </r>
  <r>
    <x v="0"/>
    <x v="211"/>
    <n v="2931706.9993554107"/>
    <n v="2931707"/>
    <n v="-6.4458930864930153E-4"/>
    <n v="2931707"/>
    <m/>
    <m/>
    <m/>
    <m/>
    <m/>
    <m/>
    <m/>
    <m/>
    <m/>
    <m/>
    <n v="2931707"/>
    <m/>
    <m/>
    <m/>
    <m/>
    <m/>
    <m/>
    <m/>
    <m/>
    <m/>
    <m/>
    <m/>
    <m/>
    <m/>
    <m/>
    <m/>
    <m/>
    <m/>
    <m/>
    <m/>
    <m/>
    <m/>
  </r>
  <r>
    <x v="0"/>
    <x v="211"/>
    <n v="74509304.234401464"/>
    <n v="74509304.234401464"/>
    <n v="0"/>
    <n v="74509304.234401464"/>
    <m/>
    <m/>
    <m/>
    <m/>
    <m/>
    <m/>
    <m/>
    <m/>
    <m/>
    <m/>
    <n v="74509304.234401464"/>
    <m/>
    <m/>
    <m/>
    <m/>
    <m/>
    <m/>
    <m/>
    <m/>
    <m/>
    <m/>
    <m/>
    <m/>
    <m/>
    <m/>
    <m/>
    <m/>
    <m/>
    <m/>
    <m/>
    <m/>
    <m/>
  </r>
  <r>
    <x v="0"/>
    <x v="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1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1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1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n v="51421"/>
    <n v="51421"/>
    <n v="0"/>
    <n v="51421"/>
    <m/>
    <n v="0"/>
    <n v="0"/>
    <n v="51421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</r>
  <r>
    <x v="0"/>
    <x v="83"/>
    <n v="51421"/>
    <n v="51421"/>
    <n v="0"/>
    <n v="51421"/>
    <n v="13"/>
    <n v="0"/>
    <n v="0"/>
    <n v="51421"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91"/>
    <m/>
    <n v="0"/>
    <n v="0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</r>
  <r>
    <x v="132"/>
    <x v="13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33"/>
    <x v="14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7"/>
    <x v="16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6"/>
    <x v="20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n v="5684490"/>
    <n v="5684490.2599999998"/>
    <n v="-0.25999999977648258"/>
    <n v="5684490.2599999998"/>
    <m/>
    <n v="257779.87"/>
    <n v="5426710"/>
    <n v="0"/>
    <n v="0"/>
    <n v="0"/>
    <n v="0"/>
    <n v="0"/>
    <n v="0"/>
    <n v="0"/>
    <n v="0.39"/>
    <m/>
    <m/>
    <m/>
    <m/>
    <m/>
    <m/>
    <m/>
    <m/>
    <m/>
    <m/>
    <m/>
    <m/>
    <m/>
    <m/>
    <m/>
    <m/>
    <m/>
    <m/>
    <m/>
    <m/>
    <m/>
  </r>
  <r>
    <x v="0"/>
    <x v="83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91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36"/>
    <x v="14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37"/>
    <x v="14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38"/>
    <x v="14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39"/>
    <x v="14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0"/>
    <x v="14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1"/>
    <x v="14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2"/>
    <x v="14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3"/>
    <x v="15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4"/>
    <x v="15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5"/>
    <x v="15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6"/>
    <x v="153"/>
    <n v="4273000"/>
    <n v="4273000"/>
    <n v="0"/>
    <n v="4273000"/>
    <m/>
    <m/>
    <n v="4273000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7"/>
    <x v="15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8"/>
    <x v="15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9"/>
    <x v="156"/>
    <n v="108000"/>
    <n v="108000"/>
    <n v="0"/>
    <n v="108000"/>
    <m/>
    <n v="10800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0"/>
    <x v="15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1"/>
    <x v="158"/>
    <n v="94976"/>
    <n v="94976"/>
    <n v="0"/>
    <n v="94976"/>
    <m/>
    <n v="94976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2"/>
    <x v="15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3"/>
    <x v="16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4"/>
    <x v="16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5"/>
    <x v="16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6"/>
    <x v="16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7"/>
    <x v="16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8"/>
    <x v="16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9"/>
    <x v="16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0"/>
    <x v="16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1"/>
    <x v="16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2"/>
    <x v="16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3"/>
    <x v="17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4"/>
    <x v="17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5"/>
    <x v="17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6"/>
    <x v="17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7"/>
    <x v="17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8"/>
    <x v="17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9"/>
    <x v="17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0"/>
    <x v="17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1"/>
    <x v="17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2"/>
    <x v="17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3"/>
    <x v="18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4"/>
    <x v="18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5"/>
    <x v="18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6"/>
    <x v="18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7"/>
    <x v="18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8"/>
    <x v="18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9"/>
    <x v="18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80"/>
    <x v="18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81"/>
    <x v="18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82"/>
    <x v="18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83"/>
    <x v="19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84"/>
    <x v="19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85"/>
    <x v="19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86"/>
    <x v="19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87"/>
    <x v="19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88"/>
    <x v="19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89"/>
    <x v="19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0"/>
    <x v="19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1"/>
    <x v="19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2"/>
    <x v="19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3"/>
    <x v="20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4"/>
    <x v="20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5"/>
    <x v="202"/>
    <n v="1208514.26"/>
    <n v="1208514.26"/>
    <n v="0"/>
    <n v="1208514.26"/>
    <m/>
    <n v="54803.87"/>
    <n v="1153710"/>
    <n v="0"/>
    <n v="0"/>
    <n v="0"/>
    <n v="0"/>
    <n v="0"/>
    <n v="0"/>
    <n v="0"/>
    <n v="0.39"/>
    <m/>
    <m/>
    <m/>
    <m/>
    <m/>
    <m/>
    <m/>
    <m/>
    <m/>
    <m/>
    <m/>
    <m/>
    <m/>
    <m/>
    <m/>
    <m/>
    <m/>
    <m/>
    <m/>
    <m/>
    <m/>
  </r>
  <r>
    <x v="196"/>
    <x v="20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7"/>
    <x v="20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8"/>
    <x v="20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9"/>
    <x v="20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00"/>
    <x v="20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01"/>
    <x v="20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02"/>
    <x v="20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03"/>
    <x v="21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04"/>
    <x v="21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05"/>
    <x v="21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n v="308000"/>
    <n v="308000"/>
    <n v="0"/>
    <n v="308000"/>
    <m/>
    <n v="30800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</r>
  <r>
    <x v="0"/>
    <x v="2"/>
    <n v="0"/>
    <n v="0"/>
    <n v="0"/>
    <n v="0"/>
    <m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</r>
  <r>
    <x v="0"/>
    <x v="83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3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n v="308000"/>
    <n v="308000"/>
    <n v="0"/>
    <n v="308000"/>
    <m/>
    <n v="30800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</r>
  <r>
    <x v="0"/>
    <x v="217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17"/>
    <n v="308000"/>
    <n v="308000"/>
    <n v="0"/>
    <n v="308000"/>
    <n v="14"/>
    <n v="30800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n v="16772127.758422859"/>
    <n v="16772128.208422858"/>
    <n v="-0.44999999925494194"/>
    <n v="16772128.208422858"/>
    <m/>
    <m/>
    <m/>
    <m/>
    <n v="16772128.208422858"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3"/>
    <n v="10497387"/>
    <n v="10497387"/>
    <n v="0"/>
    <n v="10497387"/>
    <m/>
    <m/>
    <m/>
    <m/>
    <n v="10497387"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n v="10497387"/>
    <n v="10497387"/>
    <n v="0"/>
    <n v="10497387"/>
    <m/>
    <m/>
    <m/>
    <m/>
    <n v="10497387"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m/>
    <n v="0"/>
    <n v="0"/>
    <n v="0"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n v="6274741.2084228592"/>
    <n v="6274741.2084228592"/>
    <n v="0"/>
    <n v="6274741.2084228592"/>
    <m/>
    <m/>
    <m/>
    <m/>
    <n v="6274741.2084228592"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91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83"/>
    <x v="9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84"/>
    <x v="9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85"/>
    <x v="9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86"/>
    <x v="9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87"/>
    <x v="96"/>
    <n v="5432675.9813184924"/>
    <n v="5432675.9813184924"/>
    <n v="0"/>
    <n v="5432675.9813184924"/>
    <m/>
    <m/>
    <m/>
    <m/>
    <n v="5432675.9813184924"/>
    <m/>
    <m/>
    <m/>
    <m/>
    <m/>
    <m/>
    <m/>
    <m/>
    <m/>
    <m/>
    <m/>
    <m/>
    <m/>
    <m/>
    <m/>
    <m/>
    <m/>
    <m/>
    <m/>
    <m/>
    <m/>
    <m/>
    <m/>
    <m/>
    <m/>
    <m/>
    <m/>
  </r>
  <r>
    <x v="88"/>
    <x v="9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89"/>
    <x v="9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0"/>
    <x v="9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1"/>
    <x v="10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2"/>
    <x v="10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3"/>
    <x v="10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4"/>
    <x v="10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5"/>
    <x v="10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9"/>
    <x v="10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0"/>
    <x v="10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1"/>
    <x v="10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2"/>
    <x v="11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3"/>
    <x v="11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4"/>
    <x v="11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5"/>
    <x v="11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6"/>
    <x v="11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7"/>
    <x v="11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8"/>
    <x v="11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9"/>
    <x v="11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0"/>
    <x v="11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1"/>
    <x v="11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2"/>
    <x v="12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3"/>
    <x v="12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4"/>
    <x v="12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6"/>
    <x v="12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7"/>
    <x v="12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8"/>
    <x v="12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9"/>
    <x v="12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0"/>
    <x v="12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1"/>
    <x v="12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2"/>
    <x v="13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3"/>
    <x v="13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4"/>
    <x v="13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5"/>
    <x v="13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6"/>
    <x v="13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7"/>
    <x v="13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8"/>
    <x v="13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9"/>
    <x v="137"/>
    <n v="842064.77710436634"/>
    <n v="842064.77710436634"/>
    <n v="0"/>
    <n v="842064.77710436634"/>
    <m/>
    <n v="0"/>
    <n v="0"/>
    <n v="0"/>
    <n v="842064.77710436634"/>
    <m/>
    <m/>
    <m/>
    <m/>
    <m/>
    <m/>
    <m/>
    <m/>
    <m/>
    <m/>
    <m/>
    <m/>
    <m/>
    <m/>
    <m/>
    <m/>
    <m/>
    <m/>
    <m/>
    <m/>
    <m/>
    <m/>
    <m/>
    <m/>
    <m/>
    <m/>
    <m/>
  </r>
  <r>
    <x v="130"/>
    <x v="10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31"/>
    <x v="13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32"/>
    <x v="139"/>
    <n v="0"/>
    <n v="0"/>
    <n v="0"/>
    <n v="0"/>
    <m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</r>
  <r>
    <x v="133"/>
    <x v="140"/>
    <n v="0"/>
    <n v="0"/>
    <n v="0"/>
    <n v="0"/>
    <m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</r>
  <r>
    <x v="134"/>
    <x v="14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35"/>
    <x v="14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91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36"/>
    <x v="14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37"/>
    <x v="14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38"/>
    <x v="14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39"/>
    <x v="14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0"/>
    <x v="14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1"/>
    <x v="14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2"/>
    <x v="14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3"/>
    <x v="15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4"/>
    <x v="15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5"/>
    <x v="15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6"/>
    <x v="15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7"/>
    <x v="15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8"/>
    <x v="15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9"/>
    <x v="15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0"/>
    <x v="15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1"/>
    <x v="15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2"/>
    <x v="15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3"/>
    <x v="16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4"/>
    <x v="16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5"/>
    <x v="16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6"/>
    <x v="16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7"/>
    <x v="16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8"/>
    <x v="16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9"/>
    <x v="16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0"/>
    <x v="16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1"/>
    <x v="16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2"/>
    <x v="16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3"/>
    <x v="17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4"/>
    <x v="17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5"/>
    <x v="17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6"/>
    <x v="17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7"/>
    <x v="17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8"/>
    <x v="17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9"/>
    <x v="17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0"/>
    <x v="17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1"/>
    <x v="17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2"/>
    <x v="17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3"/>
    <x v="18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4"/>
    <x v="18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5"/>
    <x v="18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6"/>
    <x v="18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7"/>
    <x v="18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8"/>
    <x v="18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9"/>
    <x v="18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80"/>
    <x v="18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81"/>
    <x v="18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82"/>
    <x v="18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83"/>
    <x v="19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84"/>
    <x v="19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85"/>
    <x v="19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86"/>
    <x v="19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87"/>
    <x v="19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88"/>
    <x v="19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89"/>
    <x v="19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0"/>
    <x v="19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1"/>
    <x v="19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2"/>
    <x v="19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3"/>
    <x v="20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4"/>
    <x v="20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5"/>
    <x v="202"/>
    <n v="0"/>
    <n v="0"/>
    <n v="0"/>
    <n v="0"/>
    <m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</r>
  <r>
    <x v="196"/>
    <x v="20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7"/>
    <x v="20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8"/>
    <x v="20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9"/>
    <x v="20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00"/>
    <x v="20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01"/>
    <x v="208"/>
    <n v="0.45"/>
    <n v="0.45"/>
    <n v="0"/>
    <n v="0.45"/>
    <m/>
    <m/>
    <m/>
    <m/>
    <n v="0.45"/>
    <m/>
    <m/>
    <m/>
    <m/>
    <m/>
    <m/>
    <m/>
    <m/>
    <m/>
    <m/>
    <m/>
    <m/>
    <m/>
    <m/>
    <m/>
    <m/>
    <m/>
    <m/>
    <m/>
    <m/>
    <m/>
    <m/>
    <m/>
    <m/>
    <m/>
    <m/>
    <m/>
  </r>
  <r>
    <x v="202"/>
    <x v="20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n v="0"/>
    <n v="0"/>
    <n v="0"/>
    <n v="0"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n v="0"/>
    <n v="0"/>
    <n v="0"/>
    <n v="0"/>
    <m/>
    <m/>
    <m/>
    <m/>
    <m/>
    <n v="0"/>
    <n v="0"/>
    <m/>
    <m/>
    <m/>
    <m/>
    <m/>
    <m/>
    <m/>
    <m/>
    <m/>
    <m/>
    <m/>
    <m/>
    <m/>
    <m/>
    <m/>
    <m/>
    <m/>
    <m/>
    <m/>
    <m/>
    <m/>
    <m/>
    <m/>
    <m/>
    <m/>
  </r>
  <r>
    <x v="0"/>
    <x v="83"/>
    <m/>
    <n v="0"/>
    <n v="0"/>
    <n v="0"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</r>
  <r>
    <x v="0"/>
    <x v="83"/>
    <m/>
    <n v="0"/>
    <n v="0"/>
    <n v="0"/>
    <m/>
    <m/>
    <m/>
    <m/>
    <m/>
    <n v="0"/>
    <n v="0"/>
    <m/>
    <m/>
    <m/>
    <m/>
    <m/>
    <m/>
    <m/>
    <m/>
    <m/>
    <m/>
    <m/>
    <m/>
    <m/>
    <m/>
    <m/>
    <m/>
    <m/>
    <m/>
    <m/>
    <m/>
    <m/>
    <m/>
    <m/>
    <m/>
    <m/>
  </r>
  <r>
    <x v="0"/>
    <x v="2"/>
    <n v="0"/>
    <n v="0"/>
    <n v="0"/>
    <n v="0"/>
    <m/>
    <m/>
    <m/>
    <m/>
    <m/>
    <n v="0"/>
    <n v="0"/>
    <m/>
    <m/>
    <m/>
    <m/>
    <m/>
    <m/>
    <m/>
    <m/>
    <m/>
    <m/>
    <m/>
    <m/>
    <m/>
    <m/>
    <m/>
    <m/>
    <m/>
    <m/>
    <m/>
    <m/>
    <m/>
    <m/>
    <m/>
    <m/>
    <m/>
  </r>
  <r>
    <x v="0"/>
    <x v="217"/>
    <m/>
    <n v="0"/>
    <n v="0"/>
    <n v="0"/>
    <m/>
    <m/>
    <m/>
    <m/>
    <m/>
    <n v="0"/>
    <n v="0"/>
    <m/>
    <m/>
    <m/>
    <m/>
    <m/>
    <m/>
    <m/>
    <m/>
    <m/>
    <m/>
    <m/>
    <m/>
    <m/>
    <m/>
    <m/>
    <m/>
    <m/>
    <m/>
    <m/>
    <m/>
    <m/>
    <m/>
    <m/>
    <m/>
    <m/>
  </r>
  <r>
    <x v="0"/>
    <x v="217"/>
    <n v="0"/>
    <n v="0"/>
    <n v="0"/>
    <n v="0"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n v="300841543.38453776"/>
    <n v="300841543.38518238"/>
    <n v="-6.4458930864930153E-4"/>
    <n v="300841543.38518238"/>
    <n v="0"/>
    <n v="84712249.990788579"/>
    <n v="115329809.12078856"/>
    <n v="2909717.25"/>
    <n v="16772128.208422858"/>
    <n v="0"/>
    <n v="0"/>
    <n v="0"/>
    <n v="0"/>
    <n v="0"/>
    <n v="81117638.81518234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n v="29312254.039624035"/>
    <n v="29312253.986379087"/>
    <n v="5.3244883689330891E-2"/>
    <n v="157718321.12374121"/>
    <m/>
    <n v="-33948346.760909997"/>
    <n v="-54267297.82308688"/>
    <n v="117527899.02102068"/>
    <n v="-0.44999999925494194"/>
    <n v="0"/>
    <n v="0"/>
    <n v="0"/>
    <n v="0"/>
    <n v="0"/>
    <n v="-6.4457207918167114E-4"/>
    <n v="-6694998"/>
    <n v="79480049.606689543"/>
    <n v="14953560"/>
    <n v="0"/>
    <n v="2091580.2528076195"/>
    <n v="0"/>
    <n v="0"/>
    <n v="0"/>
    <n v="0"/>
    <n v="0"/>
    <n v="0"/>
    <n v="0"/>
    <n v="14167162.406577878"/>
    <n v="0"/>
    <n v="0"/>
    <n v="0"/>
    <n v="0"/>
    <n v="0"/>
    <n v="24408712.8712871"/>
    <n v="0"/>
    <n v="0"/>
  </r>
  <r>
    <x v="0"/>
    <x v="0"/>
    <n v="-26229616.671423346"/>
    <n v="-26229616.671423346"/>
    <n v="0"/>
    <n v="0"/>
    <m/>
    <n v="-10711788.637058344"/>
    <n v="-15517828.034365002"/>
    <n v="0"/>
    <m/>
    <m/>
    <m/>
    <m/>
    <m/>
    <m/>
    <m/>
    <m/>
    <m/>
    <m/>
    <m/>
    <m/>
    <m/>
    <m/>
    <m/>
    <m/>
    <m/>
    <m/>
    <m/>
    <m/>
    <m/>
    <m/>
    <m/>
    <m/>
    <m/>
    <m/>
    <n v="26229616.671423346"/>
    <m/>
  </r>
  <r>
    <x v="206"/>
    <x v="218"/>
    <n v="-26229616.671423346"/>
    <n v="-26229616.671423346"/>
    <n v="0"/>
    <n v="0"/>
    <n v="15"/>
    <n v="-10711788.637058344"/>
    <n v="-15517828.034365002"/>
    <n v="0"/>
    <m/>
    <m/>
    <m/>
    <m/>
    <m/>
    <m/>
    <m/>
    <m/>
    <m/>
    <m/>
    <m/>
    <m/>
    <m/>
    <m/>
    <m/>
    <m/>
    <m/>
    <m/>
    <m/>
    <m/>
    <m/>
    <m/>
    <m/>
    <m/>
    <m/>
    <m/>
    <n v="26229616.671423346"/>
    <m/>
  </r>
  <r>
    <x v="207"/>
    <x v="219"/>
    <n v="0"/>
    <n v="0"/>
    <n v="0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n v="0"/>
    <m/>
  </r>
  <r>
    <x v="0"/>
    <x v="0"/>
    <n v="3082637.3682006896"/>
    <n v="3082637.3149557412"/>
    <n v="5.3244883689330891E-2"/>
    <n v="157718321.12374121"/>
    <m/>
    <n v="-44660135.397968337"/>
    <n v="-69785125.857451886"/>
    <n v="117527899.02102068"/>
    <n v="-0.44999999925494194"/>
    <n v="0"/>
    <n v="0"/>
    <n v="0"/>
    <n v="0"/>
    <n v="0"/>
    <n v="-6.4457207918167114E-4"/>
    <n v="-6694998"/>
    <n v="79480049.606689543"/>
    <n v="14953560"/>
    <n v="0"/>
    <n v="2091580.2528076195"/>
    <n v="0"/>
    <n v="0"/>
    <n v="0"/>
    <n v="0"/>
    <n v="0"/>
    <n v="0"/>
    <n v="0"/>
    <n v="14167162.406577878"/>
    <n v="0"/>
    <n v="0"/>
    <n v="0"/>
    <n v="0"/>
    <n v="0"/>
    <n v="24408712.8712871"/>
    <n v="26229616.671423346"/>
    <n v="0"/>
  </r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n v="-5.6582599878311157E-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20"/>
    <n v="263680366.75273845"/>
    <n v="263680366.70013818"/>
    <n v="5.2600264549255371E-2"/>
    <n v="418316050.50892359"/>
    <m/>
    <n v="69499071.80890657"/>
    <n v="88578293.971289158"/>
    <n v="0"/>
    <n v="6274740.758422859"/>
    <n v="0"/>
    <n v="0"/>
    <n v="0"/>
    <n v="0"/>
    <n v="0"/>
    <n v="99328260.161519602"/>
    <n v="-6694998"/>
    <n v="79480049.606689543"/>
    <n v="14953560"/>
    <n v="0"/>
    <n v="2091580.2528076195"/>
    <n v="0"/>
    <n v="0"/>
    <n v="0"/>
    <n v="0"/>
    <n v="0"/>
    <n v="0"/>
    <n v="0"/>
    <n v="14167162.406577878"/>
    <n v="0"/>
    <n v="0"/>
    <n v="0"/>
    <n v="0"/>
    <n v="0"/>
    <n v="24408712.8712871"/>
    <n v="26229616.671423346"/>
    <n v="0"/>
  </r>
  <r>
    <x v="0"/>
    <x v="0"/>
    <n v="263680366.69615585"/>
    <n v="263680366.70013809"/>
    <n v="-3.982245922088623E-3"/>
    <n v="182272877.32265812"/>
    <m/>
    <n v="38398889.592820182"/>
    <n v="45544683.263336658"/>
    <n v="96021041.461801559"/>
    <n v="6274740.758422859"/>
    <n v="0"/>
    <n v="0"/>
    <n v="0"/>
    <n v="0"/>
    <n v="0"/>
    <n v="77441011.623756886"/>
    <n v="-6694998"/>
    <n v="79480049.606689543"/>
    <n v="14953560"/>
    <n v="0"/>
    <n v="2091580.2528076195"/>
    <n v="0"/>
    <n v="0"/>
    <n v="0"/>
    <n v="0"/>
    <n v="0"/>
    <n v="0"/>
    <n v="0"/>
    <n v="14167162.406577878"/>
    <n v="-18209643.291995808"/>
    <n v="-217366796.69604406"/>
    <n v="0"/>
    <n v="-466733.1982256826"/>
    <n v="0"/>
    <n v="24408712.8712871"/>
    <n v="26229616.671423346"/>
    <n v="0"/>
  </r>
  <r>
    <x v="0"/>
    <x v="0"/>
    <m/>
    <n v="213359970.25272799"/>
    <n v="-213359970.25272799"/>
    <n v="145034684.21546948"/>
    <m/>
    <n v="36057238.240551472"/>
    <n v="51599327.964175999"/>
    <n v="68514357.458626986"/>
    <n v="5436022.2084228592"/>
    <n v="0"/>
    <n v="0"/>
    <n v="0"/>
    <n v="0"/>
    <n v="0"/>
    <n v="51753024.380950734"/>
    <n v="-1385830"/>
    <n v="68856281.306689546"/>
    <n v="14953560"/>
    <n v="0"/>
    <n v="1812007.4028076194"/>
    <n v="0"/>
    <n v="0"/>
    <n v="0"/>
    <n v="0"/>
    <n v="0"/>
    <n v="0"/>
    <n v="0"/>
    <n v="14167162.406577878"/>
    <n v="0"/>
    <n v="-217366796.69604406"/>
    <n v="0"/>
    <n v="0"/>
    <n v="0"/>
    <n v="24408712.8712871"/>
    <n v="26229616.671423346"/>
    <n v="0"/>
  </r>
  <r>
    <x v="0"/>
    <x v="0"/>
    <m/>
    <n v="50320396.447410122"/>
    <n v="-50320396.447410122"/>
    <n v="37238193.107188627"/>
    <m/>
    <n v="2341651.3522687298"/>
    <n v="-6054644.7008393537"/>
    <n v="27506684.003174581"/>
    <n v="838718.54999999993"/>
    <n v="0"/>
    <n v="0"/>
    <n v="0"/>
    <n v="0"/>
    <n v="0"/>
    <n v="25687987.242806152"/>
    <n v="-5309168"/>
    <n v="10623768.300000001"/>
    <n v="0"/>
    <n v="0"/>
    <n v="279572.84999999998"/>
    <n v="0"/>
    <n v="0"/>
    <n v="0"/>
    <n v="0"/>
    <n v="0"/>
    <n v="0"/>
    <n v="0"/>
    <n v="0"/>
    <n v="-18209643.291995808"/>
    <n v="0"/>
    <n v="0"/>
    <n v="-466733.1982256826"/>
    <n v="0"/>
    <n v="0"/>
    <n v="0"/>
    <n v="0"/>
  </r>
  <r>
    <x v="0"/>
    <x v="220"/>
    <n v="40243814"/>
    <n v="40243814"/>
    <n v="0"/>
    <n v="40243814"/>
    <m/>
    <n v="1653225"/>
    <n v="0"/>
    <n v="24416574.809219118"/>
    <n v="10497387"/>
    <n v="0"/>
    <n v="0"/>
    <n v="0"/>
    <n v="0"/>
    <n v="0"/>
    <n v="3676627.19078088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n v="303924180.69615585"/>
    <n v="303924180.70013809"/>
    <n v="-3.982245922088623E-3"/>
    <n v="222516691.32265812"/>
    <m/>
    <n v="40052114.592820182"/>
    <n v="45544683.263336658"/>
    <n v="120437616.27102068"/>
    <n v="16772127.758422859"/>
    <n v="0"/>
    <n v="0"/>
    <n v="0"/>
    <n v="0"/>
    <n v="0"/>
    <n v="81117638.814537764"/>
    <n v="-6694998"/>
    <n v="79480049.606689543"/>
    <n v="14953560"/>
    <n v="0"/>
    <n v="2091580.2528076195"/>
    <n v="0"/>
    <n v="0"/>
    <n v="0"/>
    <n v="0"/>
    <n v="0"/>
    <n v="0"/>
    <n v="0"/>
    <n v="14167162.406577878"/>
    <n v="-18209643.291995808"/>
    <n v="-217366796.69604406"/>
    <n v="0"/>
    <n v="-466733.1982256826"/>
    <n v="0"/>
    <n v="24408712.8712871"/>
    <n v="26229616.671423346"/>
    <n v="0"/>
  </r>
  <r>
    <x v="0"/>
    <x v="220"/>
    <n v="300841542.97089612"/>
    <n v="300841543.38518232"/>
    <n v="-0.41428623162209988"/>
    <n v="300841543.38518232"/>
    <m/>
    <n v="84712249.990788579"/>
    <n v="115329809.12078856"/>
    <n v="2909717.25"/>
    <n v="16772128.208422858"/>
    <n v="0"/>
    <n v="0"/>
    <n v="0"/>
    <n v="0"/>
    <n v="0"/>
    <n v="81117638.81518234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220"/>
    <n v="263043689.19375688"/>
    <n v="263043689.19440147"/>
    <n v="-6.4458930864930153E-4"/>
    <n v="263043689.19440147"/>
    <m/>
    <n v="78693870.990788579"/>
    <n v="97775769.120788559"/>
    <n v="2858296.25"/>
    <n v="6274741.2084228592"/>
    <n v="0"/>
    <n v="0"/>
    <n v="0"/>
    <n v="0"/>
    <n v="0"/>
    <n v="77441011.62440146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220"/>
    <n v="37797854.190780878"/>
    <n v="37797854.190780878"/>
    <n v="0"/>
    <n v="37797854.190780878"/>
    <m/>
    <n v="6018379"/>
    <n v="17554040"/>
    <n v="51421"/>
    <n v="10497387"/>
    <n v="0"/>
    <n v="0"/>
    <n v="0"/>
    <n v="0"/>
    <n v="0"/>
    <n v="3676627.19078088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220"/>
    <n v="300841543.38453776"/>
    <n v="300841543.38518238"/>
    <n v="-6.4458930864930153E-4"/>
    <n v="300841543.38518238"/>
    <m/>
    <n v="84712249.990788579"/>
    <n v="115329809.12078856"/>
    <n v="2909717.25"/>
    <n v="16772128.208422858"/>
    <n v="0"/>
    <n v="0"/>
    <n v="0"/>
    <n v="0"/>
    <n v="0"/>
    <n v="81117638.81518234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n v="636677.50239896774"/>
    <n v="636677.50573661923"/>
    <n v="-3.3376566134393215E-3"/>
    <n v="-80770811.871743351"/>
    <m/>
    <n v="-40294981.397968397"/>
    <n v="-52231085.857451901"/>
    <n v="93162745.211801559"/>
    <n v="-0.45000000018626451"/>
    <n v="0"/>
    <n v="0"/>
    <n v="0"/>
    <n v="0"/>
    <n v="0"/>
    <n v="-6.4457952976226807E-4"/>
    <n v="-6694998"/>
    <n v="79480049.606689543"/>
    <n v="14953560"/>
    <n v="0"/>
    <n v="2091580.2528076195"/>
    <n v="0"/>
    <n v="0"/>
    <n v="0"/>
    <n v="0"/>
    <n v="0"/>
    <n v="0"/>
    <n v="0"/>
    <n v="14167162.406577878"/>
    <n v="-18209643.291995808"/>
    <n v="-217366796.69604406"/>
    <n v="0"/>
    <n v="-466733.1982256826"/>
    <n v="0"/>
    <n v="24408712.8712871"/>
    <n v="26229616.671423346"/>
    <n v="0"/>
  </r>
  <r>
    <x v="0"/>
    <x v="0"/>
    <n v="2445959.8092191219"/>
    <n v="2445959.8092191219"/>
    <n v="0"/>
    <n v="2445959.8092191219"/>
    <m/>
    <n v="-4365154"/>
    <n v="-17554040"/>
    <n v="24365153.8092191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220"/>
    <n v="3082637.3116180897"/>
    <n v="3082637.3149557114"/>
    <n v="-3.3376566134393215E-3"/>
    <n v="-78324852.062524259"/>
    <m/>
    <n v="-44660135.397968397"/>
    <n v="-69785125.857451901"/>
    <n v="117527899.02102068"/>
    <n v="-0.44999999925494194"/>
    <n v="0"/>
    <n v="0"/>
    <n v="0"/>
    <n v="0"/>
    <n v="0"/>
    <n v="-6.4457952976226807E-4"/>
    <n v="-6694998"/>
    <n v="79480049.606689543"/>
    <n v="14953560"/>
    <n v="0"/>
    <n v="2091580.2528076195"/>
    <n v="0"/>
    <n v="0"/>
    <n v="0"/>
    <n v="0"/>
    <n v="0"/>
    <n v="0"/>
    <n v="0"/>
    <n v="14167162.406577878"/>
    <n v="-18209643.291995808"/>
    <n v="-217366796.69604406"/>
    <n v="0"/>
    <n v="-466733.1982256826"/>
    <n v="0"/>
    <n v="24408712.8712871"/>
    <n v="26229616.671423346"/>
    <n v="0"/>
  </r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n v="0"/>
    <n v="8.149072527885437E-10"/>
    <n v="-8.149072527885437E-10"/>
    <n v="8.149072527885437E-10"/>
    <m/>
    <n v="44660135.400237098"/>
    <n v="69785125.857451931"/>
    <n v="-114445261.70768903"/>
    <n v="0.450000000069849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08"/>
    <x v="221"/>
    <n v="0"/>
    <n v="8.149072527885437E-10"/>
    <n v="-8.149072527885437E-10"/>
    <n v="8.149072527885437E-10"/>
    <m/>
    <n v="0"/>
    <n v="27382364.700839356"/>
    <n v="-27382365.150839355"/>
    <n v="0.45000000006984919"/>
    <m/>
    <m/>
    <m/>
    <m/>
    <m/>
    <n v="0"/>
    <m/>
    <m/>
    <m/>
    <m/>
    <m/>
    <m/>
    <m/>
    <m/>
    <m/>
    <m/>
    <m/>
    <m/>
    <m/>
    <m/>
    <m/>
    <m/>
    <m/>
    <m/>
    <m/>
    <m/>
    <m/>
  </r>
  <r>
    <x v="209"/>
    <x v="222"/>
    <n v="0"/>
    <n v="0"/>
    <n v="0"/>
    <n v="0"/>
    <m/>
    <n v="40294981.400237098"/>
    <n v="24848721.156612575"/>
    <n v="-65143702.556849673"/>
    <n v="0"/>
    <m/>
    <m/>
    <m/>
    <m/>
    <m/>
    <n v="0"/>
    <m/>
    <m/>
    <m/>
    <m/>
    <m/>
    <m/>
    <m/>
    <m/>
    <m/>
    <m/>
    <m/>
    <m/>
    <m/>
    <m/>
    <m/>
    <m/>
    <m/>
    <m/>
    <m/>
    <m/>
    <m/>
  </r>
  <r>
    <x v="0"/>
    <x v="83"/>
    <n v="0"/>
    <n v="0"/>
    <n v="0"/>
    <n v="0"/>
    <m/>
    <n v="4365154"/>
    <n v="17554040"/>
    <n v="-21919194"/>
    <n v="0"/>
    <m/>
    <m/>
    <m/>
    <m/>
    <m/>
    <n v="0"/>
    <m/>
    <m/>
    <m/>
    <m/>
    <m/>
    <m/>
    <m/>
    <m/>
    <m/>
    <m/>
    <m/>
    <m/>
    <m/>
    <m/>
    <m/>
    <m/>
    <m/>
    <m/>
    <m/>
    <m/>
    <m/>
  </r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08"/>
    <x v="221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09"/>
    <x v="222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3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n v="3082637.3116180897"/>
    <n v="3082637.3149557719"/>
    <n v="-3.3376822248101234E-3"/>
    <n v="-78324852.062524289"/>
    <m/>
    <n v="2.2687017917633057E-3"/>
    <n v="0"/>
    <n v="3082637.3133316487"/>
    <n v="8.149072527885437E-10"/>
    <n v="0"/>
    <n v="0"/>
    <n v="0"/>
    <n v="0"/>
    <n v="0"/>
    <n v="-6.4457952976226807E-4"/>
    <n v="-6694998"/>
    <n v="79480049.606689543"/>
    <n v="14953560"/>
    <n v="0"/>
    <n v="2091580.2528076195"/>
    <n v="0"/>
    <n v="0"/>
    <n v="0"/>
    <n v="0"/>
    <n v="0"/>
    <n v="0"/>
    <n v="0"/>
    <n v="14167162.406577878"/>
    <n v="-18209643.291995808"/>
    <n v="-217366796.69604406"/>
    <n v="0"/>
    <n v="-466733.1982256826"/>
    <n v="0"/>
    <n v="24408712.8712871"/>
    <n v="26229616.671423346"/>
    <n v="0"/>
  </r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4"/>
    <x v="6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x v="62"/>
    <x v="6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1311">
  <r>
    <s v="Nagy Petra Eszter"/>
    <s v="FTHCKE"/>
    <s v="Passzív"/>
    <s v="anglisztika"/>
    <x v="0"/>
    <s v="anglisztika"/>
    <s v="BDPK-SEK-SALB-AN-LBHU"/>
    <s v="Siófok"/>
    <s v="Somogy"/>
    <s v="Nagy Petra Eszter"/>
    <s v="Magyarország"/>
    <d v="1985-03-01T00:00:00"/>
    <s v="T189094/FI80798"/>
    <x v="0"/>
    <s v="Állami ösztöndíjas"/>
    <s v="2021/22/1"/>
    <s v="Levelező"/>
    <n v="4"/>
    <n v="1"/>
    <s v="2009/10/1"/>
    <n v="6"/>
    <s v="71476638880"/>
    <n v="6"/>
    <x v="0"/>
    <s v="a központi eljárásban magyarországi képzésre"/>
    <n v="410"/>
    <m/>
    <m/>
    <s v="Felvétel"/>
    <d v="2021-09-01T00:00:00"/>
    <s v="310815076750"/>
    <s v="BDPK-SEK"/>
    <s v="Neubauer Nikoletta"/>
    <d v="2021-07-23T00:00:00"/>
    <d v="2025-07-15T00:00:00"/>
    <n v="300000"/>
    <m/>
    <m/>
    <s v="Nő"/>
    <n v="300000"/>
    <s v="nagy.petraeszter@gmail.com"/>
    <s v="Garas Gizella"/>
    <n v="0"/>
    <s v="Passzív"/>
    <n v="0"/>
    <n v="0"/>
    <s v="magyar"/>
    <m/>
  </r>
  <r>
    <s v="Rákóczi Lóránd"/>
    <s v="CQ18CY"/>
    <s v="Aktív"/>
    <s v="anglisztika"/>
    <x v="0"/>
    <s v="anglisztika"/>
    <s v="BDPK-SEK-SALB-AN-LBHU"/>
    <s v="Sopron"/>
    <s v="Győr-Moson-Sopron"/>
    <s v="Rákóczi Lóránd"/>
    <s v="Magyarország"/>
    <d v="1980-05-27T00:00:00"/>
    <s v="T183840/FI80798"/>
    <x v="0"/>
    <s v="Állami ösztöndíjas"/>
    <s v="2021/22/1"/>
    <s v="Levelező"/>
    <m/>
    <m/>
    <m/>
    <n v="6"/>
    <s v="72114834016"/>
    <n v="6"/>
    <x v="0"/>
    <s v="a központi eljárásban magyarországi képzésre"/>
    <n v="428"/>
    <m/>
    <m/>
    <s v="Felvétel"/>
    <d v="2021-09-01T00:00:00"/>
    <s v="310814361609"/>
    <s v="BDPK-SEK"/>
    <s v="Neubauer Nikoletta"/>
    <d v="2021-07-23T00:00:00"/>
    <d v="2024-07-15T00:00:00"/>
    <n v="300000"/>
    <m/>
    <n v="1"/>
    <s v="Férfi"/>
    <n v="300000"/>
    <s v="lori3@t-online.hu"/>
    <s v="Kovács Csilla"/>
    <n v="2"/>
    <s v="Aktív"/>
    <n v="2"/>
    <n v="2"/>
    <s v="magyar"/>
    <m/>
  </r>
  <r>
    <s v="Nyiri Fanni Boglárka"/>
    <s v="T0QDIM"/>
    <s v="Passzív"/>
    <s v="anglisztika"/>
    <x v="0"/>
    <s v="anglisztika"/>
    <s v="BTK-BANGL-NBHU"/>
    <s v="Keszthely"/>
    <s v="Zala"/>
    <s v="Nyiri Fanni Boglárka"/>
    <s v="Magyarország"/>
    <d v="1998-05-14T00:00:00"/>
    <s v="T130195/FI80798"/>
    <x v="0"/>
    <s v="Önköltséges"/>
    <s v="2017/18/1"/>
    <s v="Nappali"/>
    <n v="5"/>
    <n v="1"/>
    <s v="2021/22/1"/>
    <n v="6"/>
    <s v="73472054949"/>
    <n v="6"/>
    <x v="0"/>
    <s v="a központi eljárásban magyarországi képzésre"/>
    <n v="402"/>
    <m/>
    <m/>
    <s v="Felvétel"/>
    <d v="2017-09-01T00:00:00"/>
    <s v="310783001871"/>
    <s v="BDPK-SEK"/>
    <s v="Neubauer Nikoletta"/>
    <d v="2017-07-27T00:00:00"/>
    <d v="2022-07-15T00:00:00"/>
    <n v="200000"/>
    <m/>
    <n v="8"/>
    <s v="Nő"/>
    <n v="200000"/>
    <s v="fanniinyiri@gmail.com"/>
    <s v="Dombi Krisztina"/>
    <n v="8"/>
    <s v="Passzív"/>
    <n v="8"/>
    <n v="8"/>
    <s v="magyar"/>
    <n v="200000"/>
  </r>
  <r>
    <s v="Oláh Lídia"/>
    <s v="FLNVCD"/>
    <s v="Aktív"/>
    <s v="anglisztika"/>
    <x v="0"/>
    <s v="anglisztika"/>
    <s v="BDPK-SEK-SALB-AN-LBHU"/>
    <s v="Budapest"/>
    <s v="Budapest"/>
    <s v="Oláh Lídia"/>
    <s v="Magyarország"/>
    <d v="1995-10-17T00:00:00"/>
    <s v="T157285/FI80798"/>
    <x v="0"/>
    <s v="Állami ösztöndíjas"/>
    <s v="2019/20/1"/>
    <s v="Levelező"/>
    <n v="5"/>
    <n v="1"/>
    <s v="2021/22/2"/>
    <n v="6"/>
    <s v="76594551608"/>
    <n v="6"/>
    <x v="0"/>
    <s v="a központi eljárásban magyarországi képzésre"/>
    <n v="402"/>
    <m/>
    <m/>
    <s v="Felvétel"/>
    <d v="2019-09-01T00:00:00"/>
    <s v="310983258495"/>
    <s v="BDPK-SEK"/>
    <s v="Neubauer Nikoletta"/>
    <d v="2019-07-24T00:00:00"/>
    <d v="2022-07-15T00:00:00"/>
    <n v="300000"/>
    <m/>
    <n v="5"/>
    <s v="Nő"/>
    <n v="300000"/>
    <s v="olahlydia@yahoo.com"/>
    <s v="Pete Anikó"/>
    <n v="6"/>
    <s v="Aktív"/>
    <n v="6"/>
    <n v="6"/>
    <s v="magyar"/>
    <m/>
  </r>
  <r>
    <s v="Kiss Kamilla"/>
    <s v="D1R6N0"/>
    <s v="Aktív"/>
    <s v="anglisztika"/>
    <x v="0"/>
    <s v="anglisztika"/>
    <s v="BDPK-SEK-SALB-AN-LBHU"/>
    <s v="Szombathely"/>
    <s v="Vas"/>
    <s v="Kiss Kamilla"/>
    <s v="Magyarország"/>
    <d v="1997-04-25T00:00:00"/>
    <s v="T189184/FI80798"/>
    <x v="0"/>
    <s v="Állami ösztöndíjas"/>
    <s v="2021/22/1"/>
    <s v="Levelező"/>
    <n v="10"/>
    <n v="1"/>
    <s v="2021/22/2"/>
    <n v="6"/>
    <s v="75762078813"/>
    <n v="6"/>
    <x v="0"/>
    <s v="a központi eljárásban magyarországi képzésre"/>
    <n v="354"/>
    <m/>
    <m/>
    <s v="Felvétel"/>
    <d v="2021-09-01T00:00:00"/>
    <s v="310814909381"/>
    <s v="BDPK-SEK"/>
    <s v="Neubauer Nikoletta"/>
    <d v="2021-07-23T00:00:00"/>
    <d v="2024-07-15T00:00:00"/>
    <n v="300000"/>
    <m/>
    <n v="1"/>
    <s v="Nő"/>
    <n v="300000"/>
    <s v="kamkakiss@gmail.com"/>
    <s v="Maros Adrienn"/>
    <n v="2"/>
    <s v="Aktív"/>
    <n v="2"/>
    <n v="2"/>
    <s v="magyar"/>
    <m/>
  </r>
  <r>
    <s v="Kasza Szilárd"/>
    <s v="XBBNV3"/>
    <s v="Aktív"/>
    <s v="anglisztika"/>
    <x v="0"/>
    <s v="anglisztika"/>
    <s v="BDPK-SEK-SALB-AN-LBHU"/>
    <s v="Celldömölk"/>
    <s v="Vas"/>
    <s v="Kasza Szilárd"/>
    <s v="Magyarország"/>
    <d v="1992-12-13T00:00:00"/>
    <s v="T182279/FI80798"/>
    <x v="0"/>
    <s v="Állami ösztöndíjas"/>
    <s v="2021/22/1"/>
    <s v="Levelező"/>
    <n v="6"/>
    <n v="1"/>
    <s v="2021/22/2"/>
    <n v="6"/>
    <s v="75094807039"/>
    <n v="6"/>
    <x v="0"/>
    <s v="a központi eljárásban magyarországi képzésre"/>
    <n v="356"/>
    <m/>
    <m/>
    <s v="Felvétel"/>
    <d v="2021-09-01T00:00:00"/>
    <s v="310814336023"/>
    <s v="BDPK-SEK"/>
    <s v="Neubauer Nikoletta"/>
    <d v="2021-07-23T00:00:00"/>
    <d v="2024-07-15T00:00:00"/>
    <n v="300000"/>
    <m/>
    <n v="1"/>
    <s v="Férfi"/>
    <n v="300000"/>
    <s v="szilardkasza@yahoo.com"/>
    <s v="Nagy Anita"/>
    <n v="2"/>
    <s v="Aktív"/>
    <n v="2"/>
    <n v="2"/>
    <s v="magyar"/>
    <m/>
  </r>
  <r>
    <s v="Ivánfainé Annár Vivien Melinda"/>
    <s v="AUWIVU"/>
    <s v="Aktív"/>
    <s v="anglisztika"/>
    <x v="0"/>
    <s v="anglisztika"/>
    <s v="BDPK-SEK-SALB-AN-LBHU"/>
    <s v="Szombathely"/>
    <s v="Vas"/>
    <s v="Annár Vivien Melinda"/>
    <s v="Magyarország"/>
    <d v="1993-05-17T00:00:00"/>
    <s v="T190693/FI80798"/>
    <x v="0"/>
    <s v="Önköltséges"/>
    <s v="2021/22/1"/>
    <s v="Levelező"/>
    <n v="7"/>
    <n v="1"/>
    <s v="2016/17/1"/>
    <n v="6"/>
    <s v="78944283764"/>
    <n v="6"/>
    <x v="0"/>
    <s v="a központi eljárásban magyarországi képzésre"/>
    <n v="294"/>
    <m/>
    <m/>
    <s v="Felvétel"/>
    <d v="2021-09-01T00:00:00"/>
    <s v="310914075299"/>
    <s v="BDPK-SEK"/>
    <s v="Neubauer Nikoletta"/>
    <d v="2021-08-27T00:00:00"/>
    <d v="2024-07-15T00:00:00"/>
    <m/>
    <m/>
    <n v="0"/>
    <s v="Nő"/>
    <m/>
    <s v="annar.vivien@gmail.com"/>
    <s v="Kovács Anikó"/>
    <n v="2"/>
    <s v="Aktív"/>
    <n v="0"/>
    <n v="2"/>
    <s v="magyar"/>
    <n v="300000"/>
  </r>
  <r>
    <s v="Rédecsi Bence"/>
    <s v="KXYQ9S"/>
    <s v="Aktív"/>
    <s v="anglisztika"/>
    <x v="0"/>
    <s v="anglisztika"/>
    <s v="BDPK-SEK-SALB-AN-LBHU"/>
    <s v="Pápa"/>
    <s v="Veszprém"/>
    <s v="Rédecsi Bence"/>
    <s v="Magyarország"/>
    <d v="1996-08-17T00:00:00"/>
    <s v="T156637/FI80798"/>
    <x v="0"/>
    <s v="Állami ösztöndíjas"/>
    <s v="2019/20/1"/>
    <s v="Levelező"/>
    <n v="3"/>
    <n v="1"/>
    <s v="2021/22/2"/>
    <n v="6"/>
    <s v="75060846539"/>
    <n v="6"/>
    <x v="0"/>
    <m/>
    <m/>
    <m/>
    <m/>
    <s v="Képzésváltás intézményen belül"/>
    <d v="2021-02-01T00:00:00"/>
    <m/>
    <s v="BDPK-SEK"/>
    <s v="Neubauer Nikoletta"/>
    <d v="2019-07-24T00:00:00"/>
    <d v="2022-07-15T00:00:00"/>
    <n v="236000"/>
    <m/>
    <n v="2"/>
    <s v="Férfi"/>
    <n v="236000"/>
    <s v="redecsi96@gmail.com"/>
    <s v="Hoffmann Anita"/>
    <n v="3"/>
    <s v="Aktív"/>
    <n v="3"/>
    <n v="6"/>
    <s v="magyar"/>
    <m/>
  </r>
  <r>
    <s v="Pusztai István"/>
    <s v="OKNHPR"/>
    <s v="Passzív"/>
    <s v="anglisztika"/>
    <x v="0"/>
    <s v="anglisztika"/>
    <s v="BDPK-SEK-SALB-AN-LBHU"/>
    <s v="Szombathely"/>
    <s v="Vas"/>
    <s v="Pusztai István"/>
    <s v="Magyarország"/>
    <d v="1998-03-10T00:00:00"/>
    <s v="T139553/FI80798"/>
    <x v="0"/>
    <s v="Állami ösztöndíjas (képzési időn túli)"/>
    <s v="2018/19/1"/>
    <s v="Levelező"/>
    <n v="4"/>
    <n v="1"/>
    <s v="2021/22/1"/>
    <n v="6"/>
    <s v="79774401041"/>
    <n v="6"/>
    <x v="0"/>
    <s v="a központi eljárásban magyarországi képzésre"/>
    <n v="324"/>
    <m/>
    <m/>
    <s v="Felvétel"/>
    <d v="2018-09-01T00:00:00"/>
    <s v="310883181748"/>
    <s v="BDPK-SEK"/>
    <s v="Neubauer Nikoletta"/>
    <d v="2018-07-25T00:00:00"/>
    <d v="2022-07-15T00:00:00"/>
    <n v="200000"/>
    <m/>
    <n v="7"/>
    <s v="Férfi"/>
    <n v="200000"/>
    <s v="tejphel@gmail.com"/>
    <s v="Pusztai Ildikó"/>
    <n v="7"/>
    <s v="Passzív"/>
    <n v="7"/>
    <n v="7"/>
    <s v="magyar"/>
    <m/>
  </r>
  <r>
    <s v="Domonkos Tímea"/>
    <s v="T3NDP5"/>
    <s v="Aktív"/>
    <s v="anglisztika"/>
    <x v="0"/>
    <s v="anglisztika"/>
    <s v="BDPK-SEK-SALB-AN-LBHU"/>
    <s v="Csorna"/>
    <s v="Győr-Moson-Sopron"/>
    <s v="Domonkos Tímea"/>
    <s v="Magyarország"/>
    <d v="1998-06-24T00:00:00"/>
    <s v="T155759/FI80798"/>
    <x v="0"/>
    <s v="Önköltséges"/>
    <s v="2019/20/1"/>
    <s v="Levelező"/>
    <n v="9"/>
    <n v="1"/>
    <s v="2018/19/2"/>
    <n v="6"/>
    <s v="75824406063"/>
    <n v="6"/>
    <x v="0"/>
    <s v="a központi eljárásban magyarországi képzésre"/>
    <n v="388"/>
    <m/>
    <m/>
    <s v="Felvétel"/>
    <d v="2019-09-01T00:00:00"/>
    <s v="310992334295"/>
    <s v="BDPK-SEK"/>
    <s v="Neubauer Nikoletta"/>
    <d v="2019-08-26T00:00:00"/>
    <d v="2023-01-31T00:00:00"/>
    <m/>
    <m/>
    <n v="0"/>
    <s v="Nő"/>
    <m/>
    <s v="timi0624@gmail.com"/>
    <s v="Hetyési Tímea"/>
    <n v="5"/>
    <s v="Aktív"/>
    <n v="0"/>
    <n v="5"/>
    <s v="magyar"/>
    <n v="300000"/>
  </r>
  <r>
    <s v="Szőllősy-Czakó Nóra"/>
    <s v="D09RSW"/>
    <s v="Aktív"/>
    <s v="anglisztika"/>
    <x v="0"/>
    <s v="anglisztika"/>
    <s v="BDPK-SEK-SALB-AN-LBHU"/>
    <s v="Szombathely"/>
    <s v="Vas"/>
    <s v="Czakó Nóra"/>
    <s v="Magyarország"/>
    <d v="1981-02-26T00:00:00"/>
    <s v="T170901/FI80798"/>
    <x v="0"/>
    <s v="Állami ösztöndíjas"/>
    <s v="2020/21/1"/>
    <s v="Levelező"/>
    <n v="9"/>
    <n v="1"/>
    <s v="2021/22/2"/>
    <n v="6"/>
    <s v="71580076888"/>
    <n v="6"/>
    <x v="0"/>
    <s v="a központi eljárásban magyarországi képzésre"/>
    <n v="410"/>
    <m/>
    <m/>
    <s v="Felvétel"/>
    <d v="2020-09-01T00:00:00"/>
    <s v="310804265083"/>
    <s v="BDPK-SEK"/>
    <s v="Neubauer Nikoletta"/>
    <d v="2020-07-23T00:00:00"/>
    <d v="2023-07-15T00:00:00"/>
    <n v="300000"/>
    <m/>
    <n v="3"/>
    <s v="Nő"/>
    <n v="300000"/>
    <s v="szollosy.nora@gmail.com"/>
    <s v="Boda Katalin"/>
    <n v="4"/>
    <s v="Aktív"/>
    <n v="4"/>
    <n v="4"/>
    <s v="magyar"/>
    <m/>
  </r>
  <r>
    <s v="Fekete Luca"/>
    <s v="G09GYW"/>
    <s v="Aktív"/>
    <s v="anglisztika"/>
    <x v="0"/>
    <s v="anglisztika"/>
    <s v="BDPK-SEK-SALB-AN-LBHU"/>
    <s v="Szombathely"/>
    <s v="Vas"/>
    <s v="Nagy Luca"/>
    <s v="Magyarország"/>
    <d v="1991-02-14T00:00:00"/>
    <s v="T155605/FI80798"/>
    <x v="0"/>
    <s v="Állami ösztöndíjas"/>
    <s v="2019/20/1"/>
    <s v="Levelező"/>
    <n v="2"/>
    <n v="1"/>
    <s v="2021/22/2"/>
    <n v="6"/>
    <s v="71415040315"/>
    <n v="6"/>
    <x v="0"/>
    <s v="a központi eljárásban magyarországi képzésre"/>
    <n v="388"/>
    <m/>
    <m/>
    <s v="Felvétel"/>
    <d v="2019-09-01T00:00:00"/>
    <s v="310982947114"/>
    <s v="BDPK-SEK"/>
    <s v="Neubauer Nikoletta"/>
    <d v="2019-07-24T00:00:00"/>
    <d v="2022-07-15T00:00:00"/>
    <n v="300000"/>
    <m/>
    <n v="5"/>
    <s v="Nő"/>
    <n v="300000"/>
    <s v="lucccyka@gmail.com"/>
    <s v="Zsólyomi Emese"/>
    <n v="6"/>
    <s v="Aktív"/>
    <n v="6"/>
    <n v="6"/>
    <s v="magyar"/>
    <m/>
  </r>
  <r>
    <s v="Kovács Júlia Veronika"/>
    <s v="LF77R8"/>
    <s v="Erasmus"/>
    <s v="anglisztika"/>
    <x v="0"/>
    <s v="anglisztika"/>
    <s v="BTK-BANGL-NBHU"/>
    <s v="Nagykanizsa"/>
    <s v="Zala"/>
    <s v="Kovács Júlia Veronika"/>
    <s v="Magyarország"/>
    <d v="1999-01-12T00:00:00"/>
    <s v="T151686/FI80798"/>
    <x v="0"/>
    <s v="Állami ösztöndíjas"/>
    <s v="2019/20/1"/>
    <s v="Nappali"/>
    <n v="7"/>
    <n v="1"/>
    <s v="2021/22/2"/>
    <n v="6"/>
    <s v="73630251117"/>
    <n v="6"/>
    <x v="0"/>
    <s v="a központi eljárásban magyarországi képzésre"/>
    <n v="416"/>
    <m/>
    <m/>
    <s v="Felvétel"/>
    <d v="2019-09-01T00:00:00"/>
    <s v="310982561691"/>
    <s v="BDPK-SEK"/>
    <s v="Neubauer Nikoletta"/>
    <d v="2019-07-24T00:00:00"/>
    <d v="2022-07-15T00:00:00"/>
    <n v="300000"/>
    <m/>
    <n v="5"/>
    <s v="Nő"/>
    <n v="300000"/>
    <s v="kovacsjv99@gmail.com"/>
    <s v="Tóth Katalin"/>
    <n v="6"/>
    <s v="Erasmus"/>
    <n v="6"/>
    <n v="6"/>
    <s v="magyar"/>
    <m/>
  </r>
  <r>
    <s v="Bedics Imre József"/>
    <s v="E9ZTBU"/>
    <s v="Aktív"/>
    <s v="anglisztika"/>
    <x v="0"/>
    <s v="anglisztika"/>
    <s v="BTK-BANGL-NBHU"/>
    <s v="Szombathely"/>
    <s v="Vas"/>
    <s v="Bedics Imre József"/>
    <s v="Magyarország"/>
    <d v="1996-09-11T00:00:00"/>
    <s v="T138547/FI80798"/>
    <x v="0"/>
    <s v="Állami ösztöndíjas"/>
    <s v="2019/20/1"/>
    <s v="Nappali"/>
    <n v="6"/>
    <n v="1"/>
    <s v="2021/22/2"/>
    <n v="6"/>
    <s v="78583368459"/>
    <n v="6"/>
    <x v="0"/>
    <s v="a központi eljárásban magyarországi képzésre"/>
    <n v="394"/>
    <m/>
    <m/>
    <s v="Felvétel"/>
    <d v="2019-09-01T00:00:00"/>
    <s v="310982889829"/>
    <s v="BDPK-SEK"/>
    <s v="Neubauer Nikoletta"/>
    <d v="2019-07-24T00:00:00"/>
    <d v="2022-07-15T00:00:00"/>
    <n v="300000"/>
    <m/>
    <n v="5"/>
    <s v="Férfi"/>
    <n v="300000"/>
    <s v="b.imre@swissmail.com"/>
    <s v="Endrész Lívia"/>
    <n v="6"/>
    <s v="Aktív"/>
    <n v="6"/>
    <n v="6"/>
    <s v="magyar"/>
    <m/>
  </r>
  <r>
    <s v="Kiss Alexandra"/>
    <s v="H9SJXG"/>
    <s v="Aktív"/>
    <s v="anglisztika"/>
    <x v="0"/>
    <s v="anglisztika"/>
    <s v="BTK-BANGL-NBHU"/>
    <s v="Szombathely"/>
    <s v="Vas"/>
    <s v="Kiss Alexandra"/>
    <s v="Magyarország"/>
    <d v="2000-04-28T00:00:00"/>
    <s v="T138967/FI80798"/>
    <x v="0"/>
    <s v="Állami ösztöndíjas (képzési időn túli)"/>
    <s v="2018/19/1"/>
    <s v="Nappali"/>
    <n v="5"/>
    <n v="1"/>
    <s v="2021/22/2"/>
    <n v="6"/>
    <s v="76843641246"/>
    <n v="6"/>
    <x v="0"/>
    <s v="a központi eljárásban magyarországi képzésre"/>
    <n v="348"/>
    <m/>
    <m/>
    <s v="Felvétel"/>
    <d v="2018-09-01T00:00:00"/>
    <s v="310882329066"/>
    <s v="BDPK-SEK"/>
    <s v="Neubauer Nikoletta"/>
    <d v="2018-07-25T00:00:00"/>
    <d v="2022-07-15T00:00:00"/>
    <n v="200000"/>
    <m/>
    <n v="7"/>
    <s v="Nő"/>
    <n v="200000"/>
    <s v="kiss.szandi10@gmail.com"/>
    <s v="Gerencsér Edina"/>
    <n v="8"/>
    <s v="Aktív"/>
    <n v="8"/>
    <n v="8"/>
    <s v="magyar"/>
    <m/>
  </r>
  <r>
    <s v="Salamon Klaudia Diána"/>
    <s v="E0TXUW"/>
    <s v="Aktív"/>
    <s v="anglisztika"/>
    <x v="0"/>
    <s v="anglisztika"/>
    <s v="BTK-BANGL-NBHU"/>
    <s v="Keszthely"/>
    <s v="Zala"/>
    <s v="Salamon Klaudia Diána"/>
    <s v="Magyarország"/>
    <d v="1997-09-30T00:00:00"/>
    <s v="T135879/FI80798"/>
    <x v="0"/>
    <s v="Állami ösztöndíjas (képzési időn túli)"/>
    <s v="2018/19/1"/>
    <s v="Nappali"/>
    <n v="5"/>
    <n v="1"/>
    <s v="2021/22/2"/>
    <n v="6"/>
    <s v="77348421584"/>
    <n v="6"/>
    <x v="0"/>
    <s v="a központi eljárásban magyarországi képzésre"/>
    <n v="330"/>
    <m/>
    <m/>
    <s v="Felvétel"/>
    <d v="2018-09-01T00:00:00"/>
    <s v="310882752036"/>
    <s v="BDPK-SEK"/>
    <s v="Neubauer Nikoletta"/>
    <d v="2018-07-25T00:00:00"/>
    <d v="2022-07-15T00:00:00"/>
    <n v="200000"/>
    <m/>
    <n v="7"/>
    <s v="Nő"/>
    <n v="200000"/>
    <s v="salamonklau@gmail.com"/>
    <s v="Dézsenyi Ildikó"/>
    <n v="8"/>
    <s v="Aktív"/>
    <n v="8"/>
    <n v="8"/>
    <s v="magyar"/>
    <m/>
  </r>
  <r>
    <s v="Szép Barbara Melitta"/>
    <s v="RKG9UE"/>
    <s v="Passzív"/>
    <s v="anglisztika"/>
    <x v="0"/>
    <s v="anglisztika"/>
    <s v="BDPK-SEK-SALB-AN-LBHU"/>
    <s v="Szombathely"/>
    <s v="Vas"/>
    <s v="Szép Barbara Melitta"/>
    <s v="Magyarország"/>
    <d v="1989-06-05T00:00:00"/>
    <s v="T142907/FI80798"/>
    <x v="0"/>
    <s v="Állami ösztöndíjas (képzési időn túli)"/>
    <s v="2018/19/1"/>
    <s v="Levelező"/>
    <n v="6"/>
    <n v="1"/>
    <s v="2020/21/2"/>
    <n v="6"/>
    <s v="79103159989"/>
    <n v="6"/>
    <x v="0"/>
    <s v="a központi eljárásban magyarországi képzésre"/>
    <n v="478"/>
    <m/>
    <m/>
    <s v="Felvétel"/>
    <d v="2018-09-01T00:00:00"/>
    <s v="310882785200"/>
    <s v="BDPK-SEK"/>
    <s v="Neubauer Nikoletta"/>
    <d v="2018-07-25T00:00:00"/>
    <d v="2023-01-31T00:00:00"/>
    <n v="200000"/>
    <m/>
    <n v="6"/>
    <s v="Nő"/>
    <n v="200000"/>
    <s v="barbara.m.szep@gmail.com"/>
    <s v="Wagner Zsuzsanna"/>
    <n v="6"/>
    <s v="Passzív"/>
    <n v="6"/>
    <n v="6"/>
    <s v="magyar"/>
    <m/>
  </r>
  <r>
    <s v="Takács Tibor László"/>
    <s v="MLTJ3U"/>
    <s v="Aktív"/>
    <s v="anglisztika"/>
    <x v="0"/>
    <s v="anglisztika"/>
    <s v="BTK-BANGL-NBHU"/>
    <s v="Szombathely"/>
    <s v="Vas"/>
    <s v="Takács Tibor László"/>
    <s v="Magyarország"/>
    <d v="1999-06-22T00:00:00"/>
    <s v="T179302/FI80798"/>
    <x v="0"/>
    <s v="Állami ösztöndíjas"/>
    <s v="2018/19/1"/>
    <s v="Nappali"/>
    <n v="8"/>
    <n v="1"/>
    <s v="2021/22/2"/>
    <n v="6"/>
    <s v="76126645841"/>
    <n v="6"/>
    <x v="0"/>
    <m/>
    <m/>
    <m/>
    <m/>
    <s v="Képzésváltás intézményen belül"/>
    <d v="2021-09-01T00:00:00"/>
    <m/>
    <s v="BDPK-SEK"/>
    <s v="Neubauer Nikoletta"/>
    <d v="2018-07-25T00:00:00"/>
    <d v="2024-07-15T00:00:00"/>
    <n v="300000"/>
    <m/>
    <n v="2"/>
    <s v="Férfi"/>
    <n v="300000"/>
    <s v="tibor.takacs99@yahoo.com"/>
    <s v="Horváth Erika Rozália"/>
    <n v="2"/>
    <s v="Aktív"/>
    <n v="2"/>
    <n v="2"/>
    <s v="magyar"/>
    <m/>
  </r>
  <r>
    <s v="Izer Márton Levente"/>
    <s v="SYFKOC"/>
    <s v="Aktív"/>
    <s v="anglisztika"/>
    <x v="0"/>
    <s v="anglisztika"/>
    <s v="BTK-BANGL-NBHU"/>
    <s v="Körmend"/>
    <s v="Vas"/>
    <s v="Izer Márton Levente"/>
    <s v="Magyarország"/>
    <d v="1999-05-20T00:00:00"/>
    <s v="T138042/FI80798"/>
    <x v="0"/>
    <s v="Állami ösztöndíjas"/>
    <s v="2019/20/1"/>
    <s v="Nappali"/>
    <n v="6"/>
    <n v="1"/>
    <s v="2021/22/2"/>
    <n v="6"/>
    <s v="77678079910"/>
    <n v="6"/>
    <x v="0"/>
    <s v="a központi eljárásban magyarországi képzésre"/>
    <n v="390"/>
    <m/>
    <m/>
    <s v="Felvétel"/>
    <d v="2019-09-01T00:00:00"/>
    <s v="310982079439"/>
    <s v="BDPK-SEK"/>
    <s v="Neubauer Nikoletta"/>
    <d v="2019-07-24T00:00:00"/>
    <d v="2022-07-15T00:00:00"/>
    <n v="300000"/>
    <m/>
    <n v="5"/>
    <s v="Férfi"/>
    <n v="300000"/>
    <s v="izermarci.izer998@gmail.com"/>
    <s v="Nyul Ibolya"/>
    <n v="6"/>
    <s v="Aktív"/>
    <n v="6"/>
    <n v="6"/>
    <s v="magyar"/>
    <m/>
  </r>
  <r>
    <s v="Katona Evelin"/>
    <s v="HR8XKV"/>
    <s v="Passzív"/>
    <s v="anglisztika"/>
    <x v="0"/>
    <s v="anglisztika"/>
    <s v="BDPK-SEK-SALB-AN-LBHU"/>
    <s v="Szombathely"/>
    <s v="Vas"/>
    <s v="Katona Evelin"/>
    <s v="Magyarország"/>
    <d v="1998-03-08T00:00:00"/>
    <s v="T138243/FI80798"/>
    <x v="0"/>
    <s v="Állami ösztöndíjas"/>
    <s v="2018/19/1"/>
    <s v="Levelező"/>
    <n v="9"/>
    <n v="1"/>
    <s v="2020/21/2"/>
    <n v="6"/>
    <s v="72134168292"/>
    <n v="6"/>
    <x v="0"/>
    <s v="a központi eljárásban magyarországi képzésre"/>
    <n v="370"/>
    <m/>
    <m/>
    <s v="Felvétel"/>
    <d v="2018-09-01T00:00:00"/>
    <s v="310883113204"/>
    <s v="BDPK-SEK"/>
    <s v="Neubauer Nikoletta"/>
    <d v="2018-07-25T00:00:00"/>
    <d v="2023-07-15T00:00:00"/>
    <n v="200000"/>
    <m/>
    <n v="4"/>
    <s v="Nő"/>
    <n v="200000"/>
    <s v="katona.evelin.98@gmail.com"/>
    <s v="Nagy Edit"/>
    <n v="4"/>
    <s v="Passzív"/>
    <m/>
    <n v="4"/>
    <s v="magyar"/>
    <m/>
  </r>
  <r>
    <s v="Aszmann Fanni"/>
    <s v="LL22LI"/>
    <s v="Passzív"/>
    <s v="anglisztika"/>
    <x v="0"/>
    <s v="anglisztika"/>
    <s v="BTK-BANGL-NBHU"/>
    <s v="Szombathely"/>
    <s v="Vas"/>
    <s v="Nagy Fanni"/>
    <s v="Magyarország"/>
    <d v="1998-09-01T00:00:00"/>
    <s v="T137550/FI80798"/>
    <x v="0"/>
    <s v="Állami ösztöndíjas"/>
    <s v="2018/19/1"/>
    <s v="Nappali"/>
    <n v="7"/>
    <n v="1"/>
    <s v="2020/21/2"/>
    <n v="6"/>
    <s v="78155213677"/>
    <n v="6"/>
    <x v="0"/>
    <s v="a központi eljárásban magyarországi képzésre"/>
    <n v="426"/>
    <m/>
    <m/>
    <s v="Felvétel"/>
    <d v="2018-09-01T00:00:00"/>
    <s v="310882803003"/>
    <s v="BDPK-SEK"/>
    <s v="Neubauer Nikoletta"/>
    <d v="2018-07-25T00:00:00"/>
    <d v="2022-07-15T00:00:00"/>
    <n v="200000"/>
    <m/>
    <n v="6"/>
    <s v="Nő"/>
    <n v="200000"/>
    <s v="fancsiih@citromail.hu"/>
    <s v="Binder Beáta Erzsébet"/>
    <n v="6"/>
    <s v="Passzív"/>
    <m/>
    <n v="6"/>
    <s v="magyar"/>
    <m/>
  </r>
  <r>
    <s v="Eke Olivér"/>
    <s v="H479GY"/>
    <s v="Aktív"/>
    <s v="anglisztika"/>
    <x v="0"/>
    <s v="anglisztika"/>
    <s v="BTK-BANGL-NBHU"/>
    <s v="Szombathely"/>
    <s v="Vas"/>
    <s v="Eke Olivér"/>
    <s v="Magyarország"/>
    <d v="1999-03-21T00:00:00"/>
    <s v="T168738/FI80798"/>
    <x v="0"/>
    <s v="Állami ösztöndíjas"/>
    <s v="2020/21/1"/>
    <s v="Nappali"/>
    <n v="7"/>
    <n v="1"/>
    <s v="2021/22/2"/>
    <n v="6"/>
    <s v="74554342584"/>
    <n v="6"/>
    <x v="0"/>
    <s v="a központi eljárásban magyarországi képzésre"/>
    <n v="358"/>
    <m/>
    <m/>
    <s v="Felvétel"/>
    <d v="2020-09-01T00:00:00"/>
    <s v="310804836677"/>
    <s v="BDPK-SEK"/>
    <s v="Neubauer Nikoletta"/>
    <d v="2020-07-23T00:00:00"/>
    <d v="2023-07-15T00:00:00"/>
    <n v="300000"/>
    <m/>
    <n v="2"/>
    <s v="Férfi"/>
    <n v="300000"/>
    <s v="skype19990321@gmail.com"/>
    <s v="Pál Erika"/>
    <n v="4"/>
    <s v="Aktív"/>
    <n v="4"/>
    <n v="4"/>
    <s v="magyar"/>
    <m/>
  </r>
  <r>
    <s v="Simonyai Luca Anna"/>
    <s v="ATXW5C"/>
    <s v="Aktív"/>
    <s v="anglisztika"/>
    <x v="0"/>
    <s v="anglisztika"/>
    <s v="BTK-BANGL-NBHU"/>
    <s v="Ajka"/>
    <s v="Veszprém"/>
    <s v="Simonyai Luca Anna"/>
    <s v="Magyarország"/>
    <d v="1999-10-06T00:00:00"/>
    <s v="T156308/FI80798"/>
    <x v="0"/>
    <s v="Állami ösztöndíjas"/>
    <s v="2019/20/1"/>
    <s v="Nappali"/>
    <n v="7"/>
    <n v="1"/>
    <s v="2021/22/2"/>
    <n v="6"/>
    <s v="76536786782"/>
    <n v="6"/>
    <x v="0"/>
    <s v="a központi eljárásban magyarországi képzésre"/>
    <n v="397"/>
    <m/>
    <m/>
    <s v="Felvétel"/>
    <d v="2019-09-01T00:00:00"/>
    <s v="310982540471"/>
    <s v="BDPK-SEK"/>
    <s v="Neubauer Nikoletta"/>
    <d v="2019-07-24T00:00:00"/>
    <d v="2022-07-15T00:00:00"/>
    <n v="300000"/>
    <m/>
    <n v="5"/>
    <s v="Nő"/>
    <n v="300000"/>
    <s v="simonyai.luca@gmail.com"/>
    <s v="Gátvölgyi Ágnes"/>
    <n v="6"/>
    <s v="Aktív"/>
    <n v="6"/>
    <n v="6"/>
    <s v="magyar"/>
    <m/>
  </r>
  <r>
    <s v="Kalamár Dóra"/>
    <s v="HONUS7"/>
    <s v="Passzív"/>
    <s v="anglisztika"/>
    <x v="0"/>
    <s v="anglisztika"/>
    <s v="BTK-BANGL-NBHU"/>
    <s v="Zalaegerszeg"/>
    <s v="Zala"/>
    <s v="Kalamár Dóra"/>
    <s v="Magyarország"/>
    <d v="1998-02-16T00:00:00"/>
    <s v="T153412/FI80798"/>
    <x v="0"/>
    <s v="Állami ösztöndíjas"/>
    <s v="2020/21/1"/>
    <s v="Nappali"/>
    <n v="11"/>
    <n v="1"/>
    <s v="2020/21/2"/>
    <n v="6"/>
    <s v="75045205225"/>
    <n v="6"/>
    <x v="0"/>
    <s v="a központi eljárásban magyarországi képzésre"/>
    <n v="420"/>
    <m/>
    <m/>
    <s v="Felvétel"/>
    <d v="2020-09-01T00:00:00"/>
    <s v="310804759077"/>
    <s v="BDPK-SEK"/>
    <s v="Neubauer Nikoletta"/>
    <d v="2020-07-23T00:00:00"/>
    <d v="2025-01-31T00:00:00"/>
    <n v="300000"/>
    <m/>
    <n v="2"/>
    <s v="Nő"/>
    <n v="300000"/>
    <s v="k.dori216@freemail.hu"/>
    <s v="Birinyi Edit Mária"/>
    <n v="2"/>
    <s v="Passzív"/>
    <n v="2"/>
    <n v="2"/>
    <s v="magyar"/>
    <m/>
  </r>
  <r>
    <s v="Dani Vivien"/>
    <s v="ZLW462"/>
    <s v="Aktív"/>
    <s v="anglisztika"/>
    <x v="0"/>
    <s v="anglisztika"/>
    <s v="BTK-BANGL-NBHU"/>
    <s v="Körmend"/>
    <s v="Vas"/>
    <s v="Dani Vivien"/>
    <s v="Magyarország"/>
    <d v="1999-11-05T00:00:00"/>
    <s v="T149437/FI80798"/>
    <x v="0"/>
    <s v="Állami ösztöndíjas"/>
    <s v="2019/20/1"/>
    <s v="Nappali"/>
    <n v="7"/>
    <n v="1"/>
    <s v="2021/22/2"/>
    <n v="6"/>
    <s v="76551576707"/>
    <n v="6"/>
    <x v="0"/>
    <s v="a központi eljárásban magyarországi képzésre"/>
    <n v="380"/>
    <m/>
    <m/>
    <s v="Felvétel"/>
    <d v="2019-09-01T00:00:00"/>
    <s v="310982509112"/>
    <s v="BDPK-SEK"/>
    <s v="Neubauer Nikoletta"/>
    <d v="2019-07-24T00:00:00"/>
    <d v="2022-07-15T00:00:00"/>
    <n v="300000"/>
    <m/>
    <n v="5"/>
    <s v="Nő"/>
    <n v="300000"/>
    <s v="danivivienb@gmail.com"/>
    <s v="Farkas Hajnalka"/>
    <n v="6"/>
    <s v="Aktív"/>
    <n v="6"/>
    <n v="6"/>
    <s v="magyar"/>
    <m/>
  </r>
  <r>
    <s v="Nagy Nikolett"/>
    <s v="TJ1DV9"/>
    <s v="Aktív"/>
    <s v="anglisztika"/>
    <x v="0"/>
    <s v="anglisztika"/>
    <s v="BDPK-SEK-SALB-AN-LBHU"/>
    <s v="Zalaegerszeg"/>
    <s v="Zala"/>
    <s v="Nagy Nikolett"/>
    <s v="Magyarország"/>
    <d v="1992-06-23T00:00:00"/>
    <s v="T155720/FI80798"/>
    <x v="0"/>
    <s v="Állami ösztöndíjas"/>
    <s v="2019/20/1"/>
    <s v="Levelező"/>
    <n v="8"/>
    <n v="1"/>
    <s v="2021/22/2"/>
    <n v="6"/>
    <s v="74370747782"/>
    <n v="6"/>
    <x v="0"/>
    <s v="a központi eljárásban magyarországi képzésre"/>
    <n v="332"/>
    <m/>
    <m/>
    <s v="Felvétel"/>
    <d v="2019-09-01T00:00:00"/>
    <s v="310982725619"/>
    <s v="BDPK-SEK"/>
    <s v="Neubauer Nikoletta"/>
    <d v="2019-07-24T00:00:00"/>
    <d v="2023-07-15T00:00:00"/>
    <n v="300000"/>
    <m/>
    <n v="4"/>
    <s v="Nő"/>
    <n v="300000"/>
    <s v="nikolett.nagy992@gmail.com"/>
    <s v="Tóth Éva"/>
    <n v="5"/>
    <s v="Aktív"/>
    <n v="5"/>
    <n v="5"/>
    <s v="magyar"/>
    <m/>
  </r>
  <r>
    <s v="Károlyi Bettina"/>
    <s v="YY2P4O"/>
    <s v="Aktív"/>
    <s v="anglisztika"/>
    <x v="0"/>
    <s v="anglisztika"/>
    <s v="BDPK-SEK-SALB-AN-LBHU"/>
    <s v="Sárvár"/>
    <s v="Vas"/>
    <s v="Károlyi Bettina"/>
    <s v="Magyarország"/>
    <d v="1995-04-19T00:00:00"/>
    <s v="T151065/FI80798"/>
    <x v="0"/>
    <s v="Állami ösztöndíjas"/>
    <s v="2019/20/1"/>
    <s v="Levelező"/>
    <n v="3"/>
    <n v="1"/>
    <s v="2021/22/2"/>
    <n v="6"/>
    <s v="76635852311"/>
    <n v="6"/>
    <x v="0"/>
    <s v="a központi eljárásban magyarországi képzésre"/>
    <n v="386"/>
    <m/>
    <m/>
    <s v="Felvétel"/>
    <d v="2019-09-01T00:00:00"/>
    <s v="310982447172"/>
    <s v="BDPK-SEK"/>
    <s v="Neubauer Nikoletta"/>
    <d v="2019-07-24T00:00:00"/>
    <d v="2022-07-15T00:00:00"/>
    <n v="300000"/>
    <m/>
    <n v="5"/>
    <s v="Nő"/>
    <n v="300000"/>
    <s v="k.betti@hotmail.com"/>
    <s v="Nagy Krisztina Erzsébet"/>
    <n v="6"/>
    <s v="Aktív"/>
    <n v="6"/>
    <n v="6"/>
    <s v="magyar"/>
    <m/>
  </r>
  <r>
    <s v="Horváth Dorina"/>
    <s v="RBRCVL"/>
    <s v="Aktív"/>
    <s v="anglisztika"/>
    <x v="0"/>
    <s v="anglisztika"/>
    <s v="BTK-BANGL-NBHU"/>
    <s v="Zalaegerszeg"/>
    <s v="Zala"/>
    <s v="Horváth Dorina"/>
    <s v="Magyarország"/>
    <d v="2000-10-18T00:00:00"/>
    <s v="T151270/FI80798"/>
    <x v="0"/>
    <s v="Állami ösztöndíjas"/>
    <s v="2019/20/1"/>
    <s v="Nappali"/>
    <n v="7"/>
    <n v="1"/>
    <s v="2021/22/2"/>
    <n v="6"/>
    <s v="72748268572"/>
    <n v="6"/>
    <x v="0"/>
    <s v="a központi eljárásban magyarországi képzésre"/>
    <n v="434"/>
    <m/>
    <m/>
    <s v="Felvétel"/>
    <d v="2019-09-01T00:00:00"/>
    <s v="310982120845"/>
    <s v="BDPK-SEK"/>
    <s v="Neubauer Nikoletta"/>
    <d v="2019-07-24T00:00:00"/>
    <d v="2022-07-15T00:00:00"/>
    <n v="300000"/>
    <m/>
    <n v="4"/>
    <s v="Nő"/>
    <n v="300000"/>
    <s v="horvath.dorina1018@gmail.com"/>
    <s v="Varga Tünde"/>
    <n v="6"/>
    <s v="Aktív"/>
    <n v="6"/>
    <n v="6"/>
    <s v="magyar"/>
    <m/>
  </r>
  <r>
    <s v="Horváth Eleonóra"/>
    <s v="MRUC3Q"/>
    <s v="Aktív"/>
    <s v="anglisztika"/>
    <x v="0"/>
    <s v="anglisztika"/>
    <s v="BTK-BANGL-NBHU"/>
    <s v="Szombathely"/>
    <s v="Vas"/>
    <s v="Horváth Eleonóra"/>
    <s v="Magyarország"/>
    <d v="2000-01-23T00:00:00"/>
    <s v="T150957/FI80798"/>
    <x v="0"/>
    <s v="Állami ösztöndíjas"/>
    <s v="2019/20/1"/>
    <s v="Nappali"/>
    <n v="7"/>
    <n v="1"/>
    <s v="2021/22/2"/>
    <n v="6"/>
    <s v="79106008066"/>
    <n v="6"/>
    <x v="0"/>
    <s v="a központi eljárásban magyarországi képzésre"/>
    <n v="388"/>
    <m/>
    <m/>
    <s v="Felvétel"/>
    <d v="2019-09-01T00:00:00"/>
    <s v="310982578539"/>
    <s v="BDPK-SEK"/>
    <s v="Neubauer Nikoletta"/>
    <d v="2019-07-24T00:00:00"/>
    <d v="2022-07-15T00:00:00"/>
    <n v="300000"/>
    <m/>
    <n v="5"/>
    <s v="Nő"/>
    <n v="300000"/>
    <s v="noncsi1491@gmail.com"/>
    <s v="Buday Etelka"/>
    <n v="6"/>
    <s v="Aktív"/>
    <n v="6"/>
    <n v="6"/>
    <s v="magyar"/>
    <m/>
  </r>
  <r>
    <s v="Harasztdombi Maja"/>
    <s v="IYXLIU"/>
    <s v="Aktív"/>
    <s v="anglisztika"/>
    <x v="0"/>
    <s v="anglisztika"/>
    <s v="BTK-BANGL-NBHU"/>
    <s v="Celldömölk"/>
    <s v="Vas"/>
    <s v="Harasztdombi Maja"/>
    <s v="Magyarország"/>
    <d v="1999-12-01T00:00:00"/>
    <s v="T155684/FI80798"/>
    <x v="0"/>
    <s v="Állami ösztöndíjas"/>
    <s v="2019/20/1"/>
    <s v="Nappali"/>
    <n v="7"/>
    <n v="1"/>
    <s v="2021/22/2"/>
    <n v="6"/>
    <s v="76527838692"/>
    <n v="6"/>
    <x v="0"/>
    <s v="a központi eljárásban magyarországi képzésre"/>
    <n v="400"/>
    <m/>
    <m/>
    <s v="Felvétel"/>
    <d v="2019-09-01T00:00:00"/>
    <s v="310982645395"/>
    <s v="BDPK-SEK"/>
    <s v="Neubauer Nikoletta"/>
    <d v="2019-07-24T00:00:00"/>
    <d v="2022-07-15T00:00:00"/>
    <n v="300000"/>
    <m/>
    <n v="5"/>
    <s v="Nő"/>
    <n v="300000"/>
    <s v="harasztdombi.maja@gmail.com"/>
    <s v="Márkus Csilla"/>
    <n v="6"/>
    <s v="Aktív"/>
    <n v="6"/>
    <n v="6"/>
    <s v="magyar"/>
    <m/>
  </r>
  <r>
    <s v="Bálint Eszter"/>
    <s v="IAWARV"/>
    <s v="Aktív"/>
    <s v="anglisztika"/>
    <x v="0"/>
    <s v="anglisztika"/>
    <s v="BTK-BANGL-NBHU"/>
    <s v="Veszprém"/>
    <s v="Veszprém"/>
    <s v="Bálint Eszter"/>
    <s v="Magyarország"/>
    <d v="1999-06-15T00:00:00"/>
    <s v="T149430/FI80798"/>
    <x v="0"/>
    <s v="Állami ösztöndíjas"/>
    <s v="2019/20/1"/>
    <s v="Nappali"/>
    <n v="7"/>
    <n v="1"/>
    <s v="2021/22/2"/>
    <n v="6"/>
    <s v="76988268079"/>
    <n v="6"/>
    <x v="0"/>
    <s v="a központi eljárásban magyarországi képzésre"/>
    <n v="442"/>
    <m/>
    <m/>
    <s v="Felvétel"/>
    <d v="2019-09-01T00:00:00"/>
    <s v="310982481734"/>
    <s v="BDPK-SEK"/>
    <s v="Neubauer Nikoletta"/>
    <d v="2019-07-24T00:00:00"/>
    <d v="2022-07-15T00:00:00"/>
    <n v="300000"/>
    <m/>
    <n v="5"/>
    <s v="Nő"/>
    <n v="300000"/>
    <s v="eszter.balint8@gmail.com"/>
    <s v="Reiner Erika"/>
    <n v="6"/>
    <s v="Aktív"/>
    <n v="6"/>
    <n v="6"/>
    <s v="magyar"/>
    <m/>
  </r>
  <r>
    <s v="Bogár Bence"/>
    <s v="HDYVLK"/>
    <s v="Aktív"/>
    <s v="anglisztika"/>
    <x v="0"/>
    <s v="anglisztika"/>
    <s v="BTK-BANGL-NBHU"/>
    <s v="Veszprém"/>
    <s v="Veszprém"/>
    <s v="Bogár Bence"/>
    <s v="Magyarország"/>
    <d v="2000-02-23T00:00:00"/>
    <s v="T154584/FI80798"/>
    <x v="0"/>
    <s v="Állami ösztöndíjas"/>
    <s v="2019/20/1"/>
    <s v="Nappali"/>
    <n v="7"/>
    <n v="1"/>
    <s v="2021/22/2"/>
    <n v="6"/>
    <s v="75574794231"/>
    <n v="6"/>
    <x v="0"/>
    <s v="a központi eljárásban magyarországi képzésre"/>
    <n v="360"/>
    <m/>
    <m/>
    <s v="Felvétel"/>
    <d v="2019-09-01T00:00:00"/>
    <s v="310982703962"/>
    <s v="BDPK-SEK"/>
    <s v="Neubauer Nikoletta"/>
    <d v="2019-07-24T00:00:00"/>
    <d v="2022-07-15T00:00:00"/>
    <n v="300000"/>
    <m/>
    <n v="5"/>
    <s v="Férfi"/>
    <n v="300000"/>
    <s v="bogarbence64@gmail.com"/>
    <s v="Piskor Tünde"/>
    <n v="6"/>
    <s v="Aktív"/>
    <n v="6"/>
    <n v="6"/>
    <s v="magyar"/>
    <m/>
  </r>
  <r>
    <s v="Vitkó Vivien"/>
    <s v="UPDFIM"/>
    <s v="Aktív"/>
    <s v="anglisztika"/>
    <x v="0"/>
    <s v="anglisztika"/>
    <s v="BTK-BANGL-NBHU"/>
    <s v="Ózd"/>
    <s v="Borsod-Abaúj-Zemplén"/>
    <s v="Vitkó Vivien"/>
    <s v="Magyarország"/>
    <d v="1999-09-02T00:00:00"/>
    <s v="T149472/FI80798"/>
    <x v="0"/>
    <s v="Állami ösztöndíjas"/>
    <s v="2019/20/1"/>
    <s v="Nappali"/>
    <n v="7"/>
    <n v="1"/>
    <s v="2021/22/2"/>
    <n v="6"/>
    <s v="76537840003"/>
    <n v="6"/>
    <x v="0"/>
    <s v="a központi eljárásban magyarországi képzésre"/>
    <n v="423"/>
    <m/>
    <m/>
    <s v="Felvétel"/>
    <d v="2019-09-01T00:00:00"/>
    <s v="310982840483"/>
    <s v="BDPK-SEK"/>
    <s v="Neubauer Nikoletta"/>
    <d v="2019-07-24T00:00:00"/>
    <d v="2022-07-15T00:00:00"/>
    <n v="300000"/>
    <m/>
    <n v="5"/>
    <s v="Nő"/>
    <n v="300000"/>
    <s v="kisvitkoo@gmail.com"/>
    <s v="Visnovszky Edina"/>
    <n v="6"/>
    <s v="Aktív"/>
    <n v="6"/>
    <n v="6"/>
    <s v="magyar"/>
    <m/>
  </r>
  <r>
    <s v="Csigó Anita"/>
    <s v="E866KX"/>
    <s v="Aktív"/>
    <s v="anglisztika"/>
    <x v="0"/>
    <s v="anglisztika"/>
    <s v="BTK-BANGL-NBHU"/>
    <s v="Győr"/>
    <s v="Győr-Moson-Sopron"/>
    <s v="Csigó Anita"/>
    <s v="Magyarország"/>
    <d v="2000-03-26T00:00:00"/>
    <s v="T152202/FI80798"/>
    <x v="0"/>
    <s v="Állami ösztöndíjas"/>
    <s v="2019/20/1"/>
    <s v="Nappali"/>
    <n v="7"/>
    <n v="1"/>
    <s v="2021/22/2"/>
    <n v="6"/>
    <s v="71969403888"/>
    <n v="6"/>
    <x v="0"/>
    <s v="a központi eljárásban magyarországi képzésre"/>
    <n v="440"/>
    <m/>
    <m/>
    <s v="Felvétel"/>
    <d v="2019-09-01T00:00:00"/>
    <s v="310982282736"/>
    <s v="BDPK-SEK"/>
    <s v="Neubauer Nikoletta"/>
    <d v="2019-07-24T00:00:00"/>
    <d v="2022-07-15T00:00:00"/>
    <n v="300000"/>
    <m/>
    <n v="5"/>
    <s v="Nő"/>
    <n v="300000"/>
    <s v="ancicsigo@gmail.com"/>
    <s v="Bak Krisztina"/>
    <n v="6"/>
    <s v="Aktív"/>
    <n v="6"/>
    <n v="6"/>
    <s v="magyar"/>
    <m/>
  </r>
  <r>
    <s v="Galambos Loránd Mihály"/>
    <s v="CPC7H6"/>
    <s v="Aktív"/>
    <s v="anglisztika"/>
    <x v="0"/>
    <s v="anglisztika"/>
    <s v="BTK-BANGL-NBHU"/>
    <s v="Szombathely"/>
    <s v="Vas"/>
    <s v="Galambos Loránd Mihály"/>
    <s v="Magyarország"/>
    <d v="2000-02-26T00:00:00"/>
    <s v="T154578/FI80798"/>
    <x v="0"/>
    <s v="Állami ösztöndíjas"/>
    <s v="2019/20/1"/>
    <s v="Nappali"/>
    <n v="7"/>
    <n v="1"/>
    <s v="2021/22/2"/>
    <n v="6"/>
    <s v="74783510968"/>
    <n v="6"/>
    <x v="0"/>
    <s v="a központi eljárásban magyarországi képzésre"/>
    <n v="408"/>
    <m/>
    <m/>
    <s v="Felvétel"/>
    <d v="2019-09-01T00:00:00"/>
    <s v="310982636352"/>
    <s v="BDPK-SEK"/>
    <s v="Neubauer Nikoletta"/>
    <d v="2019-07-24T00:00:00"/>
    <d v="2022-07-15T00:00:00"/>
    <n v="300000"/>
    <m/>
    <n v="5"/>
    <s v="Férfi"/>
    <n v="300000"/>
    <s v="galamboslrnd67@gmail.com"/>
    <s v="Szabó Zsuzsanna"/>
    <n v="6"/>
    <s v="Aktív"/>
    <n v="6"/>
    <n v="6"/>
    <s v="magyar"/>
    <m/>
  </r>
  <r>
    <s v="Kiss Miklós Attila"/>
    <s v="I0GDYH"/>
    <s v="Aktív"/>
    <s v="anglisztika"/>
    <x v="0"/>
    <s v="anglisztika"/>
    <s v="BTK-BANGL-NBHU"/>
    <s v="Szombathely"/>
    <s v="Vas"/>
    <s v="Kiss Miklós Attila"/>
    <s v="Magyarország"/>
    <d v="1999-10-12T00:00:00"/>
    <s v="T158368/FI80798"/>
    <x v="0"/>
    <s v="Állami ösztöndíjas"/>
    <s v="2019/20/1"/>
    <s v="Nappali"/>
    <n v="7"/>
    <n v="1"/>
    <s v="2021/22/2"/>
    <n v="6"/>
    <s v="73170426484"/>
    <n v="6"/>
    <x v="0"/>
    <s v="a központi eljárásban magyarországi képzésre"/>
    <n v="366"/>
    <m/>
    <m/>
    <s v="Felvétel"/>
    <d v="2019-09-06T00:00:00"/>
    <s v="310982950456"/>
    <s v="BDPK-SEK"/>
    <s v="Neubauer Nikoletta"/>
    <d v="2019-07-24T00:00:00"/>
    <d v="2022-07-15T00:00:00"/>
    <n v="300000"/>
    <m/>
    <n v="5"/>
    <s v="Férfi"/>
    <n v="300000"/>
    <s v="kissmiki12@gmail.com"/>
    <s v="Maros Adrienn"/>
    <n v="6"/>
    <s v="Aktív"/>
    <n v="6"/>
    <n v="6"/>
    <s v="magyar"/>
    <m/>
  </r>
  <r>
    <s v="Paál Viktória"/>
    <s v="ZKUFZ1"/>
    <s v="Aktív"/>
    <s v="anglisztika"/>
    <x v="0"/>
    <s v="anglisztika"/>
    <s v="BTK-BANGL-NBHU"/>
    <s v="Sárvár"/>
    <s v="Vas"/>
    <s v="Paál Viktória"/>
    <s v="Magyarország"/>
    <d v="2000-10-20T00:00:00"/>
    <s v="T149278/FI80798"/>
    <x v="0"/>
    <s v="Állami ösztöndíjas"/>
    <s v="2019/20/1"/>
    <s v="Nappali"/>
    <n v="7"/>
    <n v="1"/>
    <s v="2021/22/2"/>
    <n v="6"/>
    <s v="73256271338"/>
    <n v="6"/>
    <x v="0"/>
    <m/>
    <m/>
    <m/>
    <m/>
    <s v="Képzésváltás intézményen belül"/>
    <d v="2020-02-01T00:00:00"/>
    <m/>
    <s v="BDPK-SEK"/>
    <s v="Neubauer Nikoletta"/>
    <d v="2019-07-24T00:00:00"/>
    <d v="2022-07-15T00:00:00"/>
    <n v="257400"/>
    <m/>
    <n v="4"/>
    <s v="Nő"/>
    <n v="257400"/>
    <s v="pvik13@freemail.hu"/>
    <s v="Várallyay Katalin"/>
    <n v="5"/>
    <s v="Aktív"/>
    <n v="5"/>
    <n v="6"/>
    <s v="magyar"/>
    <m/>
  </r>
  <r>
    <s v="Solti Kristóf Tamás"/>
    <s v="GI3C2U"/>
    <s v="Aktív"/>
    <s v="anglisztika"/>
    <x v="0"/>
    <s v="anglisztika"/>
    <s v="BTK-BANGL-NBHU"/>
    <s v="Körmend"/>
    <s v="Vas"/>
    <s v="Solti Kristóf Tamás"/>
    <s v="Magyarország"/>
    <d v="2000-09-26T00:00:00"/>
    <s v="T148046/FI80798"/>
    <x v="0"/>
    <s v="Állami ösztöndíjas"/>
    <s v="2019/20/1"/>
    <s v="Nappali"/>
    <n v="7"/>
    <n v="1"/>
    <s v="2021/22/2"/>
    <n v="6"/>
    <s v="79615952585"/>
    <n v="6"/>
    <x v="0"/>
    <s v="a központi eljárásban magyarországi képzésre"/>
    <n v="338"/>
    <m/>
    <m/>
    <s v="Felvétel"/>
    <d v="2019-09-01T00:00:00"/>
    <s v="310982496849"/>
    <s v="BDPK-SEK"/>
    <s v="Neubauer Nikoletta"/>
    <d v="2019-07-24T00:00:00"/>
    <d v="2022-07-15T00:00:00"/>
    <n v="300000"/>
    <m/>
    <n v="5"/>
    <s v="Férfi"/>
    <n v="300000"/>
    <s v="krisolti25@gmail.com"/>
    <s v="Farkas Erzsébet"/>
    <n v="6"/>
    <s v="Aktív"/>
    <n v="6"/>
    <n v="6"/>
    <s v="magyar"/>
    <m/>
  </r>
  <r>
    <s v="Horváth Kíra Otília"/>
    <s v="H7DDKL"/>
    <s v="Aktív"/>
    <s v="anglisztika"/>
    <x v="0"/>
    <s v="anglisztika"/>
    <s v="BTK-BANGL-NBHU"/>
    <s v="Szombathely"/>
    <s v="Vas"/>
    <s v="Horváth Kíra Otília"/>
    <s v="Magyarország"/>
    <d v="2000-02-11T00:00:00"/>
    <s v="T157054/FI80798"/>
    <x v="0"/>
    <s v="Állami ösztöndíjas"/>
    <s v="2019/20/1"/>
    <s v="Nappali"/>
    <n v="7"/>
    <n v="1"/>
    <s v="2021/22/2"/>
    <n v="6"/>
    <s v="73686635003"/>
    <n v="6"/>
    <x v="0"/>
    <s v="a központi eljárásban magyarországi képzésre"/>
    <n v="378"/>
    <m/>
    <m/>
    <s v="Felvétel"/>
    <d v="2019-09-01T00:00:00"/>
    <s v="310982843693"/>
    <s v="BDPK-SEK"/>
    <s v="Neubauer Nikoletta"/>
    <d v="2019-07-24T00:00:00"/>
    <d v="2022-07-15T00:00:00"/>
    <n v="300000"/>
    <m/>
    <n v="5"/>
    <s v="Nő"/>
    <n v="300000"/>
    <s v="horvath.kira00@gmail.com"/>
    <s v="Vertetits Ottilia Márta"/>
    <n v="6"/>
    <s v="Aktív"/>
    <n v="6"/>
    <n v="6"/>
    <s v="magyar"/>
    <m/>
  </r>
  <r>
    <s v="Hercz Marcell"/>
    <s v="Q5XSW2"/>
    <s v="Aktív"/>
    <s v="anglisztika"/>
    <x v="0"/>
    <s v="anglisztika"/>
    <s v="BTK-BANGL-NBHU"/>
    <s v="Pápa"/>
    <s v="Veszprém"/>
    <s v="Hercz Marcell"/>
    <s v="Magyarország"/>
    <d v="1999-09-16T00:00:00"/>
    <s v="T151992/FI80798"/>
    <x v="0"/>
    <s v="Állami ösztöndíjas"/>
    <s v="2019/20/1"/>
    <s v="Nappali"/>
    <n v="7"/>
    <n v="1"/>
    <s v="2021/22/2"/>
    <n v="6"/>
    <s v="72731615314"/>
    <n v="6"/>
    <x v="0"/>
    <s v="a központi eljárásban magyarországi képzésre"/>
    <n v="362"/>
    <m/>
    <m/>
    <s v="Felvétel"/>
    <d v="2019-09-01T00:00:00"/>
    <s v="310982752027"/>
    <s v="BDPK-SEK"/>
    <s v="Neubauer Nikoletta"/>
    <d v="2019-07-24T00:00:00"/>
    <d v="2022-07-15T00:00:00"/>
    <n v="300000"/>
    <m/>
    <n v="5"/>
    <s v="Férfi"/>
    <n v="300000"/>
    <s v="hercz.marci@gmail.com"/>
    <s v="Szerdahelyi Judit Mária"/>
    <n v="6"/>
    <s v="Aktív"/>
    <n v="6"/>
    <n v="6"/>
    <s v="magyar"/>
    <m/>
  </r>
  <r>
    <s v="Csáky Dorottya"/>
    <s v="GEL2XH"/>
    <s v="Aktív"/>
    <s v="anglisztika"/>
    <x v="0"/>
    <s v="anglisztika"/>
    <s v="BTK-BANGL-NBHU"/>
    <s v="Szombathely"/>
    <s v="Vas"/>
    <s v="Csáky Dorottya"/>
    <s v="Magyarország"/>
    <d v="1996-02-01T00:00:00"/>
    <s v="T150353/FI80798"/>
    <x v="0"/>
    <s v="Állami ösztöndíjas"/>
    <s v="2019/20/1"/>
    <s v="Nappali"/>
    <n v="9"/>
    <n v="1"/>
    <s v="2021/22/2"/>
    <n v="6"/>
    <s v="75603271312"/>
    <n v="6"/>
    <x v="0"/>
    <s v="a központi eljárásban magyarországi képzésre"/>
    <n v="369"/>
    <m/>
    <m/>
    <s v="Felvétel"/>
    <d v="2019-09-01T00:00:00"/>
    <s v="310982259270"/>
    <s v="BDPK-SEK"/>
    <s v="Neubauer Nikoletta"/>
    <d v="2019-07-24T00:00:00"/>
    <d v="2022-07-15T00:00:00"/>
    <n v="300000"/>
    <m/>
    <n v="3"/>
    <s v="Nő"/>
    <n v="300000"/>
    <s v="dusi9621@gmail.com"/>
    <s v="Pálóczi Ildikó"/>
    <n v="6"/>
    <s v="Aktív"/>
    <n v="4"/>
    <n v="6"/>
    <s v="magyar"/>
    <m/>
  </r>
  <r>
    <s v="Simon Krisztina Tünde"/>
    <s v="Q504GT"/>
    <s v="Aktív"/>
    <s v="anglisztika"/>
    <x v="0"/>
    <s v="anglisztika"/>
    <s v="BDPK-SEK-SALB-AN-LBHU"/>
    <s v="Debrecen"/>
    <s v="Hajdú-Bihar"/>
    <s v="Fülöp Krisztina Tünde"/>
    <s v="Magyarország"/>
    <d v="1990-07-24T00:00:00"/>
    <s v="T149055/FI80798"/>
    <x v="0"/>
    <s v="Állami ösztöndíjas"/>
    <s v="2019/20/1"/>
    <s v="Levelező"/>
    <n v="7"/>
    <n v="1"/>
    <s v="2021/22/2"/>
    <n v="6"/>
    <s v="72976557240"/>
    <n v="6"/>
    <x v="0"/>
    <s v="a központi eljárásban magyarországi képzésre"/>
    <n v="394"/>
    <m/>
    <m/>
    <s v="Felvétel"/>
    <d v="2019-09-01T00:00:00"/>
    <s v="310982101902"/>
    <s v="BDPK-SEK"/>
    <s v="Neubauer Nikoletta"/>
    <d v="2019-07-24T00:00:00"/>
    <d v="2022-07-15T00:00:00"/>
    <n v="300000"/>
    <m/>
    <n v="5"/>
    <s v="Nő"/>
    <n v="300000"/>
    <s v="krisztina.t.fulop@gmail.com"/>
    <s v="Kardos Tünde"/>
    <n v="6"/>
    <s v="Aktív"/>
    <n v="6"/>
    <n v="6"/>
    <s v="magyar"/>
    <m/>
  </r>
  <r>
    <s v="Papp István"/>
    <s v="CUZOK1"/>
    <s v="Aktív"/>
    <s v="anglisztika"/>
    <x v="0"/>
    <s v="anglisztika"/>
    <s v="BTK-BANGL-NBHU"/>
    <s v="Debrecen"/>
    <s v="Hajdú-Bihar"/>
    <s v="Papp István"/>
    <s v="Magyarország"/>
    <d v="2000-06-29T00:00:00"/>
    <s v="T153571/FI80798"/>
    <x v="0"/>
    <s v="Állami ösztöndíjas"/>
    <s v="2021/22/1"/>
    <s v="Nappali"/>
    <n v="10"/>
    <n v="1"/>
    <s v="2021/22/2"/>
    <n v="6"/>
    <s v="78335817739"/>
    <n v="6"/>
    <x v="0"/>
    <s v="a központi eljárásban magyarországi képzésre"/>
    <n v="396"/>
    <m/>
    <m/>
    <s v="Felvétel"/>
    <d v="2021-09-01T00:00:00"/>
    <s v="310815112407"/>
    <s v="BDPK-SEK"/>
    <s v="Neubauer Nikoletta"/>
    <d v="2021-07-23T00:00:00"/>
    <d v="2024-07-15T00:00:00"/>
    <n v="300000"/>
    <m/>
    <n v="1"/>
    <s v="Férfi"/>
    <n v="300000"/>
    <s v="psityu682@gmail.com"/>
    <s v="Szabó Mária"/>
    <n v="2"/>
    <s v="Aktív"/>
    <n v="2"/>
    <n v="2"/>
    <s v="magyar"/>
    <m/>
  </r>
  <r>
    <s v="Kohán Maximilian"/>
    <s v="XNP8IP"/>
    <s v="Aktív"/>
    <s v="anglisztika"/>
    <x v="0"/>
    <s v="anglisztika"/>
    <s v="BTK-BANGL-NBHU"/>
    <s v="Budapest"/>
    <s v="Budapest"/>
    <s v="Kohán Maximilian"/>
    <s v="Magyarország"/>
    <d v="2000-02-13T00:00:00"/>
    <s v="T151133/FI80798"/>
    <x v="0"/>
    <s v="Állami ösztöndíjas"/>
    <s v="2019/20/1"/>
    <s v="Nappali"/>
    <n v="7"/>
    <n v="1"/>
    <s v="2021/22/2"/>
    <n v="6"/>
    <s v="72601869798"/>
    <n v="6"/>
    <x v="0"/>
    <s v="a központi eljárásban magyarországi képzésre"/>
    <n v="472"/>
    <m/>
    <m/>
    <s v="Felvétel"/>
    <d v="2019-09-01T00:00:00"/>
    <s v="310982628078"/>
    <s v="BDPK-SEK"/>
    <s v="Neubauer Nikoletta"/>
    <d v="2019-07-24T00:00:00"/>
    <d v="2022-07-15T00:00:00"/>
    <n v="300000"/>
    <m/>
    <n v="5"/>
    <s v="Férfi"/>
    <n v="300000"/>
    <s v="kohanmax@gmail.com"/>
    <s v="Popkova Marija"/>
    <n v="6"/>
    <s v="Aktív"/>
    <n v="6"/>
    <n v="6"/>
    <s v="magyar"/>
    <m/>
  </r>
  <r>
    <s v="Tóth Rebeka"/>
    <s v="FCBB3V"/>
    <s v="Aktív"/>
    <s v="anglisztika"/>
    <x v="0"/>
    <s v="anglisztika"/>
    <s v="BTK-BANGL-NBHU"/>
    <s v="Keszthely"/>
    <s v="Zala"/>
    <s v="Tóth Rebeka"/>
    <s v="Magyarország"/>
    <d v="1999-08-10T00:00:00"/>
    <s v="T155621/FI80798"/>
    <x v="0"/>
    <s v="Állami ösztöndíjas"/>
    <s v="2019/20/1"/>
    <s v="Nappali"/>
    <n v="7"/>
    <n v="1"/>
    <s v="2021/22/2"/>
    <n v="6"/>
    <s v="77384158270"/>
    <n v="6"/>
    <x v="0"/>
    <s v="a központi eljárásban magyarországi képzésre"/>
    <n v="375"/>
    <m/>
    <m/>
    <s v="Felvétel"/>
    <d v="2019-09-01T00:00:00"/>
    <s v="310982736624"/>
    <s v="BDPK-SEK"/>
    <s v="Neubauer Nikoletta"/>
    <d v="2019-07-24T00:00:00"/>
    <d v="2022-07-15T00:00:00"/>
    <n v="300000"/>
    <m/>
    <n v="5"/>
    <s v="Nő"/>
    <n v="300000"/>
    <s v="tothrebeka10@gmail.com"/>
    <s v="Csuka Márta"/>
    <n v="6"/>
    <s v="Aktív"/>
    <n v="6"/>
    <n v="6"/>
    <s v="magyar"/>
    <m/>
  </r>
  <r>
    <s v="Molnár Anna"/>
    <s v="DX1I1M"/>
    <s v="Aktív"/>
    <s v="anglisztika"/>
    <x v="0"/>
    <s v="anglisztika"/>
    <s v="BTK-BANGL-NBHU"/>
    <s v="Szombathely"/>
    <s v="Vas"/>
    <s v="Molnár Anna"/>
    <s v="Magyarország"/>
    <d v="2000-04-22T00:00:00"/>
    <s v="T169228/FI80798"/>
    <x v="0"/>
    <s v="Állami ösztöndíjas"/>
    <s v="2020/21/1"/>
    <s v="Nappali"/>
    <n v="9"/>
    <n v="1"/>
    <s v="2021/22/2"/>
    <n v="6"/>
    <s v="71676360826"/>
    <n v="6"/>
    <x v="0"/>
    <s v="a központi eljárásban magyarországi képzésre"/>
    <n v="349"/>
    <m/>
    <m/>
    <s v="Felvétel"/>
    <d v="2020-09-01T00:00:00"/>
    <s v="310804246398"/>
    <s v="BDPK-SEK"/>
    <s v="Neubauer Nikoletta"/>
    <d v="2020-07-23T00:00:00"/>
    <d v="2023-07-15T00:00:00"/>
    <n v="300000"/>
    <m/>
    <n v="2"/>
    <s v="Nő"/>
    <n v="300000"/>
    <s v="anna.molnar2000@gmail.com"/>
    <s v="Barkovics Mónika"/>
    <n v="4"/>
    <s v="Aktív"/>
    <n v="4"/>
    <n v="4"/>
    <s v="magyar"/>
    <m/>
  </r>
  <r>
    <s v="Sági Fanni"/>
    <s v="QPOUR7"/>
    <s v="Passzív"/>
    <s v="anglisztika"/>
    <x v="0"/>
    <s v="anglisztika"/>
    <s v="BTK-BANGL-NBHU"/>
    <s v="Zalaegerszeg"/>
    <s v="Zala"/>
    <s v="Sági Fanni"/>
    <s v="Magyarország"/>
    <d v="2001-07-03T00:00:00"/>
    <s v="T169327/FI80798"/>
    <x v="0"/>
    <s v="Állami ösztöndíjas"/>
    <s v="2020/21/1"/>
    <s v="Nappali"/>
    <n v="11"/>
    <n v="1"/>
    <s v="2020/21/2"/>
    <n v="6"/>
    <s v="78441890138"/>
    <n v="6"/>
    <x v="0"/>
    <s v="a központi eljárásban magyarországi képzésre"/>
    <n v="378"/>
    <m/>
    <m/>
    <s v="Felvétel"/>
    <d v="2020-09-01T00:00:00"/>
    <s v="310804997339"/>
    <s v="BDPK-SEK"/>
    <s v="Neubauer Nikoletta"/>
    <d v="2020-07-23T00:00:00"/>
    <d v="2024-07-15T00:00:00"/>
    <n v="300000"/>
    <m/>
    <n v="2"/>
    <s v="Nő"/>
    <n v="300000"/>
    <s v="sagif.73@gmail.com"/>
    <s v="Móricz Barbara"/>
    <n v="2"/>
    <s v="Passzív"/>
    <n v="2"/>
    <n v="2"/>
    <s v="magyar"/>
    <m/>
  </r>
  <r>
    <s v="Szalai Laura"/>
    <s v="GB9U5H"/>
    <s v="Aktív"/>
    <s v="anglisztika"/>
    <x v="0"/>
    <s v="anglisztika"/>
    <s v="BTK-BANGL-NBHU"/>
    <s v="Szombathely"/>
    <s v="Vas"/>
    <s v="Szalai Laura"/>
    <s v="Magyarország"/>
    <d v="2001-11-16T00:00:00"/>
    <s v="T181733/FI80798"/>
    <x v="0"/>
    <s v="Állami ösztöndíjas"/>
    <s v="2021/22/1"/>
    <s v="Nappali"/>
    <n v="11"/>
    <n v="1"/>
    <s v="2021/22/2"/>
    <n v="6"/>
    <s v="71587293308"/>
    <n v="6"/>
    <x v="0"/>
    <s v="a központi eljárásban magyarországi képzésre"/>
    <n v="360"/>
    <m/>
    <m/>
    <s v="Felvétel"/>
    <d v="2021-09-01T00:00:00"/>
    <s v="310814324219"/>
    <s v="BDPK-SEK"/>
    <s v="Neubauer Nikoletta"/>
    <d v="2021-07-23T00:00:00"/>
    <d v="2024-07-15T00:00:00"/>
    <n v="300000"/>
    <m/>
    <n v="1"/>
    <s v="Nő"/>
    <n v="300000"/>
    <s v="szalai.lau01@gmail.com"/>
    <s v="Szücs Eszter"/>
    <n v="2"/>
    <s v="Aktív"/>
    <n v="2"/>
    <n v="2"/>
    <s v="magyar"/>
    <m/>
  </r>
  <r>
    <s v="Kissné Bartó Bianka"/>
    <s v="N3Y6VW"/>
    <s v="Aktív"/>
    <s v="anglisztika"/>
    <x v="0"/>
    <s v="anglisztika"/>
    <s v="BDPK-SEK-SALB-AN-LBHU"/>
    <s v="Nagyatád"/>
    <s v="Somogy"/>
    <s v="Bartó Bianka"/>
    <s v="Magyarország"/>
    <d v="1992-11-15T00:00:00"/>
    <s v="T182087/FI80798"/>
    <x v="0"/>
    <s v="Állami ösztöndíjas"/>
    <s v="2021/22/1"/>
    <s v="Levelező"/>
    <n v="11"/>
    <n v="1"/>
    <s v="2021/22/2"/>
    <n v="6"/>
    <s v="72786529745"/>
    <n v="6"/>
    <x v="0"/>
    <s v="a központi eljárásban magyarországi képzésre"/>
    <n v="342"/>
    <m/>
    <m/>
    <s v="Felvétel"/>
    <d v="2021-09-01T00:00:00"/>
    <s v="310814304682"/>
    <s v="BDPK-SEK"/>
    <s v="Neubauer Nikoletta"/>
    <d v="2021-07-23T00:00:00"/>
    <d v="2024-07-15T00:00:00"/>
    <n v="300000"/>
    <m/>
    <n v="1"/>
    <s v="Nő"/>
    <n v="300000"/>
    <s v="barto.bianka@gmail.com"/>
    <s v="Cservég Mónika"/>
    <n v="2"/>
    <s v="Aktív"/>
    <n v="2"/>
    <n v="2"/>
    <s v="magyar"/>
    <m/>
  </r>
  <r>
    <s v="László Eszter Vivien"/>
    <s v="R1HXN8"/>
    <s v="Aktív"/>
    <s v="anglisztika"/>
    <x v="0"/>
    <s v="anglisztika"/>
    <s v="BTK-BANGL-NBHU"/>
    <s v="Nagykanizsa"/>
    <s v="Zala"/>
    <s v="László Eszter Vivien"/>
    <s v="Magyarország"/>
    <d v="2001-10-06T00:00:00"/>
    <s v="T161643/FI80798"/>
    <x v="0"/>
    <s v="Állami ösztöndíjas"/>
    <s v="2020/21/1"/>
    <s v="Nappali"/>
    <n v="9"/>
    <n v="1"/>
    <s v="2021/22/2"/>
    <n v="6"/>
    <s v="71622050003"/>
    <n v="6"/>
    <x v="0"/>
    <s v="a központi eljárásban magyarországi képzésre"/>
    <n v="340"/>
    <m/>
    <m/>
    <s v="Felvétel"/>
    <d v="2020-09-01T00:00:00"/>
    <s v="310804246877"/>
    <s v="BDPK-SEK"/>
    <s v="Neubauer Nikoletta"/>
    <d v="2020-07-23T00:00:00"/>
    <d v="2023-07-15T00:00:00"/>
    <n v="300000"/>
    <m/>
    <n v="2"/>
    <s v="Nő"/>
    <n v="300000"/>
    <s v="laszlo.eszter12@gmail.com"/>
    <s v="Husz Melinda"/>
    <n v="4"/>
    <s v="Aktív"/>
    <n v="4"/>
    <n v="4"/>
    <s v="magyar"/>
    <m/>
  </r>
  <r>
    <s v="Vincze Miklós György"/>
    <s v="FB16ZJ"/>
    <s v="Aktív"/>
    <s v="anglisztika"/>
    <x v="0"/>
    <s v="anglisztika"/>
    <s v="BTK-BANGL-NBHU"/>
    <s v="Szombathely"/>
    <s v="Vas"/>
    <s v="Vincze Miklós György"/>
    <s v="Magyarország"/>
    <d v="1999-08-19T00:00:00"/>
    <s v="T169285/FI80798"/>
    <x v="0"/>
    <s v="Állami ösztöndíjas"/>
    <s v="2020/21/1"/>
    <s v="Nappali"/>
    <n v="7"/>
    <n v="1"/>
    <s v="2021/22/2"/>
    <n v="6"/>
    <s v="71384106765"/>
    <n v="6"/>
    <x v="0"/>
    <s v="a központi eljárásban magyarországi képzésre"/>
    <n v="404"/>
    <m/>
    <m/>
    <s v="Felvétel"/>
    <d v="2020-09-01T00:00:00"/>
    <s v="310804598061"/>
    <s v="BDPK-SEK"/>
    <s v="Neubauer Nikoletta"/>
    <d v="2020-07-23T00:00:00"/>
    <d v="2023-07-15T00:00:00"/>
    <n v="300000"/>
    <m/>
    <n v="2"/>
    <s v="Férfi"/>
    <n v="300000"/>
    <s v="miklosvincze99@gmail.com"/>
    <s v="Taál Eleonóra"/>
    <n v="4"/>
    <s v="Aktív"/>
    <n v="4"/>
    <n v="4"/>
    <s v="magyar"/>
    <m/>
  </r>
  <r>
    <s v="Varga Csongor Bálint"/>
    <s v="I0GX34"/>
    <s v="Aktív"/>
    <s v="anglisztika"/>
    <x v="0"/>
    <s v="anglisztika"/>
    <s v="BTK-BANGL-NBHU"/>
    <s v="Kapuvár"/>
    <s v="Győr-Moson-Sopron"/>
    <s v="Varga Csongor Bálint"/>
    <s v="Magyarország"/>
    <d v="2001-09-20T00:00:00"/>
    <s v="T162104/FI80798"/>
    <x v="0"/>
    <s v="Állami ösztöndíjas"/>
    <s v="2020/21/1"/>
    <s v="Nappali"/>
    <n v="9"/>
    <n v="1"/>
    <s v="2021/22/2"/>
    <n v="6"/>
    <s v="71588098602"/>
    <n v="6"/>
    <x v="0"/>
    <s v="a központi eljárásban magyarországi képzésre"/>
    <n v="380"/>
    <m/>
    <m/>
    <s v="Felvétel"/>
    <d v="2020-09-01T00:00:00"/>
    <s v="310804690496"/>
    <s v="BDPK-SEK"/>
    <s v="Neubauer Nikoletta"/>
    <d v="2020-07-23T00:00:00"/>
    <d v="2023-07-15T00:00:00"/>
    <n v="300000"/>
    <m/>
    <n v="2"/>
    <s v="Férfi"/>
    <n v="300000"/>
    <s v="gam3rmeister@gmail.com"/>
    <s v="Tóth Krisztina"/>
    <n v="4"/>
    <s v="Aktív"/>
    <n v="4"/>
    <n v="4"/>
    <s v="magyar"/>
    <m/>
  </r>
  <r>
    <s v="Vilcsek Orsolya"/>
    <s v="H23453"/>
    <s v="Aktív"/>
    <s v="anglisztika"/>
    <x v="0"/>
    <s v="anglisztika"/>
    <s v="BDPK-SEK-SALB-AN-LBHU"/>
    <s v="Tatabánya"/>
    <s v="Komárom-Esztergom"/>
    <s v="Vilcsek Orsolya"/>
    <s v="Magyarország"/>
    <d v="1996-10-19T00:00:00"/>
    <s v="T161904/FI80798"/>
    <x v="0"/>
    <s v="Állami ösztöndíjas"/>
    <s v="2020/21/1"/>
    <s v="Levelező"/>
    <n v="9"/>
    <n v="1"/>
    <s v="2021/22/2"/>
    <n v="6"/>
    <s v="79203205449"/>
    <n v="6"/>
    <x v="0"/>
    <s v="a központi eljárásban magyarországi képzésre"/>
    <n v="375"/>
    <m/>
    <m/>
    <s v="Felvétel"/>
    <d v="2020-09-01T00:00:00"/>
    <s v="310804150251"/>
    <s v="BDPK-SEK"/>
    <s v="Neubauer Nikoletta"/>
    <d v="2020-07-23T00:00:00"/>
    <d v="2023-07-15T00:00:00"/>
    <n v="300000"/>
    <m/>
    <n v="3"/>
    <s v="Nő"/>
    <n v="300000"/>
    <s v="orsolya.vilcsek@gmail.com"/>
    <s v="Vilcsek Erika"/>
    <n v="4"/>
    <s v="Aktív"/>
    <n v="4"/>
    <n v="4"/>
    <s v="magyar"/>
    <m/>
  </r>
  <r>
    <s v="Körmendi Kitti"/>
    <s v="AYV6NU"/>
    <s v="Aktív"/>
    <s v="anglisztika"/>
    <x v="0"/>
    <s v="anglisztika"/>
    <s v="BTK-BANGL-NBHU"/>
    <s v="Körmend"/>
    <s v="Vas"/>
    <s v="Körmendi Kitti"/>
    <s v="Magyarország"/>
    <d v="2002-05-12T00:00:00"/>
    <s v="T162885/FI80798"/>
    <x v="0"/>
    <s v="Állami ösztöndíjas"/>
    <s v="2020/21/1"/>
    <s v="Nappali"/>
    <n v="9"/>
    <n v="1"/>
    <s v="2021/22/2"/>
    <n v="6"/>
    <s v="71589768025"/>
    <n v="6"/>
    <x v="0"/>
    <s v="a központi eljárásban magyarországi képzésre"/>
    <n v="398"/>
    <m/>
    <m/>
    <s v="Felvétel"/>
    <d v="2020-09-01T00:00:00"/>
    <s v="310804428285"/>
    <s v="BDPK-SEK"/>
    <s v="Neubauer Nikoletta"/>
    <d v="2020-07-23T00:00:00"/>
    <d v="2023-07-15T00:00:00"/>
    <n v="300000"/>
    <m/>
    <n v="2"/>
    <s v="Nő"/>
    <n v="300000"/>
    <s v="kormendi.kitti6@gmail.com"/>
    <s v="Móricz Mónika"/>
    <n v="4"/>
    <s v="Aktív"/>
    <n v="4"/>
    <n v="4"/>
    <s v="magyar"/>
    <m/>
  </r>
  <r>
    <s v="Simon Virág"/>
    <s v="LOE7ZU"/>
    <s v="Aktív"/>
    <s v="anglisztika"/>
    <x v="0"/>
    <s v="anglisztika"/>
    <s v="BTK-BANGL-NBHU"/>
    <s v="Szombathely"/>
    <s v="Vas"/>
    <s v="Simon Virág"/>
    <s v="Magyarország"/>
    <d v="2001-11-30T00:00:00"/>
    <s v="T164323/FI80798"/>
    <x v="0"/>
    <s v="Állami ösztöndíjas"/>
    <s v="2020/21/1"/>
    <s v="Nappali"/>
    <n v="9"/>
    <n v="1"/>
    <s v="2021/22/2"/>
    <n v="6"/>
    <s v="71596805933"/>
    <n v="6"/>
    <x v="0"/>
    <s v="a központi eljárásban magyarországi képzésre"/>
    <n v="392"/>
    <m/>
    <m/>
    <s v="Felvétel"/>
    <d v="2020-09-01T00:00:00"/>
    <s v="310804570292"/>
    <s v="BDPK-SEK"/>
    <s v="Neubauer Nikoletta"/>
    <d v="2020-07-23T00:00:00"/>
    <d v="2023-07-15T00:00:00"/>
    <n v="300000"/>
    <m/>
    <n v="2"/>
    <s v="Nő"/>
    <n v="300000"/>
    <s v="viragsimon2001@gmail.com"/>
    <s v="Pócza Krisztina"/>
    <n v="4"/>
    <s v="Aktív"/>
    <n v="4"/>
    <n v="4"/>
    <s v="magyar"/>
    <m/>
  </r>
  <r>
    <s v="Gerbely Kamilla"/>
    <s v="N0AL7P"/>
    <s v="Aktív"/>
    <s v="anglisztika"/>
    <x v="0"/>
    <s v="anglisztika"/>
    <s v="BTK-BANGL-NBHU"/>
    <s v="Zalaegerszeg"/>
    <s v="Zala"/>
    <s v="Gerbely Kamilla"/>
    <s v="Magyarország"/>
    <d v="2002-02-21T00:00:00"/>
    <s v="T164982/FI80798"/>
    <x v="0"/>
    <s v="Állami ösztöndíjas"/>
    <s v="2020/21/1"/>
    <s v="Nappali"/>
    <n v="9"/>
    <n v="1"/>
    <s v="2021/22/2"/>
    <n v="6"/>
    <s v="71466214328"/>
    <n v="6"/>
    <x v="0"/>
    <s v="a központi eljárásban magyarországi képzésre"/>
    <n v="362"/>
    <m/>
    <m/>
    <s v="Felvétel"/>
    <d v="2020-09-01T00:00:00"/>
    <s v="310804330135"/>
    <s v="BDPK-SEK"/>
    <s v="Neubauer Nikoletta"/>
    <d v="2020-07-23T00:00:00"/>
    <d v="2023-07-15T00:00:00"/>
    <n v="300000"/>
    <m/>
    <n v="2"/>
    <s v="Nő"/>
    <n v="300000"/>
    <s v="gerbelykamilla@gmail.com"/>
    <s v="Stefán Judit"/>
    <n v="4"/>
    <s v="Aktív"/>
    <n v="4"/>
    <n v="4"/>
    <s v="magyar"/>
    <m/>
  </r>
  <r>
    <s v="Mészáros Anna"/>
    <s v="ZUDIWS"/>
    <s v="Aktív"/>
    <s v="anglisztika"/>
    <x v="0"/>
    <s v="anglisztika"/>
    <s v="BTK-BANGL-NBHU"/>
    <s v="Szombathely"/>
    <s v="Vas"/>
    <s v="Mészáros Anna"/>
    <s v="Magyarország"/>
    <d v="2001-09-04T00:00:00"/>
    <s v="T163368/FI80798"/>
    <x v="0"/>
    <s v="Állami ösztöndíjas"/>
    <s v="2020/21/1"/>
    <s v="Nappali"/>
    <n v="13"/>
    <n v="1"/>
    <s v="2021/22/2"/>
    <n v="6"/>
    <s v="71594935204"/>
    <n v="6"/>
    <x v="0"/>
    <s v="a központi eljárásban magyarországi képzésre"/>
    <n v="456"/>
    <m/>
    <m/>
    <s v="Felvétel"/>
    <d v="2020-09-01T00:00:00"/>
    <s v="310804252107"/>
    <s v="BDPK-SEK"/>
    <s v="Neubauer Nikoletta"/>
    <d v="2020-07-23T00:00:00"/>
    <d v="2023-07-15T00:00:00"/>
    <n v="300000"/>
    <m/>
    <n v="2"/>
    <s v="Nő"/>
    <n v="300000"/>
    <s v="eperlekvar39@gmail.com"/>
    <s v="Deés Veronika"/>
    <n v="4"/>
    <s v="Aktív"/>
    <n v="4"/>
    <n v="4"/>
    <s v="magyar"/>
    <m/>
  </r>
  <r>
    <s v="Somos Emilia"/>
    <s v="HGRDEV"/>
    <s v="Aktív"/>
    <s v="anglisztika"/>
    <x v="0"/>
    <s v="anglisztika"/>
    <s v="BTK-BANGL-NBHU"/>
    <s v="Szombathely"/>
    <s v="Vas"/>
    <s v="Somos Emilia"/>
    <s v="Magyarország"/>
    <d v="2001-04-21T00:00:00"/>
    <s v="T169711/FI80798"/>
    <x v="0"/>
    <s v="Önköltséges"/>
    <s v="2020/21/1"/>
    <s v="Nappali"/>
    <n v="12"/>
    <m/>
    <m/>
    <n v="6"/>
    <s v="71587292481"/>
    <n v="6"/>
    <x v="0"/>
    <s v="a központi eljárásban magyarországi képzésre"/>
    <n v="296"/>
    <m/>
    <m/>
    <s v="Felvétel"/>
    <d v="2020-09-01T00:00:00"/>
    <s v="310804872789"/>
    <s v="BDPK-SEK"/>
    <s v="Neubauer Nikoletta"/>
    <d v="2020-07-23T00:00:00"/>
    <d v="2023-07-15T00:00:00"/>
    <m/>
    <m/>
    <n v="0"/>
    <s v="Nő"/>
    <m/>
    <s v="somosemi1@icloud.com"/>
    <s v="Skrapits Kornélia"/>
    <n v="4"/>
    <s v="Aktív"/>
    <n v="0"/>
    <n v="4"/>
    <s v="magyar"/>
    <n v="300000"/>
  </r>
  <r>
    <s v="Fenyvesi Laura"/>
    <s v="BJ1311"/>
    <s v="Passzív"/>
    <s v="anglisztika"/>
    <x v="0"/>
    <s v="anglisztika"/>
    <s v="BTK-BANGL-NBHU"/>
    <s v="Szombathely"/>
    <s v="Vas"/>
    <s v="Fenyvesi Laura"/>
    <s v="Magyarország"/>
    <d v="2000-01-30T00:00:00"/>
    <s v="T167666/FI80798"/>
    <x v="0"/>
    <s v="Állami ösztöndíjas"/>
    <s v="2020/21/1"/>
    <s v="Nappali"/>
    <n v="11"/>
    <n v="1"/>
    <s v="2020/21/2"/>
    <n v="6"/>
    <s v="76541584939"/>
    <n v="6"/>
    <x v="0"/>
    <s v="a központi eljárásban magyarországi képzésre"/>
    <n v="320"/>
    <m/>
    <m/>
    <s v="Felvétel"/>
    <d v="2020-09-01T00:00:00"/>
    <s v="310804950510"/>
    <s v="BDPK-SEK"/>
    <s v="Neubauer Nikoletta"/>
    <d v="2020-07-23T00:00:00"/>
    <d v="2025-01-31T00:00:00"/>
    <n v="300000"/>
    <m/>
    <n v="2"/>
    <s v="Nő"/>
    <n v="300000"/>
    <s v="flaura.fenyvesi@gmail.com"/>
    <s v="Szombathelyi Tünde"/>
    <n v="2"/>
    <s v="Passzív"/>
    <n v="2"/>
    <n v="2"/>
    <s v="magyar"/>
    <m/>
  </r>
  <r>
    <s v="Németh Liliána Kinga"/>
    <s v="MVFCT4"/>
    <s v="Aktív"/>
    <s v="anglisztika"/>
    <x v="0"/>
    <s v="anglisztika"/>
    <s v="BDPK-SEK-SALB-AN-LBHU"/>
    <s v="Szombathely"/>
    <s v="Vas"/>
    <s v="Németh Liliána Kinga"/>
    <s v="Magyarország"/>
    <d v="1999-07-02T00:00:00"/>
    <s v="T160930/FI80798"/>
    <x v="0"/>
    <s v="Állami ösztöndíjas"/>
    <s v="2019/20/1"/>
    <s v="Levelező"/>
    <n v="7"/>
    <n v="1"/>
    <s v="2021/22/2"/>
    <n v="6"/>
    <s v="77510866728"/>
    <n v="6"/>
    <x v="0"/>
    <m/>
    <m/>
    <m/>
    <m/>
    <s v="Képzésváltás intézményen belül"/>
    <d v="2021-09-01T00:00:00"/>
    <m/>
    <s v="BDPK-SEK"/>
    <s v="Neubauer Nikoletta"/>
    <d v="2019-07-24T00:00:00"/>
    <d v="2024-07-15T00:00:00"/>
    <n v="300000"/>
    <m/>
    <n v="1"/>
    <s v="Nő"/>
    <n v="300000"/>
    <s v="liliana.kinga.nemeth@gmail.com"/>
    <s v="Kardos Lívia"/>
    <n v="2"/>
    <s v="Aktív"/>
    <n v="2"/>
    <n v="2"/>
    <s v="magyar"/>
    <m/>
  </r>
  <r>
    <s v="Szakály Diána Laura"/>
    <s v="HD2XK1"/>
    <s v="Aktív"/>
    <s v="anglisztika"/>
    <x v="0"/>
    <s v="anglisztika"/>
    <s v="BTK-BANGL-NBHU"/>
    <s v="Körmend"/>
    <s v="Vas"/>
    <s v="Szakály Diána Laura"/>
    <s v="Magyarország"/>
    <d v="2001-06-04T00:00:00"/>
    <s v="T161533/FI80798"/>
    <x v="0"/>
    <s v="Állami ösztöndíjas"/>
    <s v="2020/21/1"/>
    <s v="Nappali"/>
    <n v="9"/>
    <n v="1"/>
    <s v="2021/22/2"/>
    <n v="6"/>
    <s v="71601201026"/>
    <n v="6"/>
    <x v="0"/>
    <s v="a központi eljárásban magyarországi képzésre"/>
    <n v="450"/>
    <m/>
    <m/>
    <s v="Felvétel"/>
    <d v="2020-09-01T00:00:00"/>
    <s v="310804400268"/>
    <s v="BDPK-SEK"/>
    <s v="Neubauer Nikoletta"/>
    <d v="2020-07-23T00:00:00"/>
    <d v="2023-07-15T00:00:00"/>
    <n v="300000"/>
    <m/>
    <n v="2"/>
    <s v="Nő"/>
    <n v="300000"/>
    <s v="szakalydianalaura@gmail.com"/>
    <s v="Kovács Krisztina Irma"/>
    <n v="4"/>
    <s v="Aktív"/>
    <n v="4"/>
    <n v="4"/>
    <s v="magyar"/>
    <m/>
  </r>
  <r>
    <s v="Beretzky Adrienn"/>
    <s v="B0ESUL"/>
    <s v="Aktív"/>
    <s v="anglisztika"/>
    <x v="0"/>
    <s v="anglisztika"/>
    <s v="BTK-BANGL-NBHU"/>
    <s v="Sopron"/>
    <s v="Győr-Moson-Sopron"/>
    <s v="Beretzky Adrienn"/>
    <s v="Magyarország"/>
    <d v="2002-04-05T00:00:00"/>
    <s v="T169308/FI80798"/>
    <x v="0"/>
    <s v="Állami ösztöndíjas"/>
    <s v="2020/21/1"/>
    <s v="Nappali"/>
    <n v="11"/>
    <n v="1"/>
    <s v="2021/22/2"/>
    <n v="6"/>
    <s v="71637004105"/>
    <n v="6"/>
    <x v="0"/>
    <s v="a központi eljárásban magyarországi képzésre"/>
    <n v="404"/>
    <m/>
    <m/>
    <s v="Felvétel"/>
    <d v="2020-09-01T00:00:00"/>
    <s v="310804457219"/>
    <s v="BDPK-SEK"/>
    <s v="Neubauer Nikoletta"/>
    <d v="2020-07-23T00:00:00"/>
    <d v="2024-07-15T00:00:00"/>
    <n v="300000"/>
    <m/>
    <n v="1"/>
    <s v="Nő"/>
    <n v="300000"/>
    <s v="adriberetzky@gmail.com"/>
    <s v="Várhegyi Nikolette Nóra"/>
    <n v="2"/>
    <s v="Aktív"/>
    <n v="2"/>
    <n v="2"/>
    <s v="magyar"/>
    <m/>
  </r>
  <r>
    <s v="Karakai Kolos"/>
    <s v="AFAJ9T"/>
    <s v="Aktív"/>
    <s v="anglisztika"/>
    <x v="0"/>
    <s v="anglisztika"/>
    <s v="BTK-BANGL-NBHU"/>
    <s v="Győr"/>
    <s v="Győr-Moson-Sopron"/>
    <s v="Karakai Kolos"/>
    <s v="Magyarország"/>
    <d v="2001-09-16T00:00:00"/>
    <s v="T169651/FI80798"/>
    <x v="0"/>
    <s v="Állami ösztöndíjas"/>
    <s v="2020/21/1"/>
    <s v="Nappali"/>
    <n v="9"/>
    <n v="1"/>
    <s v="2021/22/2"/>
    <n v="6"/>
    <s v="71591186805"/>
    <n v="6"/>
    <x v="0"/>
    <s v="a központi eljárásban magyarországi képzésre"/>
    <n v="330"/>
    <m/>
    <m/>
    <s v="Felvétel"/>
    <d v="2020-09-01T00:00:00"/>
    <s v="310804442989"/>
    <s v="BDPK-SEK"/>
    <s v="Neubauer Nikoletta"/>
    <d v="2020-07-23T00:00:00"/>
    <d v="2023-07-15T00:00:00"/>
    <n v="300000"/>
    <m/>
    <n v="2"/>
    <s v="Férfi"/>
    <n v="300000"/>
    <s v="karakaikolos@gmail.com"/>
    <s v="Kóbor Ágnes"/>
    <n v="4"/>
    <s v="Aktív"/>
    <n v="4"/>
    <n v="4"/>
    <s v="magyar"/>
    <m/>
  </r>
  <r>
    <s v="Bödei Anna"/>
    <s v="O84PON"/>
    <s v="Aktív"/>
    <s v="anglisztika"/>
    <x v="0"/>
    <s v="anglisztika"/>
    <s v="BTK-BANGL-NBHU"/>
    <s v="Szombathely"/>
    <s v="Vas"/>
    <s v="Bödei Anna"/>
    <s v="Magyarország"/>
    <d v="2001-05-08T00:00:00"/>
    <s v="T162335/FI80798"/>
    <x v="0"/>
    <s v="Állami ösztöndíjas"/>
    <s v="2020/21/1"/>
    <s v="Nappali"/>
    <n v="9"/>
    <n v="1"/>
    <s v="2021/22/2"/>
    <n v="6"/>
    <s v="71466781097"/>
    <n v="6"/>
    <x v="0"/>
    <s v="a központi eljárásban magyarországi képzésre"/>
    <n v="368"/>
    <m/>
    <m/>
    <s v="Felvétel"/>
    <d v="2020-09-01T00:00:00"/>
    <s v="310804502030"/>
    <s v="BDPK-SEK"/>
    <s v="Neubauer Nikoletta"/>
    <d v="2020-07-23T00:00:00"/>
    <d v="2023-07-15T00:00:00"/>
    <n v="300000"/>
    <m/>
    <n v="2"/>
    <s v="Nő"/>
    <n v="300000"/>
    <s v="annabodei@gmail.com"/>
    <s v="Hazafi Anikó"/>
    <n v="4"/>
    <s v="Aktív"/>
    <n v="4"/>
    <n v="4"/>
    <s v="magyar"/>
    <m/>
  </r>
  <r>
    <s v="Szalontai Emese"/>
    <s v="H0RDYX"/>
    <s v="Passzív"/>
    <s v="anglisztika"/>
    <x v="0"/>
    <s v="anglisztika"/>
    <s v="BDPK-SEK-SALB-AN-LBHU"/>
    <s v="Gyula"/>
    <s v="Békés"/>
    <s v="Szalontai Emese"/>
    <s v="Magyarország"/>
    <d v="2001-06-25T00:00:00"/>
    <s v="T185492/FI80798"/>
    <x v="0"/>
    <s v="Állami ösztöndíjas"/>
    <s v="2021/22/1"/>
    <s v="Levelező"/>
    <n v="12"/>
    <m/>
    <m/>
    <n v="6"/>
    <s v="73669301524"/>
    <n v="6"/>
    <x v="0"/>
    <s v="a központi eljárásban magyarországi képzésre"/>
    <n v="450"/>
    <m/>
    <m/>
    <s v="Felvétel"/>
    <d v="2021-09-01T00:00:00"/>
    <s v="310814248871"/>
    <s v="BDPK-SEK"/>
    <s v="Neubauer Nikoletta"/>
    <d v="2021-07-23T00:00:00"/>
    <d v="2025-07-15T00:00:00"/>
    <n v="300000"/>
    <m/>
    <m/>
    <s v="Nő"/>
    <n v="300000"/>
    <s v="emese.szalontai25@gmail.com"/>
    <s v="Bajusz Erika"/>
    <n v="0"/>
    <s v="Passzív"/>
    <n v="0"/>
    <n v="0"/>
    <s v="magyar"/>
    <m/>
  </r>
  <r>
    <s v="Hancz Dominik Tamás"/>
    <s v="STYU4M"/>
    <s v="Aktív"/>
    <s v="anglisztika"/>
    <x v="0"/>
    <s v="anglisztika"/>
    <s v="BTK-BANGL-NBHU"/>
    <s v="Szombathely"/>
    <s v="Vas"/>
    <s v="Hancz Dominik Tamás"/>
    <s v="Magyarország"/>
    <d v="2000-03-31T00:00:00"/>
    <s v="T169089/FI80798"/>
    <x v="0"/>
    <s v="Állami ösztöndíjas"/>
    <s v="2020/21/1"/>
    <s v="Nappali"/>
    <n v="9"/>
    <n v="1"/>
    <s v="2021/22/2"/>
    <n v="6"/>
    <s v="72931948999"/>
    <n v="6"/>
    <x v="0"/>
    <s v="a központi eljárásban magyarországi képzésre"/>
    <n v="352"/>
    <m/>
    <m/>
    <s v="Felvétel"/>
    <d v="2020-09-01T00:00:00"/>
    <s v="310804761578"/>
    <s v="BDPK-SEK"/>
    <s v="Neubauer Nikoletta"/>
    <d v="2020-07-23T00:00:00"/>
    <d v="2023-07-15T00:00:00"/>
    <n v="300000"/>
    <m/>
    <n v="2"/>
    <s v="Férfi"/>
    <n v="300000"/>
    <s v="hancz.dominik31@gmail.com"/>
    <s v="Máté Viktória"/>
    <n v="4"/>
    <s v="Aktív"/>
    <n v="4"/>
    <n v="4"/>
    <s v="magyar"/>
    <m/>
  </r>
  <r>
    <s v="Olajos Dorottya"/>
    <s v="A214KE"/>
    <s v="Passzív"/>
    <s v="anglisztika"/>
    <x v="0"/>
    <s v="anglisztika"/>
    <s v="BTK-BANGL-NBHU"/>
    <s v="Sopron"/>
    <s v="Győr-Moson-Sopron"/>
    <s v="Olajos Dorottya"/>
    <s v="Magyarország"/>
    <d v="2001-12-01T00:00:00"/>
    <s v="T165649/FI80798"/>
    <x v="0"/>
    <s v="Állami ösztöndíjas"/>
    <s v="2020/21/1"/>
    <s v="Nappali"/>
    <n v="11"/>
    <n v="1"/>
    <s v="2020/21/2"/>
    <n v="6"/>
    <s v="71637045396"/>
    <n v="6"/>
    <x v="0"/>
    <s v="a központi eljárásban magyarországi képzésre"/>
    <n v="370"/>
    <m/>
    <m/>
    <s v="Felvétel"/>
    <d v="2020-09-01T00:00:00"/>
    <s v="310804142696"/>
    <s v="BDPK-SEK"/>
    <s v="Neubauer Nikoletta"/>
    <d v="2020-07-23T00:00:00"/>
    <d v="2025-01-31T00:00:00"/>
    <n v="300000"/>
    <m/>
    <n v="2"/>
    <s v="Nő"/>
    <n v="300000"/>
    <s v="olajosdorottya01@gmail.com"/>
    <s v="Bella Katalin"/>
    <n v="2"/>
    <s v="Passzív"/>
    <n v="2"/>
    <n v="2"/>
    <s v="magyar"/>
    <m/>
  </r>
  <r>
    <s v="Kiss Ákos"/>
    <s v="JDV39H"/>
    <s v="Aktív"/>
    <s v="anglisztika"/>
    <x v="0"/>
    <s v="anglisztika"/>
    <s v="BTK-BANGL-NBHU"/>
    <s v="Kapuvár"/>
    <s v="Győr-Moson-Sopron"/>
    <s v="Kiss Ákos"/>
    <s v="Magyarország"/>
    <d v="2000-09-04T00:00:00"/>
    <s v="T163888/FI80798"/>
    <x v="0"/>
    <s v="Állami ösztöndíjas"/>
    <s v="2020/21/1"/>
    <s v="Nappali"/>
    <n v="9"/>
    <n v="1"/>
    <s v="2021/22/2"/>
    <n v="6"/>
    <s v="74923643494"/>
    <n v="6"/>
    <x v="0"/>
    <s v="a központi eljárásban magyarországi képzésre"/>
    <n v="346"/>
    <m/>
    <m/>
    <s v="Felvétel"/>
    <d v="2020-09-01T00:00:00"/>
    <s v="310804639022"/>
    <s v="BDPK-SEK"/>
    <s v="Neubauer Nikoletta"/>
    <d v="2020-07-23T00:00:00"/>
    <d v="2024-01-31T00:00:00"/>
    <n v="300000"/>
    <m/>
    <n v="2"/>
    <s v="Férfi"/>
    <n v="300000"/>
    <s v="akoskiss2000@gmail.com"/>
    <s v="Orbán Livia Mária"/>
    <n v="4"/>
    <s v="Aktív"/>
    <n v="4"/>
    <n v="4"/>
    <s v="magyar"/>
    <m/>
  </r>
  <r>
    <s v="Horváth Laura Katalin"/>
    <s v="CM4Y8J"/>
    <s v="Passzív"/>
    <s v="anglisztika"/>
    <x v="0"/>
    <s v="anglisztika"/>
    <s v="BTK-BANGL-NBHU"/>
    <s v="Szombathely"/>
    <s v="Vas"/>
    <s v="Horváth Laura Katalin"/>
    <s v="Magyarország"/>
    <d v="2001-08-05T00:00:00"/>
    <s v="T165648/FI80798"/>
    <x v="0"/>
    <s v="Állami ösztöndíjas"/>
    <s v="2020/21/1"/>
    <s v="Nappali"/>
    <n v="11"/>
    <n v="1"/>
    <s v="2020/21/2"/>
    <n v="6"/>
    <s v="71593173978"/>
    <n v="6"/>
    <x v="0"/>
    <s v="a központi eljárásban magyarországi képzésre"/>
    <n v="373"/>
    <m/>
    <m/>
    <s v="Felvétel"/>
    <d v="2020-09-01T00:00:00"/>
    <s v="310804698481"/>
    <s v="BDPK-SEK"/>
    <s v="Neubauer Nikoletta"/>
    <d v="2020-07-23T00:00:00"/>
    <d v="2025-01-31T00:00:00"/>
    <n v="300000"/>
    <m/>
    <n v="2"/>
    <s v="Nő"/>
    <n v="300000"/>
    <s v="horvathlaura200108@gmail.com"/>
    <s v="Pajor Henrietta"/>
    <n v="2"/>
    <s v="Passzív"/>
    <m/>
    <n v="2"/>
    <s v="magyar"/>
    <m/>
  </r>
  <r>
    <s v="Kraszni Karina"/>
    <s v="GV46MZ"/>
    <s v="Aktív"/>
    <s v="anglisztika"/>
    <x v="0"/>
    <s v="anglisztika"/>
    <s v="BDPK-SEK-SALB-AN-LBHU"/>
    <s v="Celldömölk"/>
    <s v="Vas"/>
    <s v="Kraszni Karina"/>
    <s v="Magyarország"/>
    <d v="1999-04-18T00:00:00"/>
    <s v="T168244/FI80798"/>
    <x v="0"/>
    <s v="Állami ösztöndíjas"/>
    <s v="2020/21/1"/>
    <s v="Levelező"/>
    <n v="4"/>
    <n v="1"/>
    <s v="2021/22/2"/>
    <n v="6"/>
    <s v="79376942854"/>
    <n v="6"/>
    <x v="0"/>
    <s v="a központi eljárásban magyarországi képzésre"/>
    <n v="398"/>
    <m/>
    <m/>
    <s v="Felvétel"/>
    <d v="2020-09-01T00:00:00"/>
    <s v="310804174475"/>
    <s v="BDPK-SEK"/>
    <s v="Neubauer Nikoletta"/>
    <d v="2020-07-23T00:00:00"/>
    <d v="2024-01-31T00:00:00"/>
    <n v="300000"/>
    <m/>
    <n v="3"/>
    <s v="Nő"/>
    <n v="300000"/>
    <s v="kraszina@gmail.com"/>
    <s v="Ács Andrea"/>
    <n v="4"/>
    <s v="Aktív"/>
    <n v="4"/>
    <n v="4"/>
    <s v="magyar"/>
    <m/>
  </r>
  <r>
    <s v="Szepesi Richárd"/>
    <s v="G0XLLO"/>
    <s v="Aktív"/>
    <s v="anglisztika"/>
    <x v="0"/>
    <s v="anglisztika"/>
    <s v="BTK-BANGL-NBHU"/>
    <s v="Mosonmagyaróvár"/>
    <s v="Győr-Moson-Sopron"/>
    <s v="Szepesi Richárd"/>
    <s v="Magyarország"/>
    <d v="2000-10-02T00:00:00"/>
    <s v="T169126/FI80798"/>
    <x v="0"/>
    <s v="Állami ösztöndíjas"/>
    <s v="2020/21/1"/>
    <s v="Nappali"/>
    <n v="9"/>
    <n v="1"/>
    <s v="2021/22/2"/>
    <n v="6"/>
    <s v="74323993496"/>
    <n v="6"/>
    <x v="0"/>
    <s v="a központi eljárásban magyarországi képzésre"/>
    <n v="356"/>
    <m/>
    <m/>
    <s v="Felvétel"/>
    <d v="2020-09-01T00:00:00"/>
    <s v="310804506015"/>
    <s v="BDPK-SEK"/>
    <s v="Neubauer Nikoletta"/>
    <d v="2020-07-23T00:00:00"/>
    <d v="2023-07-15T00:00:00"/>
    <n v="300000"/>
    <m/>
    <n v="2"/>
    <s v="Férfi"/>
    <n v="300000"/>
    <s v="ricsi72@citromail.hu"/>
    <s v="Feller Szilvia"/>
    <n v="4"/>
    <s v="Aktív"/>
    <n v="4"/>
    <n v="4"/>
    <s v="magyar"/>
    <m/>
  </r>
  <r>
    <s v="Csunyi Ádám Csaba"/>
    <s v="Y01NYS"/>
    <s v="Aktív"/>
    <s v="anglisztika"/>
    <x v="0"/>
    <s v="anglisztika"/>
    <s v="BTK-BANGL-NBHU"/>
    <s v="Veszprém"/>
    <s v="Veszprém"/>
    <s v="Csunyi Ádám Csaba"/>
    <s v="Magyarország"/>
    <d v="1992-01-23T00:00:00"/>
    <s v="T167159/FI80798"/>
    <x v="0"/>
    <s v="Állami ösztöndíjas"/>
    <s v="2020/21/1"/>
    <s v="Nappali"/>
    <n v="9"/>
    <n v="1"/>
    <s v="2021/22/2"/>
    <n v="6"/>
    <s v="74817494609"/>
    <n v="6"/>
    <x v="0"/>
    <s v="a központi eljárásban magyarországi képzésre"/>
    <n v="358"/>
    <m/>
    <m/>
    <s v="Felvétel"/>
    <d v="2020-09-01T00:00:00"/>
    <s v="310804540659"/>
    <s v="BDPK-SEK"/>
    <s v="Neubauer Nikoletta"/>
    <d v="2020-07-23T00:00:00"/>
    <d v="2023-07-15T00:00:00"/>
    <n v="300000"/>
    <m/>
    <n v="2"/>
    <s v="Férfi"/>
    <n v="300000"/>
    <s v="csunyi.csaba@gmail.com"/>
    <s v="László Judit"/>
    <n v="4"/>
    <s v="Aktív"/>
    <n v="4"/>
    <n v="4"/>
    <s v="magyar"/>
    <m/>
  </r>
  <r>
    <s v="Zsidó Balázs Kornél"/>
    <s v="GHTZWF"/>
    <s v="Aktív"/>
    <s v="anglisztika"/>
    <x v="0"/>
    <s v="anglisztika"/>
    <s v="BTK-BANGL-NBHU"/>
    <s v="Szombathely"/>
    <s v="Vas"/>
    <s v="Zsidó Balázs Kornél"/>
    <s v="Magyarország"/>
    <d v="2001-01-10T00:00:00"/>
    <s v="T167914/FI80798"/>
    <x v="0"/>
    <s v="Állami ösztöndíjas"/>
    <s v="2020/21/1"/>
    <s v="Nappali"/>
    <n v="9"/>
    <n v="1"/>
    <s v="2021/22/2"/>
    <n v="6"/>
    <s v="73025176374"/>
    <n v="6"/>
    <x v="0"/>
    <s v="a központi eljárásban magyarországi képzésre"/>
    <n v="354"/>
    <m/>
    <m/>
    <s v="Felvétel"/>
    <d v="2020-09-01T00:00:00"/>
    <s v="310804551029"/>
    <s v="BDPK-SEK"/>
    <s v="Neubauer Nikoletta"/>
    <d v="2020-07-23T00:00:00"/>
    <d v="2023-07-15T00:00:00"/>
    <n v="300000"/>
    <m/>
    <n v="2"/>
    <s v="Férfi"/>
    <n v="300000"/>
    <s v="zs.balazsk@gmail.com"/>
    <s v="Vágner Andrea Rozália"/>
    <n v="4"/>
    <s v="Aktív"/>
    <n v="4"/>
    <n v="4"/>
    <s v="magyar"/>
    <m/>
  </r>
  <r>
    <s v="Csabina Alexa Liliána"/>
    <s v="YU7XQE"/>
    <s v="Aktív"/>
    <s v="anglisztika"/>
    <x v="0"/>
    <s v="anglisztika"/>
    <s v="BTK-BANGL-NBHU"/>
    <s v="Ajka"/>
    <s v="Veszprém"/>
    <s v="Csabina Alexa Liliána"/>
    <s v="Magyarország"/>
    <d v="2001-07-30T00:00:00"/>
    <s v="T162038/FI80798"/>
    <x v="0"/>
    <s v="Állami ösztöndíjas"/>
    <s v="2020/21/1"/>
    <s v="Nappali"/>
    <n v="9"/>
    <n v="1"/>
    <s v="2021/22/2"/>
    <n v="6"/>
    <s v="71626414811"/>
    <n v="6"/>
    <x v="0"/>
    <s v="a központi eljárásban magyarországi képzésre"/>
    <n v="360"/>
    <m/>
    <m/>
    <s v="Felvétel"/>
    <d v="2020-09-01T00:00:00"/>
    <s v="310804282880"/>
    <s v="BDPK-SEK"/>
    <s v="Neubauer Nikoletta"/>
    <d v="2020-07-23T00:00:00"/>
    <d v="2023-07-15T00:00:00"/>
    <n v="300000"/>
    <m/>
    <n v="2"/>
    <s v="Nő"/>
    <n v="300000"/>
    <s v="csabinaalexa@gmail.com"/>
    <s v="Bándics Veronika"/>
    <n v="4"/>
    <s v="Aktív"/>
    <n v="4"/>
    <n v="4"/>
    <s v="magyar"/>
    <m/>
  </r>
  <r>
    <s v="Parapatits Palóma Lilla"/>
    <s v="C4DKEZ"/>
    <s v="Aktív"/>
    <s v="anglisztika"/>
    <x v="0"/>
    <s v="anglisztika"/>
    <s v="BTK-BANGL-NBHU"/>
    <s v="Szombathely"/>
    <s v="Vas"/>
    <s v="Parapatits Palóma Lilla"/>
    <s v="Magyarország"/>
    <d v="2000-09-05T00:00:00"/>
    <s v="T164144/FI80798"/>
    <x v="0"/>
    <s v="Állami ösztöndíjas"/>
    <s v="2020/21/1"/>
    <s v="Nappali"/>
    <n v="8"/>
    <n v="1"/>
    <s v="2021/22/2"/>
    <n v="6"/>
    <s v="76172152132"/>
    <n v="6"/>
    <x v="0"/>
    <s v="a központi eljárásban magyarországi képzésre"/>
    <n v="358"/>
    <m/>
    <m/>
    <s v="Felvétel"/>
    <d v="2020-09-01T00:00:00"/>
    <s v="310804018003"/>
    <s v="BDPK-SEK"/>
    <s v="Neubauer Nikoletta"/>
    <d v="2020-07-23T00:00:00"/>
    <d v="2023-07-15T00:00:00"/>
    <n v="300000"/>
    <m/>
    <n v="2"/>
    <s v="Nő"/>
    <n v="300000"/>
    <s v="paloma.parapatits@gmail.com"/>
    <s v="Horváth Edina Ildikó"/>
    <n v="4"/>
    <s v="Aktív"/>
    <n v="4"/>
    <n v="4"/>
    <s v="magyar"/>
    <m/>
  </r>
  <r>
    <s v="Kovács Kristóf László"/>
    <s v="HXPA00"/>
    <s v="Aktív"/>
    <s v="anglisztika"/>
    <x v="0"/>
    <s v="anglisztika"/>
    <s v="BTK-BANGL-NBHU"/>
    <s v="Celldömölk"/>
    <s v="Vas"/>
    <s v="Kovács Kristóf László"/>
    <s v="Magyarország"/>
    <d v="2001-08-06T00:00:00"/>
    <s v="T162398/FI80798"/>
    <x v="0"/>
    <s v="Állami ösztöndíjas"/>
    <s v="2020/21/1"/>
    <s v="Nappali"/>
    <n v="9"/>
    <n v="1"/>
    <s v="2021/22/2"/>
    <n v="6"/>
    <s v="71626387984"/>
    <n v="6"/>
    <x v="0"/>
    <s v="a központi eljárásban magyarországi képzésre"/>
    <n v="364"/>
    <m/>
    <m/>
    <s v="Felvétel"/>
    <d v="2020-09-01T00:00:00"/>
    <s v="310804446311"/>
    <s v="BDPK-SEK"/>
    <s v="Neubauer Nikoletta"/>
    <d v="2020-07-23T00:00:00"/>
    <d v="2023-07-15T00:00:00"/>
    <n v="300000"/>
    <m/>
    <n v="2"/>
    <s v="Férfi"/>
    <n v="300000"/>
    <s v="anika76@freemail.hu"/>
    <s v="Tóth Anita Ildikó"/>
    <n v="4"/>
    <s v="Aktív"/>
    <n v="4"/>
    <n v="4"/>
    <s v="magyar"/>
    <m/>
  </r>
  <r>
    <s v="Tompa Franciska"/>
    <s v="K00BQA"/>
    <s v="Aktív"/>
    <s v="anglisztika"/>
    <x v="0"/>
    <s v="anglisztika"/>
    <s v="BTK-BANGL-NBHU"/>
    <s v="Keszthely"/>
    <s v="Zala"/>
    <s v="Tompa Franciska"/>
    <s v="Magyarország"/>
    <d v="2001-05-04T00:00:00"/>
    <s v="T164377/FI80798"/>
    <x v="0"/>
    <s v="Állami ösztöndíjas"/>
    <s v="2020/21/1"/>
    <s v="Nappali"/>
    <n v="9"/>
    <n v="1"/>
    <s v="2021/22/2"/>
    <n v="6"/>
    <s v="71623011725"/>
    <n v="6"/>
    <x v="0"/>
    <m/>
    <m/>
    <m/>
    <m/>
    <s v="Képzésváltás intézményen belül"/>
    <d v="2020-09-03T00:00:00"/>
    <m/>
    <s v="BDPK-SEK"/>
    <s v="Neubauer Nikoletta"/>
    <d v="2020-07-23T00:00:00"/>
    <d v="2023-07-15T00:00:00"/>
    <n v="300000"/>
    <m/>
    <n v="2"/>
    <s v="Nő"/>
    <n v="300000"/>
    <s v="tompafranci@gmail.com"/>
    <s v="Bertényi Beatrix"/>
    <n v="4"/>
    <s v="Aktív"/>
    <n v="4"/>
    <n v="4"/>
    <s v="magyar"/>
    <m/>
  </r>
  <r>
    <s v="Farkas Marcell"/>
    <s v="RD9QHM"/>
    <s v="Aktív"/>
    <s v="anglisztika"/>
    <x v="0"/>
    <s v="anglisztika"/>
    <s v="BTK-BANGL-NBHU"/>
    <s v="Körmend"/>
    <s v="Vas"/>
    <s v="Farkas Marcell"/>
    <s v="Magyarország"/>
    <d v="2000-02-28T00:00:00"/>
    <s v="T168663/FI80798"/>
    <x v="0"/>
    <s v="Állami ösztöndíjas"/>
    <s v="2020/21/1"/>
    <s v="Nappali"/>
    <n v="9"/>
    <n v="1"/>
    <s v="2021/22/2"/>
    <n v="6"/>
    <s v="71829410885"/>
    <n v="6"/>
    <x v="0"/>
    <s v="a központi eljárásban magyarországi képzésre"/>
    <n v="328"/>
    <m/>
    <m/>
    <s v="Felvétel"/>
    <d v="2020-09-01T00:00:00"/>
    <s v="310804662867"/>
    <s v="BDPK-SEK"/>
    <s v="Neubauer Nikoletta"/>
    <d v="2020-07-23T00:00:00"/>
    <d v="2023-07-15T00:00:00"/>
    <n v="300000"/>
    <m/>
    <n v="2"/>
    <s v="Férfi"/>
    <n v="300000"/>
    <s v="farkasmarcell6@gmail.com"/>
    <s v="Marton Erika"/>
    <n v="4"/>
    <s v="Aktív"/>
    <n v="4"/>
    <n v="4"/>
    <s v="magyar"/>
    <m/>
  </r>
  <r>
    <s v="Cser Dávid"/>
    <s v="ASM3XZ"/>
    <s v="Passzív"/>
    <s v="anglisztika"/>
    <x v="0"/>
    <s v="anglisztika"/>
    <s v="BTK-BANGL-NBHU"/>
    <s v="Budapest"/>
    <s v="Budapest"/>
    <s v="Cser Dávid"/>
    <s v="Magyarország"/>
    <d v="1999-06-06T00:00:00"/>
    <s v="T184120/FI80798"/>
    <x v="0"/>
    <s v="Állami ösztöndíjas"/>
    <s v="2021/22/1"/>
    <s v="Nappali"/>
    <n v="12"/>
    <n v="1"/>
    <s v="2021/22/1"/>
    <n v="6"/>
    <s v="79352229035"/>
    <n v="6"/>
    <x v="0"/>
    <s v="a központi eljárásban magyarországi képzésre"/>
    <n v="340"/>
    <m/>
    <m/>
    <s v="Felvétel"/>
    <d v="2021-09-01T00:00:00"/>
    <s v="310814006345"/>
    <s v="BDPK-SEK"/>
    <s v="Neubauer Nikoletta"/>
    <d v="2021-07-23T00:00:00"/>
    <d v="2025-07-15T00:00:00"/>
    <n v="300000"/>
    <m/>
    <n v="1"/>
    <s v="Férfi"/>
    <n v="300000"/>
    <s v="cserdavid@gmail.hu"/>
    <s v="Varga Róza"/>
    <n v="1"/>
    <s v="Passzív"/>
    <m/>
    <n v="1"/>
    <s v="magyar"/>
    <m/>
  </r>
  <r>
    <s v="Pintér Klaudia"/>
    <s v="E88C5D"/>
    <s v="Aktív"/>
    <s v="anglisztika"/>
    <x v="0"/>
    <s v="anglisztika"/>
    <s v="BTK-BANGL-NBHU"/>
    <s v="Körmend"/>
    <s v="Vas"/>
    <s v="Pintér Klaudia"/>
    <s v="Magyarország"/>
    <d v="2001-01-21T00:00:00"/>
    <s v="T147635/FI80798"/>
    <x v="0"/>
    <s v="Állami ösztöndíjas"/>
    <s v="2019/20/1"/>
    <s v="Nappali"/>
    <n v="7"/>
    <n v="1"/>
    <s v="2021/22/2"/>
    <n v="6"/>
    <s v="73712947091"/>
    <n v="6"/>
    <x v="0"/>
    <s v="a központi eljárásban magyarországi képzésre"/>
    <n v="417"/>
    <m/>
    <m/>
    <s v="Felvétel"/>
    <d v="2019-09-01T00:00:00"/>
    <s v="310982339361"/>
    <s v="BDPK-SEK"/>
    <s v="Neubauer Nikoletta"/>
    <d v="2019-07-24T00:00:00"/>
    <d v="2022-07-15T00:00:00"/>
    <n v="300000"/>
    <m/>
    <n v="5"/>
    <s v="Nő"/>
    <n v="300000"/>
    <s v="klaucica0121@freemail.hu"/>
    <s v="Benkő Ildikó"/>
    <n v="6"/>
    <s v="Aktív"/>
    <n v="6"/>
    <n v="6"/>
    <s v="magyar"/>
    <m/>
  </r>
  <r>
    <s v="Tirpák Dorina"/>
    <s v="DZQRC2"/>
    <s v="Aktív"/>
    <s v="anglisztika"/>
    <x v="0"/>
    <s v="anglisztika"/>
    <s v="BTK-BANGL-NBHU"/>
    <s v="Sopron"/>
    <s v="Győr-Moson-Sopron"/>
    <s v="Tirpák Dorina"/>
    <s v="Magyarország"/>
    <d v="2000-07-02T00:00:00"/>
    <s v="T161481/FI80798"/>
    <x v="0"/>
    <s v="Állami ösztöndíjas"/>
    <s v="2020/21/1"/>
    <s v="Nappali"/>
    <n v="9"/>
    <n v="1"/>
    <s v="2021/22/2"/>
    <n v="6"/>
    <s v="75487465292"/>
    <n v="6"/>
    <x v="0"/>
    <s v="a központi eljárásban magyarországi képzésre"/>
    <n v="367"/>
    <m/>
    <m/>
    <s v="Felvétel"/>
    <d v="2020-09-01T00:00:00"/>
    <s v="310804008582"/>
    <s v="BDPK-SEK"/>
    <s v="Neubauer Nikoletta"/>
    <d v="2020-07-23T00:00:00"/>
    <d v="2023-07-15T00:00:00"/>
    <n v="300000"/>
    <m/>
    <n v="2"/>
    <s v="Nő"/>
    <n v="300000"/>
    <s v="dorinatirpak@gmail.com"/>
    <s v="Küzmös Ilona"/>
    <n v="4"/>
    <s v="Aktív"/>
    <n v="4"/>
    <n v="4"/>
    <s v="magyar"/>
    <m/>
  </r>
  <r>
    <s v="Fekete Kristóf"/>
    <s v="ABAA25"/>
    <s v="Aktív"/>
    <s v="anglisztika"/>
    <x v="0"/>
    <s v="anglisztika"/>
    <s v="BTK-BANGL-NBHU"/>
    <s v="Szombathely"/>
    <s v="Vas"/>
    <s v="Fekete Kristóf"/>
    <s v="Magyarország"/>
    <d v="2001-05-21T00:00:00"/>
    <s v="T167463/FI80798"/>
    <x v="0"/>
    <s v="Állami ösztöndíjas"/>
    <s v="2020/21/1"/>
    <s v="Nappali"/>
    <n v="9"/>
    <n v="1"/>
    <s v="2021/22/2"/>
    <n v="6"/>
    <s v="71465037701"/>
    <n v="6"/>
    <x v="0"/>
    <s v="a központi eljárásban magyarországi képzésre"/>
    <n v="400"/>
    <m/>
    <m/>
    <s v="Felvétel"/>
    <d v="2020-09-01T00:00:00"/>
    <s v="310804248980"/>
    <s v="BDPK-SEK"/>
    <s v="Neubauer Nikoletta"/>
    <d v="2020-07-23T00:00:00"/>
    <d v="2023-07-15T00:00:00"/>
    <n v="300000"/>
    <m/>
    <n v="2"/>
    <s v="Férfi"/>
    <n v="300000"/>
    <s v="feki200105@gmail.com"/>
    <s v="Varga Gabriella"/>
    <n v="4"/>
    <s v="Aktív"/>
    <n v="4"/>
    <n v="4"/>
    <s v="magyar"/>
    <m/>
  </r>
  <r>
    <s v="Kiss Tímea Dóra"/>
    <s v="HWJ6S0"/>
    <s v="Aktív"/>
    <s v="anglisztika"/>
    <x v="0"/>
    <s v="anglisztika"/>
    <s v="BDPK-SEK-SALB-AN-LBHU"/>
    <s v="Gyula"/>
    <s v="Békés"/>
    <s v="Kiss Tímea Dóra"/>
    <s v="Magyarország"/>
    <d v="1984-07-20T00:00:00"/>
    <s v="T162141/FI80798"/>
    <x v="0"/>
    <s v="Állami ösztöndíjas"/>
    <s v="2020/21/1"/>
    <s v="Levelező"/>
    <n v="7"/>
    <n v="1"/>
    <s v="2021/22/2"/>
    <n v="6"/>
    <s v="77257716952"/>
    <n v="6"/>
    <x v="0"/>
    <s v="a központi eljárásban magyarországi képzésre"/>
    <n v="464"/>
    <m/>
    <m/>
    <s v="Felvétel"/>
    <d v="2020-09-01T00:00:00"/>
    <s v="310804393851"/>
    <s v="BDPK-SEK"/>
    <s v="Neubauer Nikoletta"/>
    <d v="2020-07-23T00:00:00"/>
    <d v="2023-07-15T00:00:00"/>
    <n v="300000"/>
    <m/>
    <n v="3"/>
    <s v="Nő"/>
    <n v="300000"/>
    <s v="mithyke@gmail.com"/>
    <s v="Hauber Krisztina Anna"/>
    <n v="4"/>
    <s v="Aktív"/>
    <n v="4"/>
    <n v="4"/>
    <s v="magyar"/>
    <m/>
  </r>
  <r>
    <s v="Parrag Anita"/>
    <s v="ISHA69"/>
    <s v="Aktív"/>
    <s v="anglisztika"/>
    <x v="0"/>
    <s v="anglisztika"/>
    <s v="BTK-BANGL-NBHU"/>
    <s v="Csorna"/>
    <s v="Győr-Moson-Sopron"/>
    <s v="Parrag Anita"/>
    <s v="Magyarország"/>
    <d v="2000-02-01T00:00:00"/>
    <s v="T161970/FI80798"/>
    <x v="0"/>
    <s v="Állami ösztöndíjas"/>
    <s v="2020/21/1"/>
    <s v="Nappali"/>
    <n v="9"/>
    <n v="1"/>
    <s v="2021/22/2"/>
    <n v="6"/>
    <s v="74868194919"/>
    <n v="6"/>
    <x v="0"/>
    <s v="a központi eljárásban magyarországi képzésre"/>
    <n v="344"/>
    <m/>
    <m/>
    <s v="Felvétel"/>
    <d v="2020-09-01T00:00:00"/>
    <s v="310804705492"/>
    <s v="BDPK-SEK"/>
    <s v="Neubauer Nikoletta"/>
    <d v="2020-07-23T00:00:00"/>
    <d v="2023-07-15T00:00:00"/>
    <n v="300000"/>
    <m/>
    <n v="2"/>
    <s v="Nő"/>
    <n v="300000"/>
    <s v="parraganita10@gmail.com"/>
    <s v="Kertész Szilvia"/>
    <n v="4"/>
    <s v="Aktív"/>
    <n v="4"/>
    <n v="4"/>
    <s v="magyar"/>
    <m/>
  </r>
  <r>
    <s v="Tóth Veronika"/>
    <s v="JC4IRP"/>
    <s v="Aktív"/>
    <s v="anglisztika"/>
    <x v="0"/>
    <s v="anglisztika"/>
    <s v="BTK-BANGL-NBHU"/>
    <s v="Sopron"/>
    <s v="Győr-Moson-Sopron"/>
    <s v="Tóth Veronika"/>
    <s v="Magyarország"/>
    <d v="2002-03-30T00:00:00"/>
    <s v="T161765/FI80798"/>
    <x v="0"/>
    <s v="Állami ösztöndíjas"/>
    <s v="2020/21/1"/>
    <s v="Nappali"/>
    <n v="9"/>
    <n v="1"/>
    <s v="2021/22/2"/>
    <n v="6"/>
    <s v="71521366871"/>
    <n v="6"/>
    <x v="0"/>
    <s v="a központi eljárásban magyarországi képzésre"/>
    <n v="370"/>
    <m/>
    <m/>
    <s v="Felvétel"/>
    <d v="2020-09-01T00:00:00"/>
    <s v="310804729278"/>
    <s v="BDPK-SEK"/>
    <s v="Neubauer Nikoletta"/>
    <d v="2020-07-23T00:00:00"/>
    <d v="2023-07-15T00:00:00"/>
    <n v="300000"/>
    <m/>
    <n v="2"/>
    <s v="Nő"/>
    <n v="300000"/>
    <s v="tothvercsi13@gmail.com"/>
    <s v="Bokán Andrea"/>
    <n v="4"/>
    <s v="Aktív"/>
    <n v="4"/>
    <n v="4"/>
    <s v="magyar"/>
    <m/>
  </r>
  <r>
    <s v="Kucsora Tamás Bálint"/>
    <s v="I62D5L"/>
    <s v="Aktív"/>
    <s v="anglisztika"/>
    <x v="0"/>
    <s v="anglisztika"/>
    <s v="BDPK-SEK-SALB-AN-LBHU"/>
    <s v="Szeged"/>
    <s v="Csongrád"/>
    <s v="Kucsora Tamás Bálint"/>
    <s v="Magyarország"/>
    <d v="1994-11-04T00:00:00"/>
    <s v="T171325/FI80798"/>
    <x v="0"/>
    <s v="Állami ösztöndíjas"/>
    <s v="2020/21/1"/>
    <s v="Levelező"/>
    <n v="1"/>
    <n v="1"/>
    <s v="2021/22/2"/>
    <n v="6"/>
    <s v="73317431980"/>
    <n v="6"/>
    <x v="0"/>
    <s v="a központi eljárásban magyarországi képzésre"/>
    <n v="327"/>
    <m/>
    <m/>
    <s v="Felvétel"/>
    <d v="2020-09-01T00:00:00"/>
    <s v="310804833047"/>
    <s v="BDPK-SEK"/>
    <s v="Neubauer Nikoletta"/>
    <d v="2020-07-23T00:00:00"/>
    <d v="2023-07-15T00:00:00"/>
    <n v="300000"/>
    <m/>
    <n v="1"/>
    <s v="Férfi"/>
    <n v="300000"/>
    <s v="kucsoratomi@gmail.com"/>
    <s v="Vaszily Zsuzsanna"/>
    <n v="4"/>
    <s v="Aktív"/>
    <n v="2"/>
    <n v="4"/>
    <s v="magyar"/>
    <m/>
  </r>
  <r>
    <s v="Kaponyás Nóra"/>
    <s v="KZLGAO"/>
    <s v="Aktív"/>
    <s v="anglisztika"/>
    <x v="0"/>
    <s v="anglisztika"/>
    <s v="BTK-BANGL-NBHU"/>
    <s v="Szolnok"/>
    <s v="Jász-Nagykun-Szolnok"/>
    <s v="Kaponyás Nóra"/>
    <s v="Magyarország"/>
    <d v="2001-03-28T00:00:00"/>
    <s v="T149504/FI80798"/>
    <x v="0"/>
    <s v="Állami ösztöndíjas"/>
    <s v="2019/20/1"/>
    <s v="Nappali"/>
    <n v="9"/>
    <n v="1"/>
    <s v="2021/22/2"/>
    <n v="6"/>
    <s v="79123379380"/>
    <n v="6"/>
    <x v="0"/>
    <s v="a központi eljárásban magyarországi képzésre"/>
    <n v="414"/>
    <m/>
    <m/>
    <s v="Felvétel"/>
    <d v="2019-09-01T00:00:00"/>
    <s v="310982533542"/>
    <s v="BDPK-SEK"/>
    <s v="Neubauer Nikoletta"/>
    <d v="2019-07-24T00:00:00"/>
    <d v="2024-01-31T00:00:00"/>
    <n v="300000"/>
    <m/>
    <n v="3"/>
    <s v="Nő"/>
    <n v="300000"/>
    <s v="noracska2001@gmail.com"/>
    <s v="Kaponyás Gabriella"/>
    <n v="4"/>
    <s v="Aktív"/>
    <n v="4"/>
    <n v="4"/>
    <s v="magyar"/>
    <m/>
  </r>
  <r>
    <s v="Nagy Ákos"/>
    <s v="RWXYJV"/>
    <s v="Aktív"/>
    <s v="anglisztika"/>
    <x v="0"/>
    <s v="anglisztika"/>
    <s v="BTK-BANGL-NBHU"/>
    <s v="Budapest"/>
    <s v="Budapest"/>
    <s v="Nagy Ákos"/>
    <s v="Magyarország"/>
    <d v="2000-11-06T00:00:00"/>
    <s v="T149778/FI80798"/>
    <x v="0"/>
    <s v="Állami ösztöndíjas"/>
    <s v="2019/20/1"/>
    <s v="Nappali"/>
    <n v="7"/>
    <n v="1"/>
    <s v="2021/22/2"/>
    <n v="6"/>
    <s v="71894514345"/>
    <n v="6"/>
    <x v="0"/>
    <s v="a központi eljárásban magyarországi képzésre"/>
    <n v="424"/>
    <m/>
    <m/>
    <s v="Felvétel"/>
    <d v="2019-09-01T00:00:00"/>
    <s v="310982148721"/>
    <s v="BDPK-SEK"/>
    <s v="Neubauer Nikoletta"/>
    <d v="2019-07-24T00:00:00"/>
    <d v="2022-07-15T00:00:00"/>
    <n v="300000"/>
    <m/>
    <n v="5"/>
    <s v="Férfi"/>
    <n v="300000"/>
    <s v="akos.nagy2018@gmail.com"/>
    <s v="Lovasi-Kovács Andrea"/>
    <n v="6"/>
    <s v="Aktív"/>
    <n v="6"/>
    <n v="6"/>
    <s v="magyar"/>
    <m/>
  </r>
  <r>
    <s v="Pintér Mónika Antónia"/>
    <s v="FOZWZE"/>
    <s v="Aktív"/>
    <s v="anglisztika"/>
    <x v="0"/>
    <s v="anglisztika"/>
    <s v="BTK-BANGL-NBHU"/>
    <s v="Szombathely"/>
    <s v="Vas"/>
    <s v="Pintér Mónika Antónia"/>
    <s v="Magyarország"/>
    <d v="2002-05-21T00:00:00"/>
    <s v="T186298/FI80798"/>
    <x v="0"/>
    <s v="Állami ösztöndíjas"/>
    <s v="2021/22/1"/>
    <s v="Nappali"/>
    <n v="11"/>
    <n v="1"/>
    <s v="2021/22/2"/>
    <n v="6"/>
    <s v="71593168163"/>
    <n v="6"/>
    <x v="0"/>
    <s v="a központi eljárásban magyarországi képzésre"/>
    <n v="378"/>
    <m/>
    <m/>
    <s v="Felvétel"/>
    <d v="2021-09-01T00:00:00"/>
    <s v="310814438357"/>
    <s v="BDPK-SEK"/>
    <s v="Neubauer Nikoletta"/>
    <d v="2021-07-23T00:00:00"/>
    <d v="2024-07-15T00:00:00"/>
    <n v="300000"/>
    <m/>
    <n v="1"/>
    <s v="Nő"/>
    <n v="300000"/>
    <s v="pintermoni8@gmail.com"/>
    <s v="Oláh Mónika"/>
    <n v="2"/>
    <s v="Aktív"/>
    <n v="2"/>
    <n v="2"/>
    <s v="magyar"/>
    <m/>
  </r>
  <r>
    <s v="Laki Vanessza"/>
    <s v="DYR3CO"/>
    <s v="Aktív"/>
    <s v="anglisztika"/>
    <x v="0"/>
    <s v="anglisztika"/>
    <s v="BDPK-SEK-SALB-AN-LBHU"/>
    <s v="Szombathely"/>
    <s v="Vas"/>
    <s v="Laki Vanessza"/>
    <s v="Magyarország"/>
    <d v="2001-09-09T00:00:00"/>
    <s v="T189805/FI80798"/>
    <x v="0"/>
    <s v="Állami ösztöndíjas"/>
    <s v="2021/22/1"/>
    <s v="Levelező"/>
    <n v="11"/>
    <n v="1"/>
    <s v="2021/22/2"/>
    <n v="6"/>
    <s v="71467732471"/>
    <n v="6"/>
    <x v="0"/>
    <s v="a központi eljárásban magyarországi képzésre"/>
    <n v="368"/>
    <m/>
    <m/>
    <s v="Felvétel"/>
    <d v="2021-09-01T00:00:00"/>
    <s v="310814653294"/>
    <s v="BDPK-SEK"/>
    <s v="Neubauer Nikoletta"/>
    <d v="2021-07-23T00:00:00"/>
    <d v="2024-07-15T00:00:00"/>
    <n v="300000"/>
    <m/>
    <n v="1"/>
    <s v="Nő"/>
    <n v="300000"/>
    <s v="lakivani22@gmail.com"/>
    <s v="Molnár Anikó Mária"/>
    <n v="2"/>
    <s v="Aktív"/>
    <n v="2"/>
    <n v="2"/>
    <s v="magyar"/>
    <m/>
  </r>
  <r>
    <s v="Várady Gábor János"/>
    <s v="SH29ON"/>
    <s v="Aktív"/>
    <s v="anglisztika"/>
    <x v="0"/>
    <s v="anglisztika"/>
    <s v="BTK-BANGL-NBHU"/>
    <s v="Szombathely"/>
    <s v="Vas"/>
    <s v="Várady Gábor János"/>
    <s v="Magyarország"/>
    <d v="2001-09-14T00:00:00"/>
    <s v="T186822/FI80798"/>
    <x v="0"/>
    <s v="Állami ösztöndíjas"/>
    <s v="2021/22/1"/>
    <s v="Nappali"/>
    <n v="11"/>
    <n v="1"/>
    <s v="2021/22/2"/>
    <n v="6"/>
    <s v="71603738078"/>
    <n v="6"/>
    <x v="0"/>
    <s v="a központi eljárásban magyarországi képzésre"/>
    <n v="348"/>
    <m/>
    <m/>
    <s v="Felvétel"/>
    <d v="2021-09-01T00:00:00"/>
    <s v="310814405745"/>
    <s v="BDPK-SEK"/>
    <s v="Neubauer Nikoletta"/>
    <d v="2021-07-23T00:00:00"/>
    <d v="2024-07-15T00:00:00"/>
    <n v="300000"/>
    <m/>
    <n v="1"/>
    <s v="Férfi"/>
    <n v="300000"/>
    <s v="varadygabor700@gmail.com"/>
    <s v="Frank Anna"/>
    <n v="2"/>
    <s v="Aktív"/>
    <n v="2"/>
    <n v="2"/>
    <s v="magyar"/>
    <m/>
  </r>
  <r>
    <s v="Kurucz Anna Cseperke"/>
    <s v="D7CVBR"/>
    <s v="Aktív"/>
    <s v="anglisztika"/>
    <x v="0"/>
    <s v="anglisztika"/>
    <s v="BTK-BANGL-NBHU"/>
    <s v="Győr"/>
    <s v="Győr-Moson-Sopron"/>
    <s v="Kurucz Anna Cseperke"/>
    <s v="Magyarország"/>
    <d v="2002-09-08T00:00:00"/>
    <s v="T180673/FI80798"/>
    <x v="0"/>
    <s v="Állami ösztöndíjas"/>
    <s v="2021/22/1"/>
    <s v="Nappali"/>
    <n v="11"/>
    <n v="1"/>
    <s v="2021/22/2"/>
    <n v="6"/>
    <s v="71765667523"/>
    <n v="6"/>
    <x v="0"/>
    <s v="a központi eljárásban magyarországi képzésre"/>
    <n v="451"/>
    <m/>
    <m/>
    <s v="Felvétel"/>
    <d v="2021-09-01T00:00:00"/>
    <s v="310814380542"/>
    <s v="BDPK-SEK"/>
    <s v="Neubauer Nikoletta"/>
    <d v="2021-07-23T00:00:00"/>
    <d v="2024-07-15T00:00:00"/>
    <n v="300000"/>
    <m/>
    <n v="1"/>
    <s v="Nő"/>
    <n v="300000"/>
    <s v="ekrepesc1342@gmail.com"/>
    <s v="Szücs Renáta"/>
    <n v="2"/>
    <s v="Aktív"/>
    <n v="2"/>
    <n v="2"/>
    <s v="magyar"/>
    <m/>
  </r>
  <r>
    <s v="Tóth Barnabás"/>
    <s v="A2OQ35"/>
    <s v="Aktív"/>
    <s v="anglisztika"/>
    <x v="0"/>
    <s v="anglisztika"/>
    <s v="BTK-BANGL-NBHU"/>
    <s v="Sopron"/>
    <s v="Győr-Moson-Sopron"/>
    <s v="Tóth Barnabás"/>
    <s v="Magyarország"/>
    <d v="2002-04-30T00:00:00"/>
    <s v="T181273/FI80798"/>
    <x v="0"/>
    <s v="Állami ösztöndíjas"/>
    <s v="2021/22/1"/>
    <s v="Nappali"/>
    <n v="11"/>
    <n v="1"/>
    <s v="2021/22/2"/>
    <n v="6"/>
    <s v="71761161177"/>
    <n v="6"/>
    <x v="0"/>
    <s v="a központi eljárásban magyarországi képzésre"/>
    <n v="400"/>
    <m/>
    <m/>
    <s v="Felvétel"/>
    <d v="2021-09-01T00:00:00"/>
    <s v="310815038172"/>
    <s v="BDPK-SEK"/>
    <s v="Neubauer Nikoletta"/>
    <d v="2021-07-23T00:00:00"/>
    <d v="2024-07-15T00:00:00"/>
    <n v="300000"/>
    <m/>
    <n v="1"/>
    <s v="Férfi"/>
    <n v="300000"/>
    <s v="tothbarnus0430@gmail.com"/>
    <s v="Kovács Erika"/>
    <n v="2"/>
    <s v="Aktív"/>
    <n v="2"/>
    <n v="2"/>
    <s v="magyar"/>
    <m/>
  </r>
  <r>
    <s v="Vincze Ramóna"/>
    <s v="IGN16T"/>
    <s v="Aktív"/>
    <s v="anglisztika"/>
    <x v="0"/>
    <s v="anglisztika"/>
    <s v="BDPK-SEK-SALB-AN-LBHU"/>
    <s v="Szombathely"/>
    <s v="Vas"/>
    <s v="Vincze Ramóna"/>
    <s v="Magyarország"/>
    <d v="2002-05-09T00:00:00"/>
    <s v="T183089/FI80798"/>
    <x v="0"/>
    <s v="Állami ösztöndíjas"/>
    <s v="2021/22/1"/>
    <s v="Levelező"/>
    <n v="9"/>
    <n v="1"/>
    <s v="2021/22/2"/>
    <n v="6"/>
    <s v="71595557901"/>
    <n v="6"/>
    <x v="0"/>
    <s v="a központi eljárásban magyarországi képzésre"/>
    <n v="355"/>
    <m/>
    <m/>
    <s v="Felvétel"/>
    <d v="2021-09-01T00:00:00"/>
    <s v="310814462332"/>
    <s v="BDPK-SEK"/>
    <s v="Neubauer Nikoletta"/>
    <d v="2021-07-23T00:00:00"/>
    <d v="2024-07-15T00:00:00"/>
    <n v="300000"/>
    <m/>
    <n v="1"/>
    <s v="Nő"/>
    <n v="300000"/>
    <s v="vinczeramona12@gmail.com"/>
    <s v="Hetesi Hajnalka"/>
    <n v="2"/>
    <s v="Aktív"/>
    <n v="2"/>
    <n v="2"/>
    <s v="magyar"/>
    <m/>
  </r>
  <r>
    <s v="Viola Veronika"/>
    <s v="U5QZTX"/>
    <s v="Aktív"/>
    <s v="anglisztika"/>
    <x v="0"/>
    <s v="anglisztika"/>
    <s v="BDPK-SEK-SALB-AN-LBHU"/>
    <s v="Szolnok"/>
    <s v="Jász-Nagykun-Szolnok"/>
    <s v="Viola Veronika"/>
    <s v="Magyarország"/>
    <d v="2001-05-13T00:00:00"/>
    <s v="T181657/FI80798"/>
    <x v="0"/>
    <s v="Állami ösztöndíjas"/>
    <s v="2021/22/1"/>
    <s v="Levelező"/>
    <n v="11"/>
    <n v="1"/>
    <s v="2021/22/2"/>
    <n v="6"/>
    <s v="71609553867"/>
    <n v="6"/>
    <x v="0"/>
    <s v="a központi eljárásban magyarországi képzésre"/>
    <n v="414"/>
    <m/>
    <m/>
    <s v="Felvétel"/>
    <d v="2021-09-01T00:00:00"/>
    <s v="310814135292"/>
    <s v="BDPK-SEK"/>
    <s v="Neubauer Nikoletta"/>
    <d v="2021-07-23T00:00:00"/>
    <d v="2024-07-15T00:00:00"/>
    <n v="300000"/>
    <m/>
    <n v="1"/>
    <s v="Nő"/>
    <n v="300000"/>
    <s v="veronika.viola13@gmail.com"/>
    <s v="Végvári Erika"/>
    <n v="2"/>
    <s v="Aktív"/>
    <n v="2"/>
    <n v="2"/>
    <s v="magyar"/>
    <m/>
  </r>
  <r>
    <s v="Rada Anna Emma"/>
    <s v="OOAC9M"/>
    <s v="Aktív"/>
    <s v="anglisztika"/>
    <x v="0"/>
    <s v="anglisztika"/>
    <s v="BTK-BANGL-NBHU"/>
    <s v="Zalaegerszeg"/>
    <s v="Zala"/>
    <s v="Rada Anna Emma"/>
    <s v="Magyarország"/>
    <d v="2002-02-25T00:00:00"/>
    <s v="T190844/FI80798"/>
    <x v="0"/>
    <s v="Állami ösztöndíjas"/>
    <s v="2021/22/1"/>
    <s v="Nappali"/>
    <n v="11"/>
    <n v="1"/>
    <s v="2021/22/2"/>
    <n v="6"/>
    <s v="71611935492"/>
    <n v="6"/>
    <x v="0"/>
    <s v="a központi eljárásban magyarországi képzésre"/>
    <n v="340"/>
    <m/>
    <m/>
    <s v="Felvétel"/>
    <d v="2021-09-01T00:00:00"/>
    <s v="310814405976"/>
    <s v="BDPK-SEK"/>
    <s v="Neubauer Nikoletta"/>
    <d v="2021-07-23T00:00:00"/>
    <d v="2024-07-15T00:00:00"/>
    <n v="300000"/>
    <m/>
    <n v="1"/>
    <s v="Nő"/>
    <n v="300000"/>
    <s v="radaannaemma@gmail.com"/>
    <s v="Tüske Krisztina"/>
    <n v="2"/>
    <s v="Aktív"/>
    <n v="2"/>
    <n v="2"/>
    <s v="magyar"/>
    <m/>
  </r>
  <r>
    <s v="Mohari Márk"/>
    <s v="DW5PGJ"/>
    <s v="Aktív"/>
    <s v="anglisztika"/>
    <x v="0"/>
    <s v="anglisztika"/>
    <s v="BTK-BANGL-NBHU"/>
    <s v="Sopron"/>
    <s v="Győr-Moson-Sopron"/>
    <s v="Mohari Márk"/>
    <s v="Magyarország"/>
    <d v="2002-02-10T00:00:00"/>
    <s v="T180701/FI80798"/>
    <x v="0"/>
    <s v="Állami ösztöndíjas"/>
    <s v="2021/22/1"/>
    <s v="Nappali"/>
    <n v="11"/>
    <n v="1"/>
    <s v="2021/22/2"/>
    <n v="6"/>
    <s v="71764577190"/>
    <n v="6"/>
    <x v="0"/>
    <s v="a központi eljárásban magyarországi képzésre"/>
    <n v="408"/>
    <m/>
    <m/>
    <s v="Felvétel"/>
    <d v="2021-09-01T00:00:00"/>
    <s v="310814498211"/>
    <s v="BDPK-SEK"/>
    <s v="Neubauer Nikoletta"/>
    <d v="2021-07-23T00:00:00"/>
    <d v="2024-07-15T00:00:00"/>
    <n v="300000"/>
    <m/>
    <n v="1"/>
    <s v="Férfi"/>
    <n v="300000"/>
    <s v="markosz2002@gmail.com"/>
    <s v="Tóth Hedvig"/>
    <n v="2"/>
    <s v="Aktív"/>
    <n v="2"/>
    <n v="2"/>
    <s v="magyar"/>
    <m/>
  </r>
  <r>
    <s v="Gira Milán"/>
    <s v="U4BB7M"/>
    <s v="Aktív"/>
    <s v="anglisztika"/>
    <x v="0"/>
    <s v="anglisztika"/>
    <s v="BTK-BANGL-NBHU"/>
    <s v="Körmend"/>
    <s v="Vas"/>
    <s v="Gira Milán"/>
    <s v="Magyarország"/>
    <d v="2001-09-20T00:00:00"/>
    <s v="T181446/FI80798"/>
    <x v="0"/>
    <s v="Állami ösztöndíjas"/>
    <s v="2021/22/1"/>
    <s v="Nappali"/>
    <n v="11"/>
    <n v="1"/>
    <s v="2021/22/2"/>
    <n v="6"/>
    <s v="71467793029"/>
    <n v="6"/>
    <x v="0"/>
    <s v="a központi eljárásban magyarországi képzésre"/>
    <n v="402"/>
    <m/>
    <m/>
    <s v="Felvétel"/>
    <d v="2021-09-01T00:00:00"/>
    <s v="310814513829"/>
    <s v="BDPK-SEK"/>
    <s v="Neubauer Nikoletta"/>
    <d v="2021-07-23T00:00:00"/>
    <d v="2024-07-15T00:00:00"/>
    <n v="300000"/>
    <m/>
    <n v="1"/>
    <s v="Férfi"/>
    <n v="300000"/>
    <s v="giramilan2001@gmail.com"/>
    <s v="Gira Ágnes Bernadett"/>
    <n v="2"/>
    <s v="Aktív"/>
    <n v="2"/>
    <n v="2"/>
    <s v="magyar"/>
    <m/>
  </r>
  <r>
    <s v="Vörös Barbara"/>
    <s v="I9JT7M"/>
    <s v="Aktív"/>
    <s v="anglisztika"/>
    <x v="0"/>
    <s v="anglisztika"/>
    <s v="BTK-BANGL-NBHU"/>
    <s v="Zalaegerszeg"/>
    <s v="Zala"/>
    <s v="Vörös Barbara"/>
    <s v="Magyarország"/>
    <d v="2003-02-02T00:00:00"/>
    <s v="T181768/FI80798"/>
    <x v="0"/>
    <s v="Állami ösztöndíjas"/>
    <s v="2021/22/1"/>
    <s v="Nappali"/>
    <n v="11"/>
    <n v="1"/>
    <s v="2021/22/2"/>
    <n v="6"/>
    <s v="71762994701"/>
    <n v="6"/>
    <x v="0"/>
    <s v="a központi eljárásban magyarországi képzésre"/>
    <n v="396"/>
    <m/>
    <m/>
    <s v="Felvétel"/>
    <d v="2021-09-01T00:00:00"/>
    <s v="310814483981"/>
    <s v="BDPK-SEK"/>
    <s v="Neubauer Nikoletta"/>
    <d v="2021-07-23T00:00:00"/>
    <d v="2024-07-15T00:00:00"/>
    <n v="300000"/>
    <m/>
    <n v="1"/>
    <s v="Nő"/>
    <n v="300000"/>
    <s v="vbarbiee03@gmail.com"/>
    <s v="Weidl Judit"/>
    <n v="2"/>
    <s v="Aktív"/>
    <n v="2"/>
    <n v="2"/>
    <s v="magyar"/>
    <m/>
  </r>
  <r>
    <s v="Bán Alexa Dzsenifer"/>
    <s v="AZ8PCM"/>
    <s v="Aktív"/>
    <s v="anglisztika"/>
    <x v="0"/>
    <s v="anglisztika"/>
    <s v="BDPK-SEK-SALB-AN-LBHU"/>
    <s v="Zalaegerszeg"/>
    <s v="Zala"/>
    <s v="Bán Alexa Dzsenifer"/>
    <s v="Magyarország"/>
    <d v="2000-04-14T00:00:00"/>
    <s v="T183329/FI80798"/>
    <x v="0"/>
    <s v="Állami ösztöndíjas"/>
    <s v="2021/22/1"/>
    <s v="Levelező"/>
    <n v="11"/>
    <n v="1"/>
    <s v="2021/22/2"/>
    <n v="6"/>
    <s v="75283060450"/>
    <n v="6"/>
    <x v="0"/>
    <s v="a központi eljárásban magyarországi képzésre"/>
    <n v="378"/>
    <m/>
    <m/>
    <s v="Felvétel"/>
    <d v="2021-09-01T00:00:00"/>
    <s v="310814201045"/>
    <s v="BDPK-SEK"/>
    <s v="Neubauer Nikoletta"/>
    <d v="2021-07-23T00:00:00"/>
    <d v="2024-07-15T00:00:00"/>
    <n v="300000"/>
    <m/>
    <n v="1"/>
    <s v="Nő"/>
    <n v="300000"/>
    <s v="ban.dzseni@gmail.com"/>
    <s v="Tejfel Timea"/>
    <n v="2"/>
    <s v="Aktív"/>
    <n v="2"/>
    <n v="2"/>
    <s v="magyar"/>
    <m/>
  </r>
  <r>
    <s v="Tar Blanka Múzsa"/>
    <s v="I1B9IZ"/>
    <s v="Aktív"/>
    <s v="anglisztika"/>
    <x v="0"/>
    <s v="anglisztika"/>
    <s v="BTK-BANGL-NBHU"/>
    <s v="Sopron"/>
    <s v="Győr-Moson-Sopron"/>
    <s v="Tar Blanka Múzsa"/>
    <s v="Magyarország"/>
    <d v="2002-10-22T00:00:00"/>
    <s v="T182403/FI80798"/>
    <x v="0"/>
    <s v="Állami ösztöndíjas"/>
    <s v="2021/22/1"/>
    <s v="Nappali"/>
    <n v="11"/>
    <n v="1"/>
    <s v="2021/22/2"/>
    <n v="6"/>
    <s v="72165429616"/>
    <n v="6"/>
    <x v="0"/>
    <s v="a központi eljárásban magyarországi képzésre"/>
    <n v="390"/>
    <m/>
    <m/>
    <s v="Felvétel"/>
    <d v="2021-09-01T00:00:00"/>
    <s v="310814594324"/>
    <s v="BDPK-SEK"/>
    <s v="Neubauer Nikoletta"/>
    <d v="2021-07-23T00:00:00"/>
    <d v="2024-07-15T00:00:00"/>
    <n v="300000"/>
    <m/>
    <n v="1"/>
    <s v="Nő"/>
    <n v="300000"/>
    <s v="tarblankamuzsa@gmail.com"/>
    <s v="Petrik Dorotea"/>
    <n v="2"/>
    <s v="Aktív"/>
    <n v="2"/>
    <n v="2"/>
    <s v="magyar"/>
    <m/>
  </r>
  <r>
    <s v="Serlegi Virág"/>
    <s v="WJ0851"/>
    <s v="Aktív"/>
    <s v="anglisztika"/>
    <x v="0"/>
    <s v="anglisztika"/>
    <s v="BTK-BANGL-NBHU"/>
    <s v="Szombathely"/>
    <s v="Vas"/>
    <s v="Serlegi Virág"/>
    <s v="Magyarország"/>
    <d v="2001-10-14T00:00:00"/>
    <s v="T180379/FI80798"/>
    <x v="0"/>
    <s v="Állami ösztöndíjas"/>
    <s v="2021/22/1"/>
    <s v="Nappali"/>
    <n v="11"/>
    <n v="1"/>
    <s v="2021/22/2"/>
    <n v="6"/>
    <s v="71466283405"/>
    <n v="6"/>
    <x v="0"/>
    <s v="a központi eljárásban magyarországi képzésre"/>
    <n v="370"/>
    <m/>
    <m/>
    <s v="Felvétel"/>
    <d v="2021-09-01T00:00:00"/>
    <s v="310814118355"/>
    <s v="BDPK-SEK"/>
    <s v="Neubauer Nikoletta"/>
    <d v="2021-07-23T00:00:00"/>
    <d v="2024-07-15T00:00:00"/>
    <n v="300000"/>
    <m/>
    <n v="1"/>
    <s v="Nő"/>
    <n v="300000"/>
    <s v="viragserlegi@gmail.com"/>
    <s v="Janzsó Gabriella"/>
    <n v="2"/>
    <s v="Aktív"/>
    <n v="2"/>
    <n v="2"/>
    <s v="magyar"/>
    <m/>
  </r>
  <r>
    <s v="Pete Martin"/>
    <s v="JHU48Q"/>
    <s v="Aktív"/>
    <s v="anglisztika"/>
    <x v="0"/>
    <s v="anglisztika"/>
    <s v="BTK-BANGL-NBHU"/>
    <s v="Szombathely"/>
    <s v="Vas"/>
    <s v="Pete Martin"/>
    <s v="Magyarország"/>
    <d v="2002-10-25T00:00:00"/>
    <s v="T189533/FI80798"/>
    <x v="0"/>
    <s v="Állami ösztöndíjas"/>
    <s v="2021/22/1"/>
    <s v="Nappali"/>
    <n v="11"/>
    <n v="1"/>
    <s v="2021/22/2"/>
    <n v="6"/>
    <s v="71762796714"/>
    <n v="6"/>
    <x v="0"/>
    <s v="a központi eljárásban magyarországi képzésre"/>
    <n v="340"/>
    <m/>
    <m/>
    <s v="Felvétel"/>
    <d v="2021-09-01T00:00:00"/>
    <s v="310814504323"/>
    <s v="BDPK-SEK"/>
    <s v="Neubauer Nikoletta"/>
    <d v="2021-07-23T00:00:00"/>
    <d v="2024-07-15T00:00:00"/>
    <n v="300000"/>
    <m/>
    <n v="1"/>
    <s v="Férfi"/>
    <n v="300000"/>
    <s v="pete.martin@arpadhazi.hu"/>
    <s v="Tóth Edina"/>
    <n v="2"/>
    <s v="Aktív"/>
    <n v="2"/>
    <n v="2"/>
    <s v="magyar"/>
    <m/>
  </r>
  <r>
    <s v="Kovács Izsák Róbert"/>
    <s v="BPP4R7"/>
    <s v="Aktív"/>
    <s v="anglisztika"/>
    <x v="0"/>
    <s v="anglisztika"/>
    <s v="BTK-BANGL-NBHU"/>
    <s v="Körmend"/>
    <s v="Vas"/>
    <s v="Kovács Izsák Róbert"/>
    <s v="Magyarország"/>
    <d v="2002-02-13T00:00:00"/>
    <s v="T183963/FI80798"/>
    <x v="0"/>
    <s v="Állami ösztöndíjas"/>
    <s v="2021/22/1"/>
    <s v="Nappali"/>
    <n v="15"/>
    <n v="1"/>
    <s v="2021/22/2"/>
    <n v="6"/>
    <s v="71665424916"/>
    <n v="6"/>
    <x v="0"/>
    <s v="a központi eljárásban magyarországi képzésre"/>
    <n v="322"/>
    <m/>
    <m/>
    <s v="Felvétel"/>
    <d v="2021-09-01T00:00:00"/>
    <s v="310814377225"/>
    <s v="BDPK-SEK"/>
    <s v="Neubauer Nikoletta"/>
    <d v="2021-07-23T00:00:00"/>
    <d v="2024-07-15T00:00:00"/>
    <n v="300000"/>
    <m/>
    <n v="1"/>
    <s v="Férfi"/>
    <n v="300000"/>
    <s v="Koviizsak13@gmail.com"/>
    <s v="Vlasics Judit"/>
    <n v="2"/>
    <s v="Aktív"/>
    <n v="2"/>
    <n v="2"/>
    <s v="magyar"/>
    <m/>
  </r>
  <r>
    <s v="Merétei Nóra"/>
    <s v="IBY8P5"/>
    <s v="Aktív"/>
    <s v="anglisztika"/>
    <x v="0"/>
    <s v="anglisztika"/>
    <s v="BDPK-SEK-SALB-AN-LBHU"/>
    <s v="Budapest"/>
    <s v="Budapest"/>
    <s v="Merétei Nóra"/>
    <s v="Magyarország"/>
    <d v="1994-11-24T00:00:00"/>
    <s v="T180377/FI80798"/>
    <x v="0"/>
    <s v="Állami ösztöndíjas"/>
    <s v="2021/22/1"/>
    <s v="Levelező"/>
    <n v="11"/>
    <n v="1"/>
    <s v="2021/22/2"/>
    <n v="6"/>
    <s v="78296317726"/>
    <n v="6"/>
    <x v="0"/>
    <s v="a központi eljárásban magyarországi képzésre"/>
    <n v="358"/>
    <m/>
    <m/>
    <s v="Felvétel"/>
    <d v="2021-09-01T00:00:00"/>
    <s v="310814678309"/>
    <s v="BDPK-SEK"/>
    <s v="Neubauer Nikoletta"/>
    <d v="2021-07-23T00:00:00"/>
    <d v="2024-07-15T00:00:00"/>
    <n v="300000"/>
    <m/>
    <n v="1"/>
    <s v="Nő"/>
    <n v="300000"/>
    <s v="nora6277@gmail.com"/>
    <s v="Varkoly Csilla Ilona"/>
    <n v="2"/>
    <s v="Aktív"/>
    <n v="2"/>
    <n v="2"/>
    <s v="magyar"/>
    <m/>
  </r>
  <r>
    <s v="Katona Adriána Leona"/>
    <s v="YC94D1"/>
    <s v="Aktív"/>
    <s v="anglisztika"/>
    <x v="0"/>
    <s v="anglisztika"/>
    <s v="BDPK-SEK-SALB-AN-LBHU"/>
    <s v="Kecskemét"/>
    <s v="Bács-Kiskun"/>
    <s v="Katona Adriána Leona"/>
    <s v="Magyarország"/>
    <d v="2000-08-29T00:00:00"/>
    <s v="T186828/FI80798"/>
    <x v="0"/>
    <s v="Állami ösztöndíjas"/>
    <s v="2021/22/1"/>
    <s v="Levelező"/>
    <n v="11"/>
    <n v="1"/>
    <s v="2021/22/2"/>
    <n v="6"/>
    <s v="71985827746"/>
    <n v="6"/>
    <x v="0"/>
    <s v="a központi eljárásban magyarországi képzésre"/>
    <n v="351"/>
    <m/>
    <m/>
    <s v="Felvétel"/>
    <d v="2021-09-01T00:00:00"/>
    <s v="310814637123"/>
    <s v="BDPK-SEK"/>
    <s v="Neubauer Nikoletta"/>
    <d v="2021-07-23T00:00:00"/>
    <d v="2024-07-15T00:00:00"/>
    <n v="300000"/>
    <m/>
    <n v="1"/>
    <s v="Nő"/>
    <n v="300000"/>
    <s v="katonaadri4@gmail.com"/>
    <s v="Sárai-Szabó Irén Mária"/>
    <n v="2"/>
    <s v="Aktív"/>
    <n v="2"/>
    <n v="2"/>
    <s v="magyar"/>
    <m/>
  </r>
  <r>
    <s v="Jónás Bálint Tamás"/>
    <s v="Y21RYU"/>
    <s v="Aktív"/>
    <s v="anglisztika"/>
    <x v="0"/>
    <s v="anglisztika"/>
    <s v="BTK-BANGL-NBHU"/>
    <s v="Szombathely"/>
    <s v="Vas"/>
    <s v="Jónás Bálint Tamás"/>
    <s v="Magyarország"/>
    <d v="2002-04-25T00:00:00"/>
    <s v="T183025/FI80798"/>
    <x v="0"/>
    <s v="Állami ösztöndíjas"/>
    <s v="2021/22/1"/>
    <s v="Nappali"/>
    <n v="11"/>
    <n v="1"/>
    <s v="2021/22/2"/>
    <n v="6"/>
    <s v="71603738256"/>
    <n v="6"/>
    <x v="0"/>
    <s v="a központi eljárásban magyarországi képzésre"/>
    <n v="404"/>
    <m/>
    <m/>
    <s v="Felvétel"/>
    <d v="2021-09-01T00:00:00"/>
    <s v="310814658350"/>
    <s v="BDPK-SEK"/>
    <s v="Neubauer Nikoletta"/>
    <d v="2021-07-23T00:00:00"/>
    <d v="2024-07-15T00:00:00"/>
    <n v="300000"/>
    <m/>
    <n v="1"/>
    <s v="Férfi"/>
    <n v="300000"/>
    <s v="jonasbalint1140@gmail.com"/>
    <s v="Szidonya Brigitta"/>
    <n v="2"/>
    <s v="Aktív"/>
    <n v="2"/>
    <n v="2"/>
    <s v="magyar"/>
    <m/>
  </r>
  <r>
    <s v="Németh Máté"/>
    <s v="V06TIL"/>
    <s v="Aktív"/>
    <s v="anglisztika"/>
    <x v="0"/>
    <s v="anglisztika"/>
    <s v="BTK-BANGL-NBHU"/>
    <s v="Szombathely"/>
    <s v="Vas"/>
    <s v="Németh Máté"/>
    <s v="Magyarország"/>
    <d v="2002-05-24T00:00:00"/>
    <s v="T187191/FI80798"/>
    <x v="0"/>
    <s v="Állami ösztöndíjas"/>
    <s v="2021/22/1"/>
    <s v="Nappali"/>
    <n v="11"/>
    <n v="1"/>
    <s v="2021/22/2"/>
    <n v="6"/>
    <s v="71764044951"/>
    <n v="6"/>
    <x v="0"/>
    <s v="a központi eljárásban magyarországi képzésre"/>
    <n v="400"/>
    <m/>
    <m/>
    <s v="Felvétel"/>
    <d v="2021-09-01T00:00:00"/>
    <s v="310814038694"/>
    <s v="BDPK-SEK"/>
    <s v="Neubauer Nikoletta"/>
    <d v="2021-07-23T00:00:00"/>
    <d v="2024-07-15T00:00:00"/>
    <n v="300000"/>
    <m/>
    <n v="1"/>
    <s v="Férfi"/>
    <n v="300000"/>
    <s v="nemeth.mate1112318@gmail.com"/>
    <s v="Gergácz Anita Anna"/>
    <n v="2"/>
    <s v="Aktív"/>
    <n v="2"/>
    <n v="2"/>
    <s v="magyar"/>
    <m/>
  </r>
  <r>
    <s v="Németh Mátyás Attila"/>
    <s v="WWU8PP"/>
    <s v="Aktív"/>
    <s v="anglisztika"/>
    <x v="0"/>
    <s v="anglisztika"/>
    <s v="BTK-BANGL-NBHU"/>
    <s v="Nagykanizsa"/>
    <s v="Zala"/>
    <s v="Németh Mátyás Attila"/>
    <s v="Magyarország"/>
    <d v="2002-11-12T00:00:00"/>
    <s v="T181145/FI80798"/>
    <x v="0"/>
    <s v="Állami ösztöndíjas"/>
    <s v="2021/22/1"/>
    <s v="Nappali"/>
    <n v="11"/>
    <n v="1"/>
    <s v="2021/22/2"/>
    <n v="6"/>
    <s v="72167928455"/>
    <n v="6"/>
    <x v="0"/>
    <s v="a központi eljárásban magyarországi képzésre"/>
    <n v="399"/>
    <m/>
    <m/>
    <s v="Felvétel"/>
    <d v="2021-09-01T00:00:00"/>
    <s v="310814694496"/>
    <s v="BDPK-SEK"/>
    <s v="Neubauer Nikoletta"/>
    <d v="2021-07-23T00:00:00"/>
    <d v="2024-07-15T00:00:00"/>
    <n v="300000"/>
    <m/>
    <n v="1"/>
    <s v="Férfi"/>
    <n v="300000"/>
    <s v="nemeth.matyas911@gmail.com"/>
    <s v="Göncz Tünde"/>
    <n v="2"/>
    <s v="Aktív"/>
    <n v="2"/>
    <n v="2"/>
    <s v="magyar"/>
    <m/>
  </r>
  <r>
    <s v="Tóth Kitti"/>
    <s v="SSHXCL"/>
    <s v="Aktív"/>
    <s v="anglisztika"/>
    <x v="0"/>
    <s v="anglisztika"/>
    <s v="BTK-BANGL-NBHU"/>
    <s v="Körmend"/>
    <s v="Vas"/>
    <s v="Tóth Kitti"/>
    <s v="Magyarország"/>
    <d v="2002-07-12T00:00:00"/>
    <s v="T190696/FI80798"/>
    <x v="0"/>
    <s v="Állami ösztöndíjas"/>
    <s v="2021/22/1"/>
    <s v="Nappali"/>
    <n v="11"/>
    <n v="1"/>
    <s v="2021/22/2"/>
    <n v="6"/>
    <s v="71664278359"/>
    <n v="6"/>
    <x v="0"/>
    <s v="a központi eljárásban magyarországi képzésre"/>
    <n v="420"/>
    <m/>
    <m/>
    <s v="Felvétel"/>
    <d v="2021-09-01T00:00:00"/>
    <s v="310814684166"/>
    <s v="BDPK-SEK"/>
    <s v="Neubauer Nikoletta"/>
    <d v="2021-07-23T00:00:00"/>
    <d v="2024-07-15T00:00:00"/>
    <n v="300000"/>
    <m/>
    <n v="1"/>
    <s v="Nő"/>
    <n v="300000"/>
    <s v="kittii.t.00@gmail.com"/>
    <s v="Nagy Andrea"/>
    <n v="2"/>
    <s v="Aktív"/>
    <n v="2"/>
    <n v="2"/>
    <s v="magyar"/>
    <m/>
  </r>
  <r>
    <s v="Bognár Anita"/>
    <s v="CQX32K"/>
    <s v="Aktív"/>
    <s v="anglisztika"/>
    <x v="0"/>
    <s v="anglisztika"/>
    <s v="BTK-BANGL-NBHU"/>
    <s v="Zalaegerszeg"/>
    <s v="Zala"/>
    <s v="Bognár Anita"/>
    <s v="Magyarország"/>
    <d v="1987-07-19T00:00:00"/>
    <s v="T189536/FI80798"/>
    <x v="0"/>
    <s v="Állami ösztöndíjas"/>
    <s v="2021/22/1"/>
    <s v="Nappali"/>
    <n v="6"/>
    <n v="1"/>
    <s v="2021/22/2"/>
    <n v="6"/>
    <s v="71660861632"/>
    <n v="6"/>
    <x v="0"/>
    <s v="a központi eljárásban magyarországi képzésre"/>
    <n v="350"/>
    <m/>
    <m/>
    <s v="Felvétel"/>
    <d v="2021-09-01T00:00:00"/>
    <s v="310814827047"/>
    <s v="BDPK-SEK"/>
    <s v="Neubauer Nikoletta"/>
    <d v="2021-07-23T00:00:00"/>
    <d v="2024-07-15T00:00:00"/>
    <n v="300000"/>
    <m/>
    <n v="1"/>
    <s v="Nő"/>
    <n v="300000"/>
    <s v="bognar.ani@gmail.com"/>
    <s v="Miszori Magdolna"/>
    <n v="2"/>
    <s v="Aktív"/>
    <n v="2"/>
    <n v="2"/>
    <s v="magyar"/>
    <m/>
  </r>
  <r>
    <s v="Mérei Evelin Boglárka"/>
    <s v="ULLGFQ"/>
    <s v="Aktív"/>
    <s v="anglisztika"/>
    <x v="0"/>
    <s v="anglisztika"/>
    <s v="BTK-BANGL-NBHU"/>
    <s v="Szombathely"/>
    <s v="Vas"/>
    <s v="Mérei Evelin Boglárka"/>
    <s v="Magyarország"/>
    <d v="2002-08-18T00:00:00"/>
    <s v="T183651/FI80798"/>
    <x v="0"/>
    <s v="Állami ösztöndíjas"/>
    <s v="2021/22/1"/>
    <s v="Nappali"/>
    <n v="11"/>
    <n v="1"/>
    <s v="2021/22/2"/>
    <n v="6"/>
    <s v="71764036379"/>
    <n v="6"/>
    <x v="0"/>
    <s v="a központi eljárásban magyarországi képzésre"/>
    <n v="350"/>
    <m/>
    <m/>
    <s v="Felvétel"/>
    <d v="2021-09-01T00:00:00"/>
    <s v="310814993831"/>
    <s v="BDPK-SEK"/>
    <s v="Neubauer Nikoletta"/>
    <d v="2021-07-23T00:00:00"/>
    <d v="2024-07-15T00:00:00"/>
    <n v="300000"/>
    <m/>
    <n v="1"/>
    <s v="Nő"/>
    <n v="300000"/>
    <s v="mereievelin@gmail.com"/>
    <s v="Geguss Edina Viktória"/>
    <n v="2"/>
    <s v="Aktív"/>
    <n v="2"/>
    <n v="2"/>
    <s v="magyar"/>
    <m/>
  </r>
  <r>
    <s v="Őszy Petra Réka"/>
    <s v="GTU1PA"/>
    <s v="Aktív"/>
    <s v="anglisztika"/>
    <x v="0"/>
    <s v="anglisztika"/>
    <s v="BTK-BANGL-NBHU"/>
    <s v="Szombathely"/>
    <s v="Vas"/>
    <s v="Őszy Petra Réka"/>
    <s v="Magyarország"/>
    <d v="2001-06-25T00:00:00"/>
    <s v="T182704/FI80798"/>
    <x v="0"/>
    <s v="Állami ösztöndíjas"/>
    <s v="2021/22/1"/>
    <s v="Nappali"/>
    <n v="11"/>
    <n v="1"/>
    <s v="2021/22/2"/>
    <n v="6"/>
    <s v="71593180041"/>
    <n v="6"/>
    <x v="0"/>
    <s v="a központi eljárásban magyarországi képzésre"/>
    <n v="334"/>
    <m/>
    <m/>
    <s v="Felvétel"/>
    <d v="2021-09-01T00:00:00"/>
    <s v="310814817584"/>
    <s v="BDPK-SEK"/>
    <s v="Neubauer Nikoletta"/>
    <d v="2021-07-23T00:00:00"/>
    <d v="2024-07-15T00:00:00"/>
    <n v="300000"/>
    <m/>
    <n v="1"/>
    <s v="Nő"/>
    <n v="300000"/>
    <s v="oszy.p12@gmail.com"/>
    <s v="Kovács Krisztina Anna"/>
    <n v="2"/>
    <s v="Aktív"/>
    <n v="2"/>
    <n v="2"/>
    <s v="magyar"/>
    <m/>
  </r>
  <r>
    <s v="Takács Dorián Lajos"/>
    <s v="OXCANO"/>
    <s v="Aktív"/>
    <s v="anglisztika"/>
    <x v="0"/>
    <s v="anglisztika"/>
    <s v="BTK-BANGL-NBHU"/>
    <s v="Szombathely"/>
    <s v="Vas"/>
    <s v="Takács Dorián Lajos"/>
    <s v="Magyarország"/>
    <d v="2002-06-25T00:00:00"/>
    <s v="T186311/FI80798"/>
    <x v="0"/>
    <s v="Állami ösztöndíjas"/>
    <s v="2021/22/1"/>
    <s v="Nappali"/>
    <n v="11"/>
    <n v="1"/>
    <s v="2021/22/2"/>
    <n v="6"/>
    <s v="72156283666"/>
    <n v="6"/>
    <x v="0"/>
    <s v="a központi eljárásban magyarországi képzésre"/>
    <n v="374"/>
    <m/>
    <m/>
    <s v="Felvétel"/>
    <d v="2021-09-01T00:00:00"/>
    <s v="310814890193"/>
    <s v="BDPK-SEK"/>
    <s v="Neubauer Nikoletta"/>
    <d v="2021-07-23T00:00:00"/>
    <d v="2024-07-15T00:00:00"/>
    <n v="300000"/>
    <m/>
    <n v="1"/>
    <s v="Férfi"/>
    <n v="300000"/>
    <s v="takacsdorian1@gmail.com"/>
    <s v="Szekeres Edit Katalin"/>
    <n v="2"/>
    <s v="Aktív"/>
    <n v="2"/>
    <n v="2"/>
    <s v="magyar"/>
    <m/>
  </r>
  <r>
    <s v="Waldmann Dorka"/>
    <s v="ARCB9L"/>
    <s v="Aktív"/>
    <s v="anglisztika"/>
    <x v="0"/>
    <s v="anglisztika"/>
    <s v="BTK-BANGL-NBHU"/>
    <s v="Szombathely"/>
    <s v="Vas"/>
    <s v="Waldmann Dorka"/>
    <s v="Magyarország"/>
    <d v="2001-03-13T00:00:00"/>
    <s v="T188878/FI80798"/>
    <x v="0"/>
    <s v="Állami ösztöndíjas"/>
    <s v="2021/22/1"/>
    <s v="Nappali"/>
    <n v="11"/>
    <n v="1"/>
    <s v="2021/22/2"/>
    <n v="6"/>
    <s v="71624125687"/>
    <n v="6"/>
    <x v="0"/>
    <s v="a központi eljárásban magyarországi képzésre"/>
    <n v="366"/>
    <m/>
    <m/>
    <s v="Felvétel"/>
    <d v="2021-09-01T00:00:00"/>
    <s v="310814697978"/>
    <s v="BDPK-SEK"/>
    <s v="Neubauer Nikoletta"/>
    <d v="2021-07-23T00:00:00"/>
    <d v="2024-07-15T00:00:00"/>
    <n v="300000"/>
    <m/>
    <n v="1"/>
    <s v="Nő"/>
    <n v="300000"/>
    <s v="w.dorka1303@gmail.com"/>
    <s v="Nagy Eszter"/>
    <n v="2"/>
    <s v="Aktív"/>
    <n v="2"/>
    <n v="2"/>
    <s v="magyar"/>
    <m/>
  </r>
  <r>
    <s v="Jurasits Georgina Rita"/>
    <s v="GKKVRW"/>
    <s v="Aktív"/>
    <s v="anglisztika"/>
    <x v="0"/>
    <s v="anglisztika"/>
    <s v="BTK-BANGL-NBHU"/>
    <s v="Körmend"/>
    <s v="Vas"/>
    <s v="Jurasits Georgina Rita"/>
    <s v="Magyarország"/>
    <d v="2003-04-15T00:00:00"/>
    <s v="T180730/FI80798"/>
    <x v="0"/>
    <s v="Állami ösztöndíjas"/>
    <s v="2021/22/1"/>
    <s v="Nappali"/>
    <n v="11"/>
    <n v="1"/>
    <s v="2021/22/2"/>
    <n v="6"/>
    <s v="72141483043"/>
    <n v="6"/>
    <x v="0"/>
    <s v="a központi eljárásban magyarországi képzésre"/>
    <n v="446"/>
    <m/>
    <m/>
    <s v="Felvétel"/>
    <d v="2021-09-01T00:00:00"/>
    <s v="310814551266"/>
    <s v="BDPK-SEK"/>
    <s v="Neubauer Nikoletta"/>
    <d v="2021-07-23T00:00:00"/>
    <d v="2024-07-15T00:00:00"/>
    <n v="300000"/>
    <m/>
    <n v="1"/>
    <s v="Nő"/>
    <n v="300000"/>
    <s v="georginajurasits@gmail.com"/>
    <s v="Kovács Zsuzsanna"/>
    <n v="2"/>
    <s v="Aktív"/>
    <n v="2"/>
    <n v="2"/>
    <s v="magyar"/>
    <m/>
  </r>
  <r>
    <s v="Kárász Anita"/>
    <s v="A0YD97"/>
    <s v="Aktív"/>
    <s v="anglisztika"/>
    <x v="0"/>
    <s v="anglisztika"/>
    <s v="BTK-BANGL-NBHU"/>
    <s v="Kecskemét"/>
    <s v="Bács-Kiskun"/>
    <s v="Kárász Anita"/>
    <s v="Magyarország"/>
    <d v="2001-06-30T00:00:00"/>
    <s v="T182736/FI80798"/>
    <x v="0"/>
    <s v="Állami ösztöndíjas"/>
    <s v="2021/22/1"/>
    <s v="Nappali"/>
    <n v="11"/>
    <n v="1"/>
    <s v="2021/22/2"/>
    <n v="6"/>
    <s v="71644506546"/>
    <n v="6"/>
    <x v="0"/>
    <s v="a központi eljárásban magyarországi képzésre"/>
    <n v="424"/>
    <m/>
    <m/>
    <s v="Felvétel"/>
    <d v="2021-09-01T00:00:00"/>
    <s v="310814717602"/>
    <s v="BDPK-SEK"/>
    <s v="Neubauer Nikoletta"/>
    <d v="2021-07-23T00:00:00"/>
    <d v="2024-07-15T00:00:00"/>
    <n v="300000"/>
    <m/>
    <n v="1"/>
    <s v="Nő"/>
    <n v="300000"/>
    <s v="ancscsita@gmail.com"/>
    <s v="Máté Szilvia"/>
    <n v="2"/>
    <s v="Aktív"/>
    <n v="2"/>
    <n v="2"/>
    <s v="magyar"/>
    <m/>
  </r>
  <r>
    <s v="Pass Dominika"/>
    <s v="HC70LU"/>
    <s v="Aktív"/>
    <s v="anglisztika"/>
    <x v="0"/>
    <s v="anglisztika"/>
    <s v="BDPK-SEK-SALB-AN-LBHU"/>
    <s v="Zalaegerszeg"/>
    <s v="Zala"/>
    <s v="Pass Dominika"/>
    <s v="Magyarország"/>
    <d v="2000-11-25T00:00:00"/>
    <s v="T190607/FI80798"/>
    <x v="0"/>
    <s v="Önköltséges"/>
    <s v="2021/22/1"/>
    <s v="Levelező"/>
    <n v="12"/>
    <m/>
    <m/>
    <n v="6"/>
    <s v="78680534559"/>
    <n v="6"/>
    <x v="0"/>
    <s v="a központi eljárásban magyarországi képzésre"/>
    <n v="287"/>
    <m/>
    <m/>
    <s v="Felvétel"/>
    <d v="2021-09-01T00:00:00"/>
    <s v="310914095362"/>
    <s v="BDPK-SEK"/>
    <s v="Neubauer Nikoletta"/>
    <d v="2021-08-27T00:00:00"/>
    <d v="2024-07-15T00:00:00"/>
    <m/>
    <m/>
    <n v="0"/>
    <s v="Nő"/>
    <m/>
    <s v="domipass00@gmail.com"/>
    <s v="Kovács Mária"/>
    <n v="2"/>
    <s v="Aktív"/>
    <n v="0"/>
    <n v="2"/>
    <s v="magyar"/>
    <n v="300000"/>
  </r>
  <r>
    <s v="Dosztál Dávid"/>
    <s v="WN2OS8"/>
    <s v="Aktív"/>
    <s v="biológia"/>
    <x v="1"/>
    <s v="biológia"/>
    <s v="BDPK-SEK-SALB-BI-LBHU"/>
    <s v="Szombathely"/>
    <s v="Vas"/>
    <s v="Dosztál Dávid"/>
    <s v="Magyarország"/>
    <d v="1988-09-20T00:00:00"/>
    <s v="T012556/FI21120/B"/>
    <x v="0"/>
    <s v="Költségtérítéses (képzési időn túli)"/>
    <s v="2011/12/1"/>
    <s v="Levelező"/>
    <n v="5"/>
    <n v="1"/>
    <s v="2014/15/2"/>
    <n v="6"/>
    <s v="77824583455"/>
    <n v="6"/>
    <x v="1"/>
    <m/>
    <m/>
    <m/>
    <m/>
    <s v="Képzésváltás intézményen belül"/>
    <d v="2015-09-09T00:00:00"/>
    <m/>
    <s v="BDPK-SEK"/>
    <s v="Eke Norbertné"/>
    <d v="2011-07-17T00:00:00"/>
    <d v="2022-07-15T00:00:00"/>
    <m/>
    <m/>
    <n v="0"/>
    <s v="Férfi"/>
    <m/>
    <s v="doszti20@gmail.com"/>
    <s v="Ambrus Anna Melinda"/>
    <n v="9"/>
    <s v="Aktív"/>
    <n v="0"/>
    <n v="17"/>
    <s v="magyar"/>
    <n v="100000"/>
  </r>
  <r>
    <s v="Ömer Talha Altinkaya"/>
    <s v="DV5LTE"/>
    <s v="Aktív"/>
    <s v="Erasmus program keretében"/>
    <x v="2"/>
    <s v="Erasmus program keretében"/>
    <s v="ELTE-ERASMUS-NXXX"/>
    <s v="Civril"/>
    <m/>
    <s v="Ömer Talha Altinkaya"/>
    <s v="Törökország"/>
    <d v="1999-05-05T00:00:00"/>
    <s v="V008423/FI80798"/>
    <x v="1"/>
    <s v="Egyéb"/>
    <s v="2021/22/2"/>
    <s v="Nappali"/>
    <n v="12"/>
    <m/>
    <m/>
    <n v="0"/>
    <s v="73668710914"/>
    <n v="0"/>
    <x v="2"/>
    <m/>
    <m/>
    <m/>
    <m/>
    <s v="Résztanulmányok megkezdése"/>
    <d v="2022-02-01T00:00:00"/>
    <m/>
    <s v="BDPK-SEK"/>
    <s v="Modor Réka"/>
    <d v="2022-02-01T00:00:00"/>
    <d v="2022-07-02T00:00:00"/>
    <m/>
    <m/>
    <m/>
    <s v="Férfi"/>
    <m/>
    <s v="omertalha1999@hotmail.com"/>
    <s v="Huriye Yayla"/>
    <m/>
    <s v="Aktív"/>
    <m/>
    <n v="1"/>
    <s v="török"/>
    <m/>
  </r>
  <r>
    <s v="Kel Samim"/>
    <s v="VFOQAZ"/>
    <s v="Aktív"/>
    <s v="Erasmus program keretében"/>
    <x v="2"/>
    <s v="Erasmus program keretében"/>
    <s v="ELTE-ERASMUS-NXXX"/>
    <s v="Iskenderun"/>
    <m/>
    <s v="Kel Samim"/>
    <s v="Törökország"/>
    <d v="1999-08-16T00:00:00"/>
    <s v="V008422/FI80798"/>
    <x v="1"/>
    <s v="Egyéb"/>
    <s v="2021/22/2"/>
    <s v="Nappali"/>
    <n v="12"/>
    <m/>
    <m/>
    <n v="0"/>
    <s v="73964997111"/>
    <n v="0"/>
    <x v="2"/>
    <m/>
    <m/>
    <m/>
    <m/>
    <s v="Résztanulmányok megkezdése"/>
    <d v="2022-02-01T00:00:00"/>
    <m/>
    <s v="BDPK-SEK"/>
    <s v="Modor Réka"/>
    <d v="2022-02-01T00:00:00"/>
    <d v="2022-07-15T00:00:00"/>
    <m/>
    <m/>
    <m/>
    <s v="Férfi"/>
    <m/>
    <s v="samim.kel18@ogr.atauni.edu.tr"/>
    <s v="Meryem Denizci"/>
    <m/>
    <s v="Aktív"/>
    <n v="0"/>
    <n v="1"/>
    <s v="török"/>
    <m/>
  </r>
  <r>
    <s v="Fulignati Erica"/>
    <s v="KJBTEN"/>
    <s v="Aktív"/>
    <s v="Erasmus program keretében"/>
    <x v="2"/>
    <s v="Erasmus program keretében"/>
    <s v="ELTE-ERASMUS-NXXX"/>
    <s v="Empoli"/>
    <m/>
    <s v="Fulignati Erica"/>
    <s v="Olaszország"/>
    <d v="1997-10-16T00:00:00"/>
    <s v="V008419/FI80798"/>
    <x v="1"/>
    <s v="Egyéb"/>
    <s v="2021/22/2"/>
    <s v="Nappali"/>
    <n v="12"/>
    <m/>
    <m/>
    <n v="0"/>
    <s v="73965693110"/>
    <n v="0"/>
    <x v="2"/>
    <m/>
    <m/>
    <m/>
    <m/>
    <s v="Résztanulmányok megkezdése"/>
    <d v="2022-02-01T00:00:00"/>
    <m/>
    <s v="BDPK-SEK"/>
    <s v="Modor Réka"/>
    <d v="2022-02-01T00:00:00"/>
    <d v="2022-07-02T00:00:00"/>
    <m/>
    <m/>
    <m/>
    <s v="Nő"/>
    <m/>
    <s v="erica.fulignati@studenti.unipd.it"/>
    <s v="Rofi Alessandra"/>
    <n v="1"/>
    <s v="Aktív"/>
    <n v="0"/>
    <n v="1"/>
    <s v="olasz"/>
    <m/>
  </r>
  <r>
    <s v="Basar Gamze"/>
    <s v="YKHD33"/>
    <s v="Aktív"/>
    <s v="Erasmus program keretében"/>
    <x v="2"/>
    <s v="Erasmus program keretében"/>
    <s v="ELTE-ERASMUS-NXXX"/>
    <s v="Samsun"/>
    <m/>
    <s v="Basar Gamze"/>
    <s v="Törökország"/>
    <d v="1998-04-12T00:00:00"/>
    <s v="V008420/FI80798"/>
    <x v="1"/>
    <s v="Egyéb"/>
    <s v="2021/22/2"/>
    <s v="Nappali"/>
    <n v="12"/>
    <m/>
    <m/>
    <n v="0"/>
    <s v="73965689350"/>
    <n v="0"/>
    <x v="2"/>
    <m/>
    <m/>
    <m/>
    <m/>
    <s v="Résztanulmányok megkezdése"/>
    <d v="2022-02-01T00:00:00"/>
    <m/>
    <s v="BDPK-SEK"/>
    <s v="Modor Réka"/>
    <d v="2022-02-01T00:00:00"/>
    <d v="2022-07-02T00:00:00"/>
    <m/>
    <m/>
    <m/>
    <s v="Nő"/>
    <m/>
    <s v="gamzebasar1461@gmail.com"/>
    <s v="Demir Aynur"/>
    <n v="1"/>
    <s v="Aktív"/>
    <n v="0"/>
    <n v="1"/>
    <s v="török"/>
    <m/>
  </r>
  <r>
    <s v="Kocak Ahmed Arif"/>
    <s v="LU24CE"/>
    <s v="Aktív"/>
    <s v="Erasmus program keretében"/>
    <x v="2"/>
    <s v="Erasmus program keretében"/>
    <s v="ELTE-ERASMUS-NXXX"/>
    <s v="Karayazi"/>
    <m/>
    <s v="Kocak Ahmed Arif"/>
    <s v="Törökország"/>
    <d v="1999-12-03T00:00:00"/>
    <s v="V008421/FI80798"/>
    <x v="1"/>
    <s v="Egyéb"/>
    <s v="2021/22/2"/>
    <s v="Nappali"/>
    <n v="12"/>
    <m/>
    <m/>
    <n v="0"/>
    <s v="73965692276"/>
    <n v="0"/>
    <x v="2"/>
    <m/>
    <m/>
    <m/>
    <m/>
    <s v="Résztanulmányok megkezdése"/>
    <d v="2022-02-01T00:00:00"/>
    <m/>
    <s v="BDPK-SEK"/>
    <s v="Modor Réka"/>
    <d v="2022-02-01T00:00:00"/>
    <d v="2022-07-02T00:00:00"/>
    <m/>
    <m/>
    <m/>
    <s v="Férfi"/>
    <m/>
    <s v="ahmedkocak99@gmail.com"/>
    <s v="Igan Esmer"/>
    <n v="1"/>
    <s v="Aktív"/>
    <n v="0"/>
    <n v="1"/>
    <s v="török"/>
    <m/>
  </r>
  <r>
    <s v="Kiss Dorottya"/>
    <s v="XH1PZ2"/>
    <s v="Aktív"/>
    <s v="fejlesztő, differenciáló pedagógia területen pedagógus-szakvizsgára felkészítő"/>
    <x v="2"/>
    <s v="fejlesztő, differenciáló pedagógia területen pedagógus-szakvizsgára felkészítő"/>
    <s v="BDPK-SEK-FDPSZ-LTHU"/>
    <s v="Szombathely"/>
    <s v="Vas"/>
    <s v="Kiss Dorottya"/>
    <s v="Magyarország"/>
    <d v="1995-10-09T00:00:00"/>
    <s v="T192579/FI80798"/>
    <x v="2"/>
    <s v="Önköltséges"/>
    <s v="2021/22/1"/>
    <s v="Levelező"/>
    <n v="5"/>
    <n v="1"/>
    <s v="2017/18/2"/>
    <n v="4"/>
    <s v="73264073167"/>
    <n v="4"/>
    <x v="3"/>
    <m/>
    <m/>
    <m/>
    <m/>
    <s v="Felvétel"/>
    <d v="2021-09-13T00:00:00"/>
    <m/>
    <s v="BDPK-SEK"/>
    <s v="Eke Norbertné"/>
    <d v="2021-09-10T00:00:00"/>
    <d v="2023-07-15T00:00:00"/>
    <m/>
    <m/>
    <n v="0"/>
    <s v="Nő"/>
    <m/>
    <s v="kissdrc@gmail.com"/>
    <s v="Pócza Gyöngyi"/>
    <n v="2"/>
    <s v="Aktív"/>
    <n v="0"/>
    <n v="2"/>
    <s v="magyar"/>
    <n v="170000"/>
  </r>
  <r>
    <s v="Fazekas Ildikó"/>
    <s v="DUC5LH"/>
    <s v="Aktív"/>
    <s v="fejlesztő, differenciáló pedagógia területen pedagógus-szakvizsgára felkészítő"/>
    <x v="2"/>
    <s v="fejlesztő, differenciáló pedagógia területen pedagógus-szakvizsgára felkészítő"/>
    <s v="BDPK-SEK-FDPSZ-LTHU"/>
    <s v="Zalaegerszeg"/>
    <s v="Zala"/>
    <s v="Fazekas Ildikó"/>
    <s v="Magyarország"/>
    <d v="1969-12-27T00:00:00"/>
    <s v="T192580/FI80798"/>
    <x v="2"/>
    <s v="Önköltséges"/>
    <s v="2021/22/1"/>
    <s v="Levelező"/>
    <n v="5"/>
    <m/>
    <m/>
    <n v="4"/>
    <s v="72871011392"/>
    <n v="4"/>
    <x v="3"/>
    <m/>
    <m/>
    <m/>
    <m/>
    <s v="Felvétel"/>
    <d v="2021-09-13T00:00:00"/>
    <m/>
    <s v="BDPK-SEK"/>
    <s v="Eke Norbertné"/>
    <d v="2021-09-10T00:00:00"/>
    <d v="2023-07-15T00:00:00"/>
    <m/>
    <m/>
    <n v="0"/>
    <s v="Nő"/>
    <m/>
    <s v="fazekasildiko27@gmail.com"/>
    <s v="Kelemet Mária Terézia"/>
    <n v="2"/>
    <s v="Aktív"/>
    <n v="0"/>
    <n v="2"/>
    <s v="magyar"/>
    <n v="170000"/>
  </r>
  <r>
    <s v="Lakatos-Soós Tamara"/>
    <s v="EFYHVT"/>
    <s v="Aktív"/>
    <s v="fejlesztő, differenciáló pedagógia területen pedagógus-szakvizsgára felkészítő"/>
    <x v="2"/>
    <s v="fejlesztő, differenciáló pedagógia területen pedagógus-szakvizsgára felkészítő"/>
    <s v="BDPK-SEK-FDPSZ-LTHU"/>
    <s v="Zalaegerszeg"/>
    <s v="Zala"/>
    <s v="Soós Tamara"/>
    <s v="Magyarország"/>
    <d v="1987-01-23T00:00:00"/>
    <s v="T192581/FI80798"/>
    <x v="2"/>
    <s v="Önköltséges"/>
    <s v="2021/22/1"/>
    <s v="Levelező"/>
    <n v="5"/>
    <n v="1"/>
    <s v="2008/09/2"/>
    <n v="4"/>
    <s v="79022656966"/>
    <n v="4"/>
    <x v="3"/>
    <m/>
    <m/>
    <m/>
    <m/>
    <s v="Felvétel"/>
    <d v="2021-09-13T00:00:00"/>
    <m/>
    <s v="BDPK-SEK"/>
    <s v="Eke Norbertné"/>
    <d v="2021-09-10T00:00:00"/>
    <d v="2023-07-15T00:00:00"/>
    <m/>
    <m/>
    <n v="0"/>
    <s v="Nő"/>
    <m/>
    <s v="soos.tamara1987@gmail.com"/>
    <s v="Flórika Ildikó"/>
    <n v="2"/>
    <s v="Aktív"/>
    <n v="0"/>
    <n v="2"/>
    <s v="magyar"/>
    <n v="170000"/>
  </r>
  <r>
    <s v="Varga-Hajdu Anett Clarisse"/>
    <s v="O0YDZG"/>
    <s v="Aktív"/>
    <s v="fejlesztő, differenciáló pedagógia területen pedagógus-szakvizsgára felkészítő"/>
    <x v="2"/>
    <s v="fejlesztő, differenciáló pedagógia területen pedagógus-szakvizsgára felkészítő"/>
    <s v="BDPK-SEK-FDPSZ-LTHU"/>
    <s v="Hatvan"/>
    <s v="Heves"/>
    <s v="Hajdu Anett Clarisse"/>
    <s v="Magyarország"/>
    <d v="1979-11-16T00:00:00"/>
    <s v="T192582/FI80798"/>
    <x v="2"/>
    <s v="Önköltséges"/>
    <s v="2021/22/1"/>
    <s v="Levelező"/>
    <n v="1"/>
    <n v="1"/>
    <s v="2006/07/1"/>
    <n v="4"/>
    <s v="71742594720"/>
    <n v="4"/>
    <x v="3"/>
    <m/>
    <m/>
    <m/>
    <m/>
    <s v="Felvétel"/>
    <d v="2021-09-13T00:00:00"/>
    <m/>
    <s v="BDPK-SEK"/>
    <s v="Eke Norbertné"/>
    <d v="2021-09-10T00:00:00"/>
    <d v="2023-07-15T00:00:00"/>
    <m/>
    <m/>
    <n v="0"/>
    <s v="Nő"/>
    <m/>
    <s v="varga-hajdu.anett@bolyaigimnazium.elte.hu"/>
    <s v="Molnár Mária"/>
    <n v="2"/>
    <s v="Aktív"/>
    <n v="0"/>
    <n v="2"/>
    <s v="magyar"/>
    <n v="170000"/>
  </r>
  <r>
    <s v="Horváth Judit"/>
    <s v="DW0MEL"/>
    <s v="Passzív"/>
    <s v="fejlesztő, differenciáló pedagógia területen pedagógus-szakvizsgára felkészítő"/>
    <x v="2"/>
    <s v="fejlesztő, differenciáló pedagógia területen pedagógus-szakvizsgára felkészítő"/>
    <s v="BDPK-SEK-FDPSZ-LTHU"/>
    <s v="Szombathely"/>
    <s v="Vas"/>
    <s v="Horváth Judit"/>
    <s v="Magyarország"/>
    <d v="1973-10-22T00:00:00"/>
    <s v="T192573/FI80798"/>
    <x v="2"/>
    <s v="Önköltséges"/>
    <s v="2021/22/1"/>
    <s v="Levelező"/>
    <n v="5"/>
    <m/>
    <m/>
    <n v="4"/>
    <s v="74256044331"/>
    <n v="4"/>
    <x v="3"/>
    <m/>
    <m/>
    <m/>
    <m/>
    <s v="Felvétel"/>
    <d v="2021-09-13T00:00:00"/>
    <m/>
    <s v="BDPK-SEK"/>
    <s v="Eke Norbertné"/>
    <d v="2021-09-10T00:00:00"/>
    <d v="2024-07-15T00:00:00"/>
    <m/>
    <m/>
    <n v="0"/>
    <s v="Nő"/>
    <m/>
    <s v="horjudit@gmail.com"/>
    <s v="Kudar Julianna"/>
    <n v="1"/>
    <s v="Passzív"/>
    <m/>
    <n v="1"/>
    <s v="magyar"/>
    <m/>
  </r>
  <r>
    <s v="Szénási-Dajka Edit Erika"/>
    <s v="C88YPU"/>
    <s v="Aktív"/>
    <s v="fejlesztő, differenciáló pedagógia területen pedagógus-szakvizsgára felkészítő"/>
    <x v="2"/>
    <s v="fejlesztő, differenciáló pedagógia területen pedagógus-szakvizsgára felkészítő"/>
    <s v="BDPK-SEK-FDPSZ-LTHU"/>
    <s v="Esztergom"/>
    <s v="Komárom-Esztergom"/>
    <s v="Dajka Edit Erika"/>
    <s v="Magyarország"/>
    <d v="1983-01-25T00:00:00"/>
    <s v="T192629/FI80798"/>
    <x v="2"/>
    <s v="Önköltséges"/>
    <s v="2021/22/1"/>
    <s v="Levelező"/>
    <n v="7"/>
    <n v="1"/>
    <s v="2017/18/2"/>
    <n v="4"/>
    <s v="73049334192"/>
    <n v="4"/>
    <x v="3"/>
    <m/>
    <m/>
    <m/>
    <m/>
    <s v="Felvétel"/>
    <d v="2021-09-13T00:00:00"/>
    <m/>
    <s v="BDPK-SEK"/>
    <s v="Eke Norbertné"/>
    <d v="2021-09-10T00:00:00"/>
    <d v="2023-07-15T00:00:00"/>
    <m/>
    <m/>
    <n v="0"/>
    <s v="Nő"/>
    <m/>
    <s v="dajka.editke@gmail.com"/>
    <s v="Pásztor Edit Erika"/>
    <n v="2"/>
    <s v="Aktív"/>
    <n v="0"/>
    <n v="2"/>
    <s v="magyar"/>
    <n v="170000"/>
  </r>
  <r>
    <s v="Schäffer Renáta"/>
    <s v="TUJT7S"/>
    <s v="Aktív"/>
    <s v="fejlesztő, differenciáló pedagógia területen pedagógus-szakvizsgára felkészítő"/>
    <x v="2"/>
    <s v="fejlesztő, differenciáló pedagógia területen pedagógus-szakvizsgára felkészítő"/>
    <s v="BDPK-SEK-FDPSZ-LTHU"/>
    <s v="Mohács"/>
    <s v="Baranya"/>
    <s v="Schäffer Renáta"/>
    <s v="Magyarország"/>
    <d v="1992-08-19T00:00:00"/>
    <s v="T192578/FI80798"/>
    <x v="2"/>
    <s v="Önköltséges"/>
    <s v="2021/22/1"/>
    <s v="Levelező"/>
    <n v="3"/>
    <n v="1"/>
    <s v="2015/16/2"/>
    <n v="4"/>
    <s v="73179547079"/>
    <n v="4"/>
    <x v="3"/>
    <m/>
    <m/>
    <m/>
    <m/>
    <s v="Felvétel"/>
    <d v="2021-09-13T00:00:00"/>
    <m/>
    <s v="BDPK-SEK"/>
    <s v="Eke Norbertné"/>
    <d v="2021-09-10T00:00:00"/>
    <d v="2023-07-15T00:00:00"/>
    <m/>
    <m/>
    <n v="0"/>
    <s v="Nő"/>
    <m/>
    <s v="renata.schaffer.92@gmail.com"/>
    <s v="Oláh Andrea"/>
    <n v="2"/>
    <s v="Aktív"/>
    <n v="0"/>
    <n v="2"/>
    <s v="magyar"/>
    <n v="170000"/>
  </r>
  <r>
    <s v="Giczi Bence"/>
    <s v="B2JRYJ"/>
    <s v="Aktív"/>
    <s v="fizika"/>
    <x v="3"/>
    <s v="fizika"/>
    <s v="BDPK-SEK-SANB-FI-NBHU"/>
    <s v="Szombathely"/>
    <s v="Vas"/>
    <s v="Giczi Bence"/>
    <s v="Magyarország"/>
    <d v="1994-04-01T00:00:00"/>
    <s v="T011417/FI21120/B"/>
    <x v="0"/>
    <s v="Önköltséges"/>
    <s v="2014/15/1"/>
    <s v="Nappali"/>
    <n v="5"/>
    <n v="1"/>
    <s v="2017/18/2"/>
    <n v="6"/>
    <s v="75906533490"/>
    <n v="6"/>
    <x v="1"/>
    <s v="a központi eljárásban magyarországi képzésre"/>
    <n v="328"/>
    <m/>
    <m/>
    <s v="Felvétel"/>
    <d v="2014-09-01T00:00:00"/>
    <s v="310990101571"/>
    <s v="BDPK-SEK"/>
    <s v="Eke Norbertné"/>
    <d v="2014-08-28T00:00:00"/>
    <d v="2022-07-15T00:00:00"/>
    <n v="175000"/>
    <n v="2"/>
    <n v="6"/>
    <s v="Férfi"/>
    <n v="175000"/>
    <s v="giczib@gmail.com"/>
    <s v="Boros Julianna"/>
    <n v="16"/>
    <s v="Aktív"/>
    <n v="6"/>
    <n v="16"/>
    <s v="magyar"/>
    <n v="175000"/>
  </r>
  <r>
    <s v="Kubinszky Péterné"/>
    <s v="NEXI1P"/>
    <s v="Aktív"/>
    <s v="germanisztika"/>
    <x v="4"/>
    <s v="germanisztika"/>
    <s v="BDPK-SEK-SALB-GE-LBHU"/>
    <s v="Veszprém"/>
    <s v="Veszprém"/>
    <s v="Dobos Dóra"/>
    <s v="Magyarország"/>
    <d v="1989-09-05T00:00:00"/>
    <s v="T184901/FI80798"/>
    <x v="0"/>
    <s v="Állami ösztöndíjas"/>
    <s v="2021/22/1"/>
    <s v="Levelező"/>
    <n v="7"/>
    <n v="1"/>
    <s v="2021/22/2"/>
    <n v="6"/>
    <s v="75977880192"/>
    <n v="6"/>
    <x v="0"/>
    <s v="a központi eljárásban magyarországi képzésre"/>
    <n v="440"/>
    <m/>
    <m/>
    <s v="Felvétel"/>
    <d v="2021-09-01T00:00:00"/>
    <s v="310814218239"/>
    <s v="BDPK-SEK"/>
    <s v="Neubauer Nikoletta"/>
    <d v="2021-07-23T00:00:00"/>
    <d v="2024-07-15T00:00:00"/>
    <n v="300000"/>
    <m/>
    <n v="1"/>
    <s v="Nő"/>
    <n v="300000"/>
    <s v="kubinszkydora@gmail.com"/>
    <s v="Kalas Ágnes"/>
    <n v="2"/>
    <s v="Aktív"/>
    <n v="2"/>
    <n v="2"/>
    <s v="magyar"/>
    <m/>
  </r>
  <r>
    <s v="Kelemen Lilla"/>
    <s v="YAZ3GN"/>
    <s v="Aktív"/>
    <s v="germanisztika"/>
    <x v="4"/>
    <s v="germanisztika"/>
    <s v="BDPK-SEK-SALB-GE-LBHU"/>
    <s v="Veszprém"/>
    <s v="Veszprém"/>
    <s v="Kelemen Lilla"/>
    <s v="Magyarország"/>
    <d v="1992-11-20T00:00:00"/>
    <s v="T139694/FI80798"/>
    <x v="0"/>
    <s v="Állami ösztöndíjas"/>
    <s v="2018/19/1"/>
    <s v="Levelező"/>
    <n v="1"/>
    <n v="1"/>
    <s v="2021/22/2"/>
    <n v="6"/>
    <s v="75876862179"/>
    <n v="6"/>
    <x v="0"/>
    <s v="a központi eljárásban magyarországi képzésre"/>
    <n v="464"/>
    <m/>
    <m/>
    <s v="Felvétel"/>
    <d v="2018-09-01T00:00:00"/>
    <s v="310882252235"/>
    <s v="BDPK-SEK"/>
    <s v="Neubauer Nikoletta"/>
    <d v="2018-07-25T00:00:00"/>
    <d v="2022-07-15T00:00:00"/>
    <n v="200000"/>
    <m/>
    <n v="5"/>
    <s v="Nő"/>
    <n v="200000"/>
    <s v="k.lilla@icloud.com"/>
    <s v="Varga Anita"/>
    <n v="6"/>
    <s v="Aktív"/>
    <n v="6"/>
    <n v="6"/>
    <s v="magyar"/>
    <m/>
  </r>
  <r>
    <s v="Bognár Gabriella"/>
    <s v="JC3WD9"/>
    <s v="Aktív"/>
    <s v="germanisztika"/>
    <x v="4"/>
    <s v="germanisztika"/>
    <s v="BDPK-SEK-SALB-GE-LBHU"/>
    <s v="Celldömölk"/>
    <s v="Vas"/>
    <s v="Bognár Gabriella"/>
    <s v="Magyarország"/>
    <d v="1993-01-17T00:00:00"/>
    <s v="T170882/FI80798"/>
    <x v="0"/>
    <s v="Önköltséges"/>
    <s v="2020/21/1"/>
    <s v="Levelező"/>
    <n v="12"/>
    <m/>
    <m/>
    <n v="6"/>
    <s v="78083494183"/>
    <n v="6"/>
    <x v="0"/>
    <s v="a központi eljárásban magyarországi képzésre"/>
    <n v="322"/>
    <m/>
    <m/>
    <s v="Felvétel"/>
    <d v="2020-09-01T00:00:00"/>
    <s v="310804947052"/>
    <s v="BDPK-SEK"/>
    <s v="Neubauer Nikoletta"/>
    <d v="2020-07-23T00:00:00"/>
    <d v="2023-07-15T00:00:00"/>
    <m/>
    <m/>
    <n v="0"/>
    <s v="Nő"/>
    <m/>
    <s v="gabriellabognar17@gmail.com"/>
    <s v="Kálmán Györgyi"/>
    <n v="4"/>
    <s v="Aktív"/>
    <n v="0"/>
    <n v="4"/>
    <s v="magyar"/>
    <n v="300000"/>
  </r>
  <r>
    <s v="Lauer Áron"/>
    <s v="UAXQJA"/>
    <s v="Aktív"/>
    <s v="germanisztika"/>
    <x v="4"/>
    <s v="germanisztika"/>
    <s v="BDPK-SEK-SALB-GE-LBHU"/>
    <s v="Cegléd"/>
    <s v="Pest"/>
    <s v="Lauer Áron"/>
    <s v="Magyarország"/>
    <d v="1997-03-04T00:00:00"/>
    <s v="T151814/FI80798"/>
    <x v="0"/>
    <s v="Állami ösztöndíjas"/>
    <s v="2019/20/1"/>
    <s v="Levelező"/>
    <n v="7"/>
    <n v="1"/>
    <s v="2021/22/2"/>
    <n v="6"/>
    <s v="75472511693"/>
    <n v="6"/>
    <x v="0"/>
    <s v="a központi eljárásban magyarországi képzésre"/>
    <n v="424"/>
    <m/>
    <m/>
    <s v="Felvétel"/>
    <d v="2019-09-01T00:00:00"/>
    <s v="310982173653"/>
    <s v="BDPK-SEK"/>
    <s v="Neubauer Nikoletta"/>
    <d v="2019-07-24T00:00:00"/>
    <d v="2022-07-15T00:00:00"/>
    <n v="300000"/>
    <m/>
    <n v="5"/>
    <s v="Férfi"/>
    <n v="300000"/>
    <s v="lauer.aron909@gmail.com"/>
    <s v="Galovics Krisztina"/>
    <n v="6"/>
    <s v="Aktív"/>
    <n v="6"/>
    <n v="6"/>
    <s v="magyar"/>
    <m/>
  </r>
  <r>
    <s v="Horváth Klaudia"/>
    <s v="EMS9AH"/>
    <s v="Aktív"/>
    <s v="germanisztika"/>
    <x v="4"/>
    <s v="germanisztika"/>
    <s v="BDPK-SEK-SALB-GE-LBHU"/>
    <s v="Sopron"/>
    <s v="Győr-Moson-Sopron"/>
    <s v="Horváth Klaudia"/>
    <s v="Magyarország"/>
    <d v="1995-08-14T00:00:00"/>
    <s v="T151995/FI80798"/>
    <x v="0"/>
    <s v="Állami ösztöndíjas"/>
    <s v="2019/20/1"/>
    <s v="Levelező"/>
    <n v="6"/>
    <n v="1"/>
    <s v="2021/22/2"/>
    <n v="6"/>
    <s v="77065567000"/>
    <n v="6"/>
    <x v="0"/>
    <s v="a központi eljárásban magyarországi képzésre"/>
    <n v="340"/>
    <m/>
    <m/>
    <s v="Felvétel"/>
    <d v="2019-09-01T00:00:00"/>
    <s v="310982047394"/>
    <s v="BDPK-SEK"/>
    <s v="Neubauer Nikoletta"/>
    <d v="2019-07-24T00:00:00"/>
    <d v="2022-07-15T00:00:00"/>
    <n v="300000"/>
    <m/>
    <n v="5"/>
    <s v="Nő"/>
    <n v="300000"/>
    <s v="klau0055@gmail.com"/>
    <s v="Bokor Annamária"/>
    <n v="6"/>
    <s v="Aktív"/>
    <n v="6"/>
    <n v="6"/>
    <s v="magyar"/>
    <m/>
  </r>
  <r>
    <s v="Varga Dániel"/>
    <s v="WBA4DW"/>
    <s v="Aktív"/>
    <s v="germanisztika"/>
    <x v="4"/>
    <s v="germanisztika"/>
    <s v="BDPK-SEK-SALB-GE-LBHU"/>
    <s v="Zalaegerszeg"/>
    <s v="Zala"/>
    <s v="Varga Dániel"/>
    <s v="Magyarország"/>
    <d v="1986-03-07T00:00:00"/>
    <s v="T148742/FI80798"/>
    <x v="0"/>
    <s v="Önköltséges"/>
    <s v="2019/20/1"/>
    <s v="Levelező"/>
    <n v="10"/>
    <n v="1"/>
    <s v="2006/07/1"/>
    <n v="6"/>
    <s v="77164733226"/>
    <n v="6"/>
    <x v="0"/>
    <s v="a központi eljárásban magyarországi képzésre"/>
    <n v="303"/>
    <m/>
    <m/>
    <s v="Felvétel"/>
    <d v="2019-09-01T00:00:00"/>
    <s v="310982417803"/>
    <s v="BDPK-SEK"/>
    <s v="Neubauer Nikoletta"/>
    <d v="2019-07-24T00:00:00"/>
    <d v="2023-07-15T00:00:00"/>
    <m/>
    <m/>
    <n v="0"/>
    <s v="Férfi"/>
    <m/>
    <s v="vargad99@gmail.com"/>
    <s v="Gróf Erika"/>
    <n v="4"/>
    <s v="Aktív"/>
    <n v="0"/>
    <n v="4"/>
    <s v="magyar"/>
    <n v="300000"/>
  </r>
  <r>
    <s v="Sándor Szonja Lili"/>
    <s v="XK03QN"/>
    <s v="Aktív"/>
    <s v="germanisztika"/>
    <x v="4"/>
    <s v="germanisztika"/>
    <s v="BDPK-SEK-SALB-GE-LBHU"/>
    <s v="Pécs"/>
    <s v="Baranya"/>
    <s v="Sándor Szonja Lili"/>
    <s v="Magyarország"/>
    <d v="1994-07-25T00:00:00"/>
    <s v="T179624/FI80798"/>
    <x v="0"/>
    <s v="Állami ösztöndíjas"/>
    <s v="2021/22/1"/>
    <s v="Levelező"/>
    <n v="8"/>
    <n v="1"/>
    <s v="2021/22/2"/>
    <n v="6"/>
    <s v="72196277153"/>
    <n v="6"/>
    <x v="0"/>
    <s v="a központi eljárásban magyarországi képzésre"/>
    <n v="375"/>
    <m/>
    <m/>
    <s v="Felvétel"/>
    <d v="2021-09-01T00:00:00"/>
    <s v="310814478411"/>
    <s v="BDPK-SEK"/>
    <s v="Neubauer Nikoletta"/>
    <d v="2021-07-23T00:00:00"/>
    <d v="2024-07-15T00:00:00"/>
    <n v="300000"/>
    <m/>
    <n v="1"/>
    <s v="Nő"/>
    <n v="300000"/>
    <s v="szonjasandor@gmail.com"/>
    <s v="Tallián Rita Zsuzsanna"/>
    <n v="2"/>
    <s v="Aktív"/>
    <n v="2"/>
    <n v="2"/>
    <s v="magyar"/>
    <m/>
  </r>
  <r>
    <s v="Bakonyi Bernadett"/>
    <s v="FDUCOF"/>
    <s v="Passzív"/>
    <s v="germanisztika"/>
    <x v="4"/>
    <s v="germanisztika"/>
    <s v="BDPK-SEK-SALB-GE-LBHU"/>
    <s v="Dombóvár"/>
    <s v="Tolna"/>
    <s v="Török Bernadett"/>
    <s v="Magyarország"/>
    <d v="1974-08-16T00:00:00"/>
    <s v="T161844/FI80798"/>
    <x v="0"/>
    <s v="Állami ösztöndíjas"/>
    <s v="2020/21/1"/>
    <s v="Levelező"/>
    <n v="11"/>
    <n v="1"/>
    <s v="2020/21/2"/>
    <n v="6"/>
    <s v="73588848279"/>
    <n v="6"/>
    <x v="0"/>
    <s v="a központi eljárásban magyarországi képzésre"/>
    <n v="440"/>
    <m/>
    <m/>
    <s v="Felvétel"/>
    <d v="2020-09-01T00:00:00"/>
    <s v="310804240383"/>
    <s v="BDPK-SEK"/>
    <s v="Neubauer Nikoletta"/>
    <d v="2020-07-23T00:00:00"/>
    <d v="2025-01-31T00:00:00"/>
    <n v="300000"/>
    <m/>
    <n v="2"/>
    <s v="Nő"/>
    <n v="300000"/>
    <s v="lowyberni@enternet.hu"/>
    <s v="Nagyági Ilona"/>
    <n v="2"/>
    <s v="Passzív"/>
    <n v="2"/>
    <n v="2"/>
    <s v="magyar"/>
    <m/>
  </r>
  <r>
    <s v="Varga-Egyed Eliza Bernadett"/>
    <s v="B25NFA"/>
    <s v="Aktív"/>
    <s v="germanisztika"/>
    <x v="4"/>
    <s v="germanisztika"/>
    <s v="BDPK-SEK-SALB-GE-LBHU"/>
    <s v="Szombathely"/>
    <s v="Vas"/>
    <s v="Egyed Eliza Bernadett"/>
    <s v="Magyarország"/>
    <d v="1994-01-27T00:00:00"/>
    <s v="T182314/FI80798"/>
    <x v="0"/>
    <s v="Állami ösztöndíjas"/>
    <s v="2021/22/1"/>
    <s v="Levelező"/>
    <n v="7"/>
    <n v="1"/>
    <s v="2021/22/2"/>
    <n v="6"/>
    <s v="79460271967"/>
    <n v="6"/>
    <x v="0"/>
    <s v="a központi eljárásban magyarországi képzésre"/>
    <n v="402"/>
    <m/>
    <m/>
    <s v="Felvétel"/>
    <d v="2021-09-01T00:00:00"/>
    <s v="310814190156"/>
    <s v="BDPK-SEK"/>
    <s v="Neubauer Nikoletta"/>
    <d v="2021-07-23T00:00:00"/>
    <d v="2024-07-15T00:00:00"/>
    <n v="300000"/>
    <m/>
    <n v="1"/>
    <s v="Nő"/>
    <n v="300000"/>
    <s v="egyed.eliza@gmail.com"/>
    <s v="Takács Nikoletta"/>
    <n v="2"/>
    <s v="Aktív"/>
    <n v="2"/>
    <n v="2"/>
    <s v="magyar"/>
    <m/>
  </r>
  <r>
    <s v="Szabó Dóra"/>
    <s v="B25NS2"/>
    <s v="Aktív"/>
    <s v="germanisztika"/>
    <x v="4"/>
    <s v="germanisztika"/>
    <s v="BDPK-SEK-SALB-GE-LBHU"/>
    <s v="Nagykanizsa"/>
    <s v="Zala"/>
    <s v="Szabó Dóra"/>
    <s v="Magyarország"/>
    <d v="1998-11-18T00:00:00"/>
    <s v="T164940/FI80798"/>
    <x v="0"/>
    <s v="Állami ösztöndíjas"/>
    <s v="2020/21/1"/>
    <s v="Levelező"/>
    <n v="9"/>
    <n v="1"/>
    <s v="2021/22/2"/>
    <n v="6"/>
    <s v="76401609899"/>
    <n v="6"/>
    <x v="0"/>
    <s v="a központi eljárásban magyarországi képzésre"/>
    <n v="452"/>
    <m/>
    <m/>
    <s v="Felvétel"/>
    <d v="2020-09-01T00:00:00"/>
    <s v="310804364209"/>
    <s v="BDPK-SEK"/>
    <s v="Neubauer Nikoletta"/>
    <d v="2020-07-23T00:00:00"/>
    <d v="2023-07-15T00:00:00"/>
    <n v="300000"/>
    <m/>
    <n v="3"/>
    <s v="Nő"/>
    <n v="300000"/>
    <s v="szabo98dora@gmail.com"/>
    <s v="Konkolyi Terézia Anna"/>
    <n v="4"/>
    <s v="Aktív"/>
    <n v="4"/>
    <n v="4"/>
    <s v="magyar"/>
    <m/>
  </r>
  <r>
    <s v="Szládovics Eszter dr."/>
    <s v="THU715"/>
    <s v="Aktív"/>
    <s v="germanisztika"/>
    <x v="4"/>
    <s v="germanisztika"/>
    <s v="BDPK-SEK-SALB-GE-LBHU"/>
    <s v="Keszthely"/>
    <s v="Zala"/>
    <s v="Szládovics Eszter"/>
    <s v="Magyarország"/>
    <d v="1981-02-17T00:00:00"/>
    <s v="T156375/FI80798"/>
    <x v="0"/>
    <s v="Állami ösztöndíjas"/>
    <s v="2019/20/1"/>
    <s v="Levelező"/>
    <n v="11"/>
    <n v="1"/>
    <s v="2021/22/2"/>
    <n v="6"/>
    <s v="73437579999"/>
    <n v="6"/>
    <x v="0"/>
    <s v="a központi eljárásban magyarországi képzésre"/>
    <n v="410"/>
    <m/>
    <m/>
    <s v="Felvétel"/>
    <d v="2019-09-01T00:00:00"/>
    <s v="310992075245"/>
    <s v="BDPK-SEK"/>
    <s v="Neubauer Nikoletta"/>
    <d v="2019-08-26T00:00:00"/>
    <d v="2022-07-15T00:00:00"/>
    <n v="300000"/>
    <m/>
    <n v="1"/>
    <s v="Nő"/>
    <n v="300000"/>
    <s v="szladovics.eszter@gmail.com"/>
    <s v="Farkas Elza Julianna"/>
    <n v="6"/>
    <s v="Aktív"/>
    <n v="2"/>
    <n v="6"/>
    <s v="magyar"/>
    <m/>
  </r>
  <r>
    <s v="Varga Beáta"/>
    <s v="GB7DM6"/>
    <s v="Aktív"/>
    <s v="germanisztika"/>
    <x v="4"/>
    <s v="germanisztika"/>
    <s v="BDPK-SEK-SALB-GE-LBHU"/>
    <s v="Győr"/>
    <s v="Győr-Moson-Sopron"/>
    <s v="Balassa Beáta"/>
    <s v="Magyarország"/>
    <d v="1971-03-23T00:00:00"/>
    <s v="T181436/FI80798"/>
    <x v="0"/>
    <s v="Állami ösztöndíjas"/>
    <s v="2021/22/1"/>
    <s v="Levelező"/>
    <n v="11"/>
    <n v="1"/>
    <s v="2021/22/2"/>
    <n v="6"/>
    <s v="73006141358"/>
    <n v="6"/>
    <x v="0"/>
    <s v="a központi eljárásban magyarországi képzésre"/>
    <n v="285"/>
    <m/>
    <m/>
    <s v="Felvétel"/>
    <d v="2021-09-01T00:00:00"/>
    <s v="310815062412"/>
    <s v="BDPK-SEK"/>
    <s v="Neubauer Nikoletta"/>
    <d v="2021-07-23T00:00:00"/>
    <d v="2024-07-15T00:00:00"/>
    <n v="300000"/>
    <m/>
    <n v="1"/>
    <s v="Nő"/>
    <n v="300000"/>
    <s v="sasabeus@gmail.com"/>
    <s v="Kovácsics Klára"/>
    <n v="2"/>
    <s v="Aktív"/>
    <n v="2"/>
    <n v="2"/>
    <s v="magyar"/>
    <m/>
  </r>
  <r>
    <s v="Fátrai Krisztina"/>
    <s v="CIONRD"/>
    <s v="Aktív"/>
    <s v="germanisztika"/>
    <x v="4"/>
    <s v="germanisztika"/>
    <s v="BDPK-SEK-SALB-GE-LBHU"/>
    <s v="Sopron"/>
    <s v="Győr-Moson-Sopron"/>
    <s v="Fátrai Krisztina"/>
    <s v="Magyarország"/>
    <d v="2000-07-22T00:00:00"/>
    <s v="T189015/FI80798"/>
    <x v="0"/>
    <s v="Állami ösztöndíjas"/>
    <s v="2021/22/1"/>
    <s v="Levelező"/>
    <n v="11"/>
    <n v="1"/>
    <s v="2021/22/2"/>
    <n v="6"/>
    <s v="71929709767"/>
    <n v="6"/>
    <x v="0"/>
    <s v="a központi eljárásban magyarországi képzésre"/>
    <n v="406"/>
    <m/>
    <m/>
    <s v="Felvétel"/>
    <d v="2021-09-01T00:00:00"/>
    <s v="310814716042"/>
    <s v="BDPK-SEK"/>
    <s v="Neubauer Nikoletta"/>
    <d v="2021-07-23T00:00:00"/>
    <d v="2024-07-15T00:00:00"/>
    <n v="300000"/>
    <m/>
    <n v="1"/>
    <s v="Nő"/>
    <n v="300000"/>
    <s v="krisztifatrai@gmail.com"/>
    <s v="Millendorfer Hajnalka"/>
    <n v="2"/>
    <s v="Aktív"/>
    <n v="2"/>
    <n v="2"/>
    <s v="magyar"/>
    <m/>
  </r>
  <r>
    <s v="Biró Benjámin Barnabás"/>
    <s v="MRNU4Y"/>
    <s v="Aktív"/>
    <s v="germanisztika"/>
    <x v="4"/>
    <s v="germanisztika"/>
    <s v="BDPK-SEK-SALB-GE-LBHU"/>
    <s v="Szombathely"/>
    <s v="Vas"/>
    <s v="Biró Benjámin Barnabás"/>
    <s v="Magyarország"/>
    <d v="1997-12-15T00:00:00"/>
    <s v="T189342/FI80798"/>
    <x v="0"/>
    <s v="Állami ösztöndíjas"/>
    <s v="2021/22/1"/>
    <s v="Levelező"/>
    <n v="7"/>
    <n v="1"/>
    <s v="2021/22/2"/>
    <n v="6"/>
    <s v="76447309974"/>
    <n v="6"/>
    <x v="0"/>
    <s v="a központi eljárásban magyarországi képzésre"/>
    <n v="460"/>
    <m/>
    <m/>
    <s v="Felvétel"/>
    <d v="2021-09-01T00:00:00"/>
    <s v="310815036234"/>
    <s v="BDPK-SEK"/>
    <s v="Neubauer Nikoletta"/>
    <d v="2021-07-23T00:00:00"/>
    <d v="2024-07-15T00:00:00"/>
    <n v="300000"/>
    <m/>
    <n v="2"/>
    <s v="Férfi"/>
    <n v="300000"/>
    <s v="birobenji97@gmail.com"/>
    <s v="Hérincs Annamária"/>
    <n v="2"/>
    <s v="Aktív"/>
    <n v="2"/>
    <n v="2"/>
    <s v="magyar"/>
    <m/>
  </r>
  <r>
    <s v="Kiss Bence"/>
    <s v="SA6KHG"/>
    <s v="Aktív"/>
    <s v="germanisztika (német)"/>
    <x v="4"/>
    <s v="germanisztika (német)"/>
    <s v="BTK-BNÉME-NBHU"/>
    <s v="Szombathely"/>
    <s v="Vas"/>
    <s v="Kiss Bence"/>
    <s v="Magyarország"/>
    <d v="1999-06-11T00:00:00"/>
    <s v="T167089/FI80798"/>
    <x v="0"/>
    <s v="Állami ösztöndíjas"/>
    <s v="2020/21/1"/>
    <s v="Nappali"/>
    <n v="9"/>
    <n v="1"/>
    <s v="2021/22/2"/>
    <n v="6"/>
    <s v="74875038585"/>
    <n v="6"/>
    <x v="0"/>
    <s v="a központi eljárásban magyarországi képzésre"/>
    <n v="326"/>
    <m/>
    <m/>
    <s v="Felvétel"/>
    <d v="2020-09-01T00:00:00"/>
    <s v="310804583261"/>
    <s v="BDPK-SEK"/>
    <s v="Neubauer Nikoletta"/>
    <d v="2020-07-23T00:00:00"/>
    <d v="2023-07-15T00:00:00"/>
    <n v="300000"/>
    <m/>
    <n v="3"/>
    <s v="Férfi"/>
    <n v="300000"/>
    <s v="bence9426@gmail.com"/>
    <s v="Horváth Andrea"/>
    <n v="4"/>
    <s v="Aktív"/>
    <n v="4"/>
    <n v="4"/>
    <s v="magyar"/>
    <m/>
  </r>
  <r>
    <s v="Pálla Zsombor"/>
    <s v="MEMRY6"/>
    <s v="Passzív"/>
    <s v="germanisztika (német)"/>
    <x v="4"/>
    <s v="germanisztika (német)"/>
    <s v="BTK-BNÉME-NBHU"/>
    <s v="Szombathely"/>
    <s v="Vas"/>
    <s v="Pálla Zsombor"/>
    <s v="Magyarország"/>
    <d v="1999-10-14T00:00:00"/>
    <s v="T170822/FI80798"/>
    <x v="0"/>
    <s v="Állami ösztöndíjas"/>
    <s v="2020/21/1"/>
    <s v="Nappali"/>
    <n v="10"/>
    <n v="1"/>
    <s v="2021/22/1"/>
    <n v="6"/>
    <s v="79521906520"/>
    <n v="6"/>
    <x v="0"/>
    <s v="a központi eljárásban magyarországi képzésre"/>
    <n v="356"/>
    <m/>
    <m/>
    <s v="Felvétel"/>
    <d v="2020-09-01T00:00:00"/>
    <s v="310804714643"/>
    <s v="BDPK-SEK"/>
    <s v="Neubauer Nikoletta"/>
    <d v="2020-07-23T00:00:00"/>
    <d v="2024-07-15T00:00:00"/>
    <n v="300000"/>
    <m/>
    <n v="3"/>
    <s v="Férfi"/>
    <n v="300000"/>
    <s v="zsombesz9999@gmail.com"/>
    <s v="Lakics Erika Dr."/>
    <n v="3"/>
    <s v="Passzív"/>
    <m/>
    <n v="3"/>
    <s v="magyar"/>
    <m/>
  </r>
  <r>
    <s v="Guczogi-Hajnal Nikolett"/>
    <s v="HXMXX1"/>
    <s v="Aktív"/>
    <s v="képalkotás"/>
    <x v="5"/>
    <s v="képalkotás"/>
    <s v="BDPK-SEK-SALB-KEPA-LBHU"/>
    <s v="Szombathely"/>
    <s v="Vas"/>
    <s v="Hajnal Nikolett"/>
    <s v="Magyarország"/>
    <d v="1990-05-26T00:00:00"/>
    <s v="T170927/FI80798"/>
    <x v="0"/>
    <s v="Állami ösztöndíjas"/>
    <s v="2020/21/1"/>
    <s v="Levelező"/>
    <n v="5"/>
    <n v="1"/>
    <s v="2021/22/2"/>
    <n v="6"/>
    <s v="74624117958"/>
    <n v="6"/>
    <x v="4"/>
    <s v="a központi eljárásban magyarországi képzésre"/>
    <n v="370"/>
    <m/>
    <m/>
    <s v="Felvétel"/>
    <d v="2020-09-01T00:00:00"/>
    <s v="310804786435"/>
    <s v="BDPK-SEK"/>
    <s v="Eke Norbertné"/>
    <d v="2020-07-23T00:00:00"/>
    <d v="2023-07-15T00:00:00"/>
    <n v="350000"/>
    <m/>
    <n v="3"/>
    <s v="Nő"/>
    <n v="350000"/>
    <s v="csimpaa@gmail.com"/>
    <s v="Polgár Andrea"/>
    <n v="4"/>
    <s v="Aktív"/>
    <n v="4"/>
    <n v="4"/>
    <s v="magyar"/>
    <m/>
  </r>
  <r>
    <s v="Papp Laura Kinga"/>
    <s v="A45OML"/>
    <s v="Aktív"/>
    <s v="képalkotás"/>
    <x v="5"/>
    <s v="képalkotás"/>
    <s v="BDPK-SEK-SANB-KEPA-NBHU"/>
    <s v="Szombathely"/>
    <s v="Vas"/>
    <s v="Papp Laura Kinga"/>
    <s v="Magyarország"/>
    <d v="1999-09-11T00:00:00"/>
    <s v="T137938/FI80798"/>
    <x v="0"/>
    <s v="Állami ösztöndíjas (képzési időn túli)"/>
    <s v="2018/19/1"/>
    <s v="Nappali"/>
    <n v="7"/>
    <n v="2"/>
    <s v="2021/22/2"/>
    <n v="6"/>
    <s v="76014772348"/>
    <n v="6"/>
    <x v="4"/>
    <s v="a központi eljárásban magyarországi képzésre"/>
    <n v="398"/>
    <m/>
    <m/>
    <s v="Felvétel"/>
    <d v="2018-09-01T00:00:00"/>
    <s v="310882354577"/>
    <s v="BDPK-SEK"/>
    <s v="Eke Norbertné"/>
    <d v="2018-07-25T00:00:00"/>
    <d v="2022-07-15T00:00:00"/>
    <n v="350000"/>
    <m/>
    <n v="6"/>
    <s v="Nő"/>
    <n v="350000"/>
    <s v="laurakingap37@gmail.com"/>
    <s v="Füzes Bernadett Edina"/>
    <n v="7"/>
    <s v="Aktív"/>
    <n v="7"/>
    <n v="7"/>
    <s v="magyar"/>
    <m/>
  </r>
  <r>
    <s v="Pénzes Krisztián"/>
    <s v="HJGMB3"/>
    <s v="Aktív"/>
    <s v="képalkotás"/>
    <x v="5"/>
    <s v="képalkotás"/>
    <s v="BDPK-SEK-SANB-KEPA-NBHU"/>
    <s v="Csorna"/>
    <s v="Győr-Moson-Sopron"/>
    <s v="Pénzes Krisztián"/>
    <s v="Magyarország"/>
    <d v="2000-01-01T00:00:00"/>
    <s v="T142742/FI80798"/>
    <x v="0"/>
    <s v="Állami ösztöndíjas"/>
    <s v="2018/19/1"/>
    <s v="Nappali"/>
    <n v="7"/>
    <n v="1"/>
    <s v="2021/22/2"/>
    <n v="6"/>
    <s v="79310608409"/>
    <n v="6"/>
    <x v="4"/>
    <s v="a központi eljárásban magyarországi képzésre"/>
    <n v="396"/>
    <m/>
    <m/>
    <s v="Felvétel"/>
    <d v="2018-09-01T00:00:00"/>
    <s v="310882827473"/>
    <s v="BDPK-SEK"/>
    <s v="Eke Norbertné"/>
    <d v="2018-07-25T00:00:00"/>
    <d v="2023-01-31T00:00:00"/>
    <n v="350000"/>
    <m/>
    <n v="5"/>
    <s v="Férfi"/>
    <n v="350000"/>
    <s v="penzeskrisztian42@gmail.com"/>
    <s v="Kuti Mária"/>
    <n v="6"/>
    <s v="Aktív"/>
    <n v="6"/>
    <n v="6"/>
    <s v="magyar"/>
    <m/>
  </r>
  <r>
    <s v="Horváth Gizella Anna"/>
    <s v="AN0OOQ"/>
    <s v="Aktív"/>
    <s v="képalkotás"/>
    <x v="5"/>
    <s v="képalkotás"/>
    <s v="BDPK-SEK-SALB-KEPA-LBHU"/>
    <s v="Orosháza"/>
    <s v="Békés"/>
    <s v="Horváth Gizella Anna"/>
    <s v="Magyarország"/>
    <d v="1993-08-16T00:00:00"/>
    <s v="T142404/FI80798"/>
    <x v="0"/>
    <s v="Állami ösztöndíjas (képzési időn túli)"/>
    <s v="2018/19/1"/>
    <s v="Levelező"/>
    <n v="6"/>
    <n v="1"/>
    <s v="2021/22/2"/>
    <n v="6"/>
    <s v="71788145421"/>
    <n v="6"/>
    <x v="4"/>
    <s v="a központi eljárásban magyarországi képzésre"/>
    <n v="398"/>
    <m/>
    <m/>
    <s v="Felvétel"/>
    <d v="2018-09-01T00:00:00"/>
    <s v="310882902243"/>
    <s v="BDPK-SEK"/>
    <s v="Eke Norbertné"/>
    <d v="2018-07-25T00:00:00"/>
    <d v="2022-07-15T00:00:00"/>
    <n v="350000"/>
    <m/>
    <n v="6"/>
    <s v="Nő"/>
    <n v="350000"/>
    <s v="horvathgizella93@gmail.com"/>
    <s v="Gyarmati Gizella"/>
    <n v="7"/>
    <s v="Aktív"/>
    <n v="7"/>
    <n v="7"/>
    <s v="magyar"/>
    <m/>
  </r>
  <r>
    <s v="Jauernik Margit Emese"/>
    <s v="HR1EKL"/>
    <s v="Aktív"/>
    <s v="képalkotás"/>
    <x v="5"/>
    <s v="képalkotás"/>
    <s v="BDPK-SEK-SALB-KEPA-LBHU"/>
    <s v="Szombathely"/>
    <s v="Vas"/>
    <s v="Jauernik Margit Emese"/>
    <s v="Magyarország"/>
    <d v="2000-02-09T00:00:00"/>
    <s v="T170427/FI80798"/>
    <x v="0"/>
    <s v="Állami ösztöndíjas"/>
    <s v="2020/21/1"/>
    <s v="Levelező"/>
    <n v="9"/>
    <n v="1"/>
    <s v="2021/22/2"/>
    <n v="6"/>
    <s v="72931573621"/>
    <n v="6"/>
    <x v="4"/>
    <s v="a központi eljárásban magyarországi képzésre"/>
    <n v="380"/>
    <m/>
    <m/>
    <s v="Felvétel"/>
    <d v="2020-09-01T00:00:00"/>
    <s v="310804056243"/>
    <s v="BDPK-SEK"/>
    <s v="Eke Norbertné"/>
    <d v="2020-07-23T00:00:00"/>
    <d v="2023-07-15T00:00:00"/>
    <n v="350000"/>
    <m/>
    <n v="3"/>
    <s v="Nő"/>
    <n v="350000"/>
    <s v="mac.kocsis82@gmail.com"/>
    <s v="Jauernik Emese Zsuzsanna"/>
    <n v="4"/>
    <s v="Aktív"/>
    <n v="4"/>
    <n v="4"/>
    <s v="magyar"/>
    <m/>
  </r>
  <r>
    <s v="Kiss Erzsébet"/>
    <s v="OULEI1"/>
    <s v="Aktív"/>
    <s v="képalkotás"/>
    <x v="5"/>
    <s v="képalkotás"/>
    <s v="BDPK-SEK-SALB-KEPA-LBHU"/>
    <s v="Ózd"/>
    <s v="Borsod-Abaúj-Zemplén"/>
    <s v="Kiss Erzsébet"/>
    <s v="Magyarország"/>
    <d v="1971-07-20T00:00:00"/>
    <s v="T155269/FI80798"/>
    <x v="0"/>
    <s v="Állami ösztöndíjas"/>
    <s v="2019/20/1"/>
    <s v="Levelező"/>
    <n v="7"/>
    <n v="1"/>
    <s v="2021/22/2"/>
    <n v="6"/>
    <s v="73230649100"/>
    <n v="6"/>
    <x v="4"/>
    <s v="a központi eljárásban magyarországi képzésre"/>
    <n v="368"/>
    <m/>
    <m/>
    <s v="Felvétel"/>
    <d v="2019-09-01T00:00:00"/>
    <s v="310983232953"/>
    <s v="BDPK-SEK"/>
    <s v="Eke Norbertné"/>
    <d v="2019-07-24T00:00:00"/>
    <d v="2022-07-15T00:00:00"/>
    <n v="350000"/>
    <m/>
    <n v="5"/>
    <s v="Nő"/>
    <n v="350000"/>
    <s v="kisszsoka71@gmail.com"/>
    <s v="Tulipán Erzsébet"/>
    <n v="6"/>
    <s v="Aktív"/>
    <n v="6"/>
    <n v="6"/>
    <s v="magyar"/>
    <m/>
  </r>
  <r>
    <s v="Kiss Kornélia"/>
    <s v="SUMO4M"/>
    <s v="Aktív"/>
    <s v="képalkotás"/>
    <x v="5"/>
    <s v="képalkotás"/>
    <s v="BDPK-SEK-SANB-KEPA-NBHU"/>
    <s v="Szombathely"/>
    <s v="Vas"/>
    <s v="Kiss Kornélia"/>
    <s v="Magyarország"/>
    <d v="1996-09-09T00:00:00"/>
    <s v="T155589/FI80798"/>
    <x v="0"/>
    <s v="Állami ösztöndíjas"/>
    <s v="2019/20/1"/>
    <s v="Nappali"/>
    <n v="4"/>
    <n v="1"/>
    <s v="2021/22/2"/>
    <n v="6"/>
    <s v="79353854901"/>
    <n v="6"/>
    <x v="4"/>
    <s v="a központi eljárásban magyarországi képzésre"/>
    <n v="400"/>
    <m/>
    <m/>
    <s v="Felvétel"/>
    <d v="2019-09-01T00:00:00"/>
    <s v="310983078216"/>
    <s v="BDPK-SEK"/>
    <s v="Eke Norbertné"/>
    <d v="2019-07-24T00:00:00"/>
    <d v="2022-07-15T00:00:00"/>
    <n v="350000"/>
    <m/>
    <n v="5"/>
    <s v="Nő"/>
    <n v="350000"/>
    <s v="kiss.kornelia0909@gmail.com"/>
    <s v="Bokor Gabriella"/>
    <n v="6"/>
    <s v="Aktív"/>
    <n v="6"/>
    <n v="6"/>
    <s v="magyar"/>
    <m/>
  </r>
  <r>
    <s v="Preiner Vivien"/>
    <s v="TJYO2G"/>
    <s v="Aktív"/>
    <s v="képalkotás"/>
    <x v="5"/>
    <s v="képalkotás"/>
    <s v="BDPK-SEK-SANB-KEPA-NBHU"/>
    <s v="Sopron"/>
    <s v="Győr-Moson-Sopron"/>
    <s v="Preiner Vivien"/>
    <s v="Magyarország"/>
    <d v="2001-07-25T00:00:00"/>
    <s v="T150264/FI80798"/>
    <x v="0"/>
    <s v="Állami ösztöndíjas"/>
    <s v="2019/20/1"/>
    <s v="Nappali"/>
    <n v="9"/>
    <n v="1"/>
    <s v="2021/22/2"/>
    <n v="6"/>
    <s v="71731964725"/>
    <n v="6"/>
    <x v="4"/>
    <s v="a központi eljárásban magyarországi képzésre"/>
    <n v="386"/>
    <m/>
    <m/>
    <s v="Felvétel"/>
    <d v="2019-09-01T00:00:00"/>
    <s v="310982756671"/>
    <s v="BDPK-SEK"/>
    <s v="Eke Norbertné"/>
    <d v="2019-07-24T00:00:00"/>
    <d v="2023-07-15T00:00:00"/>
    <n v="350000"/>
    <m/>
    <n v="3"/>
    <s v="Nő"/>
    <n v="350000"/>
    <s v="preinervivien@gmail.com"/>
    <s v="Fekete Kornélia"/>
    <n v="4"/>
    <s v="Aktív"/>
    <n v="4"/>
    <n v="4"/>
    <s v="magyar"/>
    <m/>
  </r>
  <r>
    <s v="Felde Virág Bianka"/>
    <s v="DCYL5N"/>
    <s v="Aktív"/>
    <s v="képalkotás"/>
    <x v="5"/>
    <s v="képalkotás"/>
    <s v="BDPK-SEK-SANB-KEPA-NBHU"/>
    <s v="Szombathely"/>
    <s v="Vas"/>
    <s v="Felde Virág Bianka"/>
    <s v="Magyarország"/>
    <d v="1999-01-04T00:00:00"/>
    <s v="T147462/FI80798"/>
    <x v="0"/>
    <s v="Állami ösztöndíjas"/>
    <s v="2019/20/1"/>
    <s v="Nappali"/>
    <n v="7"/>
    <n v="1"/>
    <s v="2021/22/2"/>
    <n v="6"/>
    <s v="77109283286"/>
    <n v="6"/>
    <x v="4"/>
    <s v="a központi eljárásban magyarországi képzésre"/>
    <n v="388"/>
    <m/>
    <m/>
    <s v="Felvétel"/>
    <d v="2019-09-01T00:00:00"/>
    <s v="310982097969"/>
    <s v="BDPK-SEK"/>
    <s v="Eke Norbertné"/>
    <d v="2019-07-24T00:00:00"/>
    <d v="2022-07-15T00:00:00"/>
    <n v="350000"/>
    <m/>
    <n v="5"/>
    <s v="Nő"/>
    <n v="350000"/>
    <s v="feldevirag@gmail.com"/>
    <s v="Biró Melinda"/>
    <n v="6"/>
    <s v="Aktív"/>
    <n v="6"/>
    <n v="6"/>
    <s v="magyar"/>
    <m/>
  </r>
  <r>
    <s v="Csarnai András"/>
    <s v="KUKR1Q"/>
    <s v="Passzív"/>
    <s v="képalkotás"/>
    <x v="5"/>
    <s v="képalkotás"/>
    <s v="BDPK-SEK-SALB-KEPA-LBHU"/>
    <s v="Zalaegerszeg"/>
    <s v="Zala"/>
    <s v="Csarnai András"/>
    <s v="Magyarország"/>
    <d v="1978-09-20T00:00:00"/>
    <s v="T152819/FI80798"/>
    <x v="0"/>
    <s v="Állami ösztöndíjas"/>
    <s v="2019/20/1"/>
    <s v="Levelező"/>
    <n v="9"/>
    <n v="1"/>
    <s v="2020/21/2"/>
    <n v="6"/>
    <s v="73435008079"/>
    <n v="6"/>
    <x v="4"/>
    <s v="a központi eljárásban magyarországi képzésre"/>
    <n v="396"/>
    <m/>
    <m/>
    <s v="Felvétel"/>
    <d v="2019-09-01T00:00:00"/>
    <s v="310982492947"/>
    <s v="BDPK-SEK"/>
    <s v="Eke Norbertné"/>
    <d v="2019-07-24T00:00:00"/>
    <d v="2023-07-15T00:00:00"/>
    <n v="350000"/>
    <m/>
    <n v="4"/>
    <s v="Férfi"/>
    <n v="350000"/>
    <s v="csarnai.a@freemail.hu"/>
    <s v="Nagy Borbála"/>
    <n v="4"/>
    <s v="Passzív"/>
    <m/>
    <n v="4"/>
    <s v="magyar"/>
    <m/>
  </r>
  <r>
    <s v="Ács Éva"/>
    <s v="P0UMLU"/>
    <s v="Aktív"/>
    <s v="képalkotás"/>
    <x v="5"/>
    <s v="képalkotás"/>
    <s v="BDPK-SEK-SALB-KEPA-LBHU"/>
    <s v="Szatmárnémeti"/>
    <m/>
    <s v="Ács Éva"/>
    <s v="Románia"/>
    <d v="1967-03-19T00:00:00"/>
    <s v="T150484/FI80798"/>
    <x v="0"/>
    <s v="Állami ösztöndíjas"/>
    <s v="2019/20/1"/>
    <s v="Levelező"/>
    <n v="7"/>
    <n v="1"/>
    <s v="2021/22/2"/>
    <n v="6"/>
    <s v="73434103888"/>
    <n v="6"/>
    <x v="4"/>
    <s v="a központi eljárásban magyarországi képzésre"/>
    <n v="382"/>
    <m/>
    <m/>
    <s v="Felvétel"/>
    <d v="2019-09-01T00:00:00"/>
    <s v="310983041842"/>
    <s v="BDPK-SEK"/>
    <s v="Eke Norbertné"/>
    <d v="2019-07-24T00:00:00"/>
    <d v="2022-07-15T00:00:00"/>
    <n v="350000"/>
    <m/>
    <n v="5"/>
    <s v="Nő"/>
    <n v="350000"/>
    <s v="eva19acs@gmail.com"/>
    <s v="Bretan Elisabeta"/>
    <n v="6"/>
    <s v="Aktív"/>
    <n v="6"/>
    <n v="6"/>
    <s v="magyar"/>
    <m/>
  </r>
  <r>
    <s v="Bandorák Anett"/>
    <s v="I28J0L"/>
    <s v="Aktív"/>
    <s v="képalkotás"/>
    <x v="5"/>
    <s v="képalkotás"/>
    <s v="BDPK-SEK-SALB-KEPA-LBHU"/>
    <s v="Miskolc"/>
    <s v="Borsod-Abaúj-Zemplén"/>
    <s v="Bandorák Anett"/>
    <s v="Magyarország"/>
    <d v="1980-08-30T00:00:00"/>
    <s v="T155680/FI80798"/>
    <x v="0"/>
    <s v="Állami ösztöndíjas"/>
    <s v="2019/20/1"/>
    <s v="Levelező"/>
    <n v="7"/>
    <n v="1"/>
    <s v="2021/22/2"/>
    <n v="6"/>
    <s v="73436809181"/>
    <n v="6"/>
    <x v="4"/>
    <s v="a központi eljárásban magyarországi képzésre"/>
    <n v="390"/>
    <m/>
    <m/>
    <s v="Felvétel"/>
    <d v="2019-09-01T00:00:00"/>
    <s v="310982092028"/>
    <s v="BDPK-SEK"/>
    <s v="Eke Norbertné"/>
    <d v="2019-07-24T00:00:00"/>
    <d v="2022-07-15T00:00:00"/>
    <n v="350000"/>
    <m/>
    <n v="5"/>
    <s v="Nő"/>
    <n v="350000"/>
    <s v="anetttt@gmail.com"/>
    <s v="Jelencsics Emma"/>
    <n v="6"/>
    <s v="Aktív"/>
    <n v="6"/>
    <n v="6"/>
    <s v="magyar"/>
    <m/>
  </r>
  <r>
    <s v="Gottlieb Kíra"/>
    <s v="ALCEHH"/>
    <s v="Aktív"/>
    <s v="képalkotás"/>
    <x v="5"/>
    <s v="képalkotás"/>
    <s v="BDPK-SEK-SANB-KEPA-NBHU"/>
    <s v="Győr"/>
    <s v="Győr-Moson-Sopron"/>
    <s v="Gottlieb Kíra"/>
    <s v="Magyarország"/>
    <d v="1999-03-02T00:00:00"/>
    <s v="T150842/FI80798"/>
    <x v="0"/>
    <s v="Állami ösztöndíjas"/>
    <s v="2019/20/1"/>
    <s v="Nappali"/>
    <n v="7"/>
    <n v="1"/>
    <s v="2021/22/2"/>
    <n v="6"/>
    <s v="76542617794"/>
    <n v="6"/>
    <x v="4"/>
    <s v="a központi eljárásban magyarországi képzésre"/>
    <n v="392"/>
    <m/>
    <m/>
    <s v="Felvétel"/>
    <d v="2019-09-01T00:00:00"/>
    <s v="310983036305"/>
    <s v="BDPK-SEK"/>
    <s v="Eke Norbertné"/>
    <d v="2019-07-24T00:00:00"/>
    <d v="2022-07-15T00:00:00"/>
    <n v="350000"/>
    <m/>
    <n v="5"/>
    <s v="Nő"/>
    <n v="350000"/>
    <s v="kira.gottlieb99@gmail.com"/>
    <s v="Tankovics Ivett"/>
    <n v="6"/>
    <s v="Aktív"/>
    <n v="6"/>
    <n v="6"/>
    <s v="magyar"/>
    <m/>
  </r>
  <r>
    <s v="Vígvári Virág"/>
    <s v="SH5RCM"/>
    <s v="Aktív"/>
    <s v="képalkotás"/>
    <x v="5"/>
    <s v="képalkotás"/>
    <s v="BDPK-SEK-SANB-KEPA-NBHU"/>
    <s v="Debrecen"/>
    <s v="Hajdú-Bihar"/>
    <s v="Vígvári Virág"/>
    <s v="Magyarország"/>
    <d v="1999-08-25T00:00:00"/>
    <s v="T149478/FI80798"/>
    <x v="0"/>
    <s v="Állami ösztöndíjas"/>
    <s v="2019/20/1"/>
    <s v="Nappali"/>
    <n v="7"/>
    <n v="1"/>
    <s v="2021/22/2"/>
    <n v="6"/>
    <s v="74838502426"/>
    <n v="6"/>
    <x v="4"/>
    <s v="a központi eljárásban magyarországi képzésre"/>
    <n v="390"/>
    <m/>
    <m/>
    <s v="Felvétel"/>
    <d v="2019-09-01T00:00:00"/>
    <s v="310982934914"/>
    <s v="BDPK-SEK"/>
    <s v="Eke Norbertné"/>
    <d v="2019-07-24T00:00:00"/>
    <d v="2022-07-15T00:00:00"/>
    <n v="350000"/>
    <m/>
    <n v="5"/>
    <s v="Nő"/>
    <n v="350000"/>
    <s v="vigvarivirag16@gmail.com"/>
    <s v="Erdei Beáta"/>
    <n v="6"/>
    <s v="Aktív"/>
    <n v="6"/>
    <n v="6"/>
    <s v="magyar"/>
    <m/>
  </r>
  <r>
    <s v="Jóné Fekete Kinga"/>
    <s v="DTE8OW"/>
    <s v="Aktív"/>
    <s v="képalkotás"/>
    <x v="5"/>
    <s v="képalkotás"/>
    <s v="BDPK-SEK-SALB-KEPA-LBHU"/>
    <s v="Székesfehérvár"/>
    <s v="Fejér"/>
    <s v="Fekete Kinga"/>
    <s v="Magyarország"/>
    <d v="1981-03-05T00:00:00"/>
    <s v="T147419/FI80798"/>
    <x v="0"/>
    <s v="Állami ösztöndíjas"/>
    <s v="2019/20/1"/>
    <s v="Levelező"/>
    <n v="7"/>
    <n v="1"/>
    <s v="2021/22/2"/>
    <n v="6"/>
    <s v="72114020625"/>
    <n v="6"/>
    <x v="4"/>
    <s v="a központi eljárásban magyarországi képzésre"/>
    <n v="398"/>
    <m/>
    <m/>
    <s v="Felvétel"/>
    <d v="2019-09-01T00:00:00"/>
    <s v="310982360797"/>
    <s v="BDPK-SEK"/>
    <s v="Eke Norbertné"/>
    <d v="2019-07-24T00:00:00"/>
    <d v="2022-07-15T00:00:00"/>
    <n v="350000"/>
    <m/>
    <n v="5"/>
    <s v="Nő"/>
    <n v="350000"/>
    <s v="jone.kinga@hotmail.com"/>
    <s v="Táncos Anna"/>
    <n v="6"/>
    <s v="Aktív"/>
    <n v="6"/>
    <n v="6"/>
    <s v="magyar"/>
    <m/>
  </r>
  <r>
    <s v="Ecsedi Krisztina"/>
    <s v="HO429Q"/>
    <s v="Aktív"/>
    <s v="képalkotás"/>
    <x v="5"/>
    <s v="képalkotás"/>
    <s v="BDPK-SEK-SANB-KEPA-NBHU"/>
    <s v="Budapest"/>
    <s v="Budapest"/>
    <s v="Ecsedi Krisztina"/>
    <s v="Magyarország"/>
    <d v="1998-04-24T00:00:00"/>
    <s v="T149699/FI80798"/>
    <x v="0"/>
    <s v="Állami ösztöndíjas"/>
    <s v="2019/20/1"/>
    <s v="Nappali"/>
    <n v="7"/>
    <n v="1"/>
    <s v="2021/22/2"/>
    <n v="6"/>
    <s v="76451615301"/>
    <n v="6"/>
    <x v="4"/>
    <s v="a központi eljárásban magyarországi képzésre"/>
    <n v="398"/>
    <m/>
    <m/>
    <s v="Felvétel"/>
    <d v="2019-09-01T00:00:00"/>
    <s v="310982016498"/>
    <s v="BDPK-SEK"/>
    <s v="Eke Norbertné"/>
    <d v="2019-07-24T00:00:00"/>
    <d v="2022-07-15T00:00:00"/>
    <n v="350000"/>
    <m/>
    <n v="6"/>
    <s v="Nő"/>
    <n v="350000"/>
    <s v="ecsedikrisztina79@gmail.com"/>
    <s v="Varga Szilvia"/>
    <n v="6"/>
    <s v="Aktív"/>
    <n v="6"/>
    <n v="6"/>
    <s v="magyar"/>
    <m/>
  </r>
  <r>
    <s v="Kiss Bence"/>
    <s v="C487MU"/>
    <s v="Aktív"/>
    <s v="képalkotás"/>
    <x v="5"/>
    <s v="képalkotás"/>
    <s v="BDPK-SEK-SANB-KEPA-NBHU"/>
    <s v="Szombathely"/>
    <s v="Vas"/>
    <s v="Kiss Bence"/>
    <s v="Magyarország"/>
    <d v="1997-09-05T00:00:00"/>
    <s v="T154498/FI80798"/>
    <x v="0"/>
    <s v="Állami ösztöndíjas"/>
    <s v="2019/20/1"/>
    <s v="Nappali"/>
    <n v="6"/>
    <n v="1"/>
    <s v="2021/22/2"/>
    <n v="6"/>
    <s v="76788609459"/>
    <n v="6"/>
    <x v="4"/>
    <s v="a központi eljárásban magyarországi képzésre"/>
    <n v="394"/>
    <m/>
    <m/>
    <s v="Felvétel"/>
    <d v="2019-09-01T00:00:00"/>
    <s v="310982303466"/>
    <s v="BDPK-SEK"/>
    <s v="Eke Norbertné"/>
    <d v="2019-07-24T00:00:00"/>
    <d v="2022-07-15T00:00:00"/>
    <n v="350000"/>
    <m/>
    <n v="5"/>
    <s v="Férfi"/>
    <n v="350000"/>
    <s v="bencekiss1997@gmail.com"/>
    <s v="Nagy Diána"/>
    <n v="6"/>
    <s v="Aktív"/>
    <n v="6"/>
    <n v="6"/>
    <s v="magyar"/>
    <m/>
  </r>
  <r>
    <s v="Pongrácz Petra"/>
    <s v="BNNDZ7"/>
    <s v="Aktív"/>
    <s v="képalkotás"/>
    <x v="5"/>
    <s v="képalkotás"/>
    <s v="BDPK-SEK-SANB-KEPA-NBHU"/>
    <s v="Celldömölk"/>
    <s v="Vas"/>
    <s v="Pongrácz Petra"/>
    <s v="Magyarország"/>
    <d v="2000-05-17T00:00:00"/>
    <s v="T157267/FI80798"/>
    <x v="0"/>
    <s v="Állami ösztöndíjas"/>
    <s v="2019/20/1"/>
    <s v="Nappali"/>
    <n v="7"/>
    <n v="1"/>
    <s v="2021/22/2"/>
    <n v="6"/>
    <s v="74098351831"/>
    <n v="6"/>
    <x v="4"/>
    <s v="a központi eljárásban magyarországi képzésre"/>
    <n v="400"/>
    <m/>
    <m/>
    <s v="Felvétel"/>
    <d v="2019-09-01T00:00:00"/>
    <s v="310982533765"/>
    <s v="BDPK-SEK"/>
    <s v="Eke Norbertné"/>
    <d v="2019-07-24T00:00:00"/>
    <d v="2022-07-15T00:00:00"/>
    <n v="350000"/>
    <m/>
    <n v="5"/>
    <s v="Nő"/>
    <n v="350000"/>
    <s v="petrapongracz8@gmail.com"/>
    <s v="Boda Hajnalka"/>
    <n v="6"/>
    <s v="Aktív"/>
    <n v="6"/>
    <n v="6"/>
    <s v="magyar"/>
    <m/>
  </r>
  <r>
    <s v="Szentgyörgyvári Ivett"/>
    <s v="Q2IOTS"/>
    <s v="Aktív"/>
    <s v="képalkotás"/>
    <x v="5"/>
    <s v="képalkotás"/>
    <s v="BDPK-SEK-SANB-KEPA-NBHU"/>
    <s v="Sárvár"/>
    <s v="Vas"/>
    <s v="Szentgyörgyvári Ivett"/>
    <s v="Magyarország"/>
    <d v="2000-11-19T00:00:00"/>
    <s v="T154611/FI80798"/>
    <x v="0"/>
    <s v="Állami ösztöndíjas"/>
    <s v="2019/20/1"/>
    <s v="Nappali"/>
    <n v="7"/>
    <n v="1"/>
    <s v="2021/22/2"/>
    <n v="6"/>
    <s v="74515350405"/>
    <n v="6"/>
    <x v="4"/>
    <s v="a központi eljárásban magyarországi képzésre"/>
    <n v="400"/>
    <m/>
    <m/>
    <s v="Felvétel"/>
    <d v="2019-09-01T00:00:00"/>
    <s v="310982862669"/>
    <s v="BDPK-SEK"/>
    <s v="Eke Norbertné"/>
    <d v="2019-07-24T00:00:00"/>
    <d v="2022-07-15T00:00:00"/>
    <n v="350000"/>
    <m/>
    <n v="5"/>
    <s v="Nő"/>
    <n v="350000"/>
    <s v="sz.ivett19@gmail.com"/>
    <s v="Hustiker Mária Terézia"/>
    <n v="6"/>
    <s v="Aktív"/>
    <n v="6"/>
    <n v="6"/>
    <s v="magyar"/>
    <m/>
  </r>
  <r>
    <s v="Gerlinger Csilla Ágnes"/>
    <s v="JCE9J5"/>
    <s v="Aktív"/>
    <s v="képalkotás"/>
    <x v="5"/>
    <s v="képalkotás"/>
    <s v="BDPK-SEK-SALB-KEPA-LBHU"/>
    <s v="Budapest"/>
    <s v="Budapest"/>
    <s v="Gerlinger Csilla Ágnes"/>
    <s v="Magyarország"/>
    <d v="1984-02-15T00:00:00"/>
    <s v="T152292/FI80798"/>
    <x v="0"/>
    <s v="Állami ösztöndíjas"/>
    <s v="2019/20/1"/>
    <s v="Levelező"/>
    <n v="7"/>
    <n v="1"/>
    <s v="2021/22/2"/>
    <n v="6"/>
    <s v="75984279484"/>
    <n v="6"/>
    <x v="4"/>
    <s v="a központi eljárásban magyarországi képzésre"/>
    <n v="398"/>
    <m/>
    <m/>
    <s v="Felvétel"/>
    <d v="2019-09-01T00:00:00"/>
    <s v="310982885579"/>
    <s v="BDPK-SEK"/>
    <s v="Eke Norbertné"/>
    <d v="2019-07-24T00:00:00"/>
    <d v="2022-07-15T00:00:00"/>
    <n v="350000"/>
    <m/>
    <n v="5"/>
    <s v="Nő"/>
    <n v="350000"/>
    <s v="gerlingercsilla@gmail.com"/>
    <s v="Gerbacsich Paula Margit"/>
    <n v="6"/>
    <s v="Aktív"/>
    <n v="6"/>
    <n v="6"/>
    <s v="magyar"/>
    <m/>
  </r>
  <r>
    <s v="Oravecz Adrienn Angéla"/>
    <s v="EJYV5C"/>
    <s v="Aktív"/>
    <s v="képalkotás"/>
    <x v="5"/>
    <s v="képalkotás"/>
    <s v="BDPK-SEK-SALB-KEPA-LBHU"/>
    <s v="Budapest"/>
    <s v="Budapest"/>
    <s v="Oravecz Adrienn Angéla"/>
    <s v="Magyarország"/>
    <d v="2000-03-15T00:00:00"/>
    <s v="T153010/FI80798"/>
    <x v="0"/>
    <s v="Állami ösztöndíjas"/>
    <s v="2019/20/1"/>
    <s v="Levelező"/>
    <n v="7"/>
    <n v="1"/>
    <s v="2021/22/2"/>
    <n v="6"/>
    <s v="77045187550"/>
    <n v="6"/>
    <x v="4"/>
    <s v="a központi eljárásban magyarországi képzésre"/>
    <n v="400"/>
    <m/>
    <m/>
    <s v="Felvétel"/>
    <d v="2019-09-01T00:00:00"/>
    <s v="310982262027"/>
    <s v="BDPK-SEK"/>
    <s v="Eke Norbertné"/>
    <d v="2019-07-24T00:00:00"/>
    <d v="2022-07-15T00:00:00"/>
    <n v="350000"/>
    <m/>
    <n v="5"/>
    <s v="Nő"/>
    <n v="350000"/>
    <s v="oraveczeszeged@gmail.com"/>
    <s v="Klement Edit"/>
    <n v="6"/>
    <s v="Aktív"/>
    <n v="6"/>
    <n v="6"/>
    <s v="magyar"/>
    <m/>
  </r>
  <r>
    <s v="Sáray Panna Zsuzsanna"/>
    <s v="CUFTU4"/>
    <s v="Aktív"/>
    <s v="képalkotás"/>
    <x v="5"/>
    <s v="képalkotás"/>
    <s v="BDPK-SEK-SANB-KEPA-NBHU"/>
    <s v="Ajka"/>
    <s v="Veszprém"/>
    <s v="Sáray Panna Zsuzsanna"/>
    <s v="Magyarország"/>
    <d v="1999-03-20T00:00:00"/>
    <s v="T151416/FI80798"/>
    <x v="0"/>
    <s v="Állami ösztöndíjas"/>
    <s v="2019/20/1"/>
    <s v="Nappali"/>
    <n v="7"/>
    <n v="1"/>
    <s v="2021/22/2"/>
    <n v="6"/>
    <s v="77750601034"/>
    <n v="6"/>
    <x v="4"/>
    <s v="a központi eljárásban magyarországi képzésre"/>
    <n v="388"/>
    <m/>
    <m/>
    <s v="Felvétel"/>
    <d v="2019-09-01T00:00:00"/>
    <s v="310982883418"/>
    <s v="BDPK-SEK"/>
    <s v="Eke Norbertné"/>
    <d v="2019-07-24T00:00:00"/>
    <d v="2022-07-15T00:00:00"/>
    <n v="350000"/>
    <m/>
    <n v="5"/>
    <s v="Nő"/>
    <n v="350000"/>
    <s v="pannasaray@gmail.com"/>
    <s v="Fehér Mónika"/>
    <n v="6"/>
    <s v="Aktív"/>
    <n v="6"/>
    <n v="6"/>
    <s v="magyar"/>
    <m/>
  </r>
  <r>
    <s v="Sztojka Bettina"/>
    <s v="VFR5YE"/>
    <s v="Aktív"/>
    <s v="képalkotás"/>
    <x v="5"/>
    <s v="képalkotás"/>
    <s v="BDPK-SEK-SANB-KEPA-NBHU"/>
    <s v="Szombathely"/>
    <s v="Vas"/>
    <s v="Sztojka Bettina"/>
    <s v="Magyarország"/>
    <d v="2000-02-21T00:00:00"/>
    <s v="T147867/FI80798"/>
    <x v="0"/>
    <s v="Állami ösztöndíjas"/>
    <s v="2019/20/1"/>
    <s v="Nappali"/>
    <n v="7"/>
    <n v="1"/>
    <s v="2021/22/2"/>
    <n v="6"/>
    <s v="73501610583"/>
    <n v="6"/>
    <x v="4"/>
    <s v="a központi eljárásban magyarországi képzésre"/>
    <n v="386"/>
    <m/>
    <m/>
    <s v="Felvétel"/>
    <d v="2019-09-01T00:00:00"/>
    <s v="310982842992"/>
    <s v="BDPK-SEK"/>
    <s v="Eke Norbertné"/>
    <d v="2019-07-24T00:00:00"/>
    <d v="2022-07-15T00:00:00"/>
    <n v="350000"/>
    <m/>
    <n v="5"/>
    <s v="Nő"/>
    <n v="350000"/>
    <s v="szbettina0221@gmail.com"/>
    <s v="Gáspár Rita"/>
    <n v="6"/>
    <s v="Aktív"/>
    <n v="6"/>
    <n v="6"/>
    <s v="magyar"/>
    <m/>
  </r>
  <r>
    <s v="Csonka Dorina"/>
    <s v="D1GU82"/>
    <s v="Aktív"/>
    <s v="képalkotás"/>
    <x v="5"/>
    <s v="képalkotás"/>
    <s v="BDPK-SEK-SANB-KEPA-NBHU"/>
    <s v="Csorna"/>
    <s v="Győr-Moson-Sopron"/>
    <s v="Csonka Dorina"/>
    <s v="Magyarország"/>
    <d v="2001-09-20T00:00:00"/>
    <s v="T165751/FI80798"/>
    <x v="0"/>
    <s v="Állami ösztöndíjas"/>
    <s v="2020/21/1"/>
    <s v="Nappali"/>
    <n v="9"/>
    <n v="1"/>
    <s v="2021/22/2"/>
    <n v="6"/>
    <s v="71466974790"/>
    <n v="6"/>
    <x v="4"/>
    <s v="a központi eljárásban magyarországi képzésre"/>
    <n v="400"/>
    <m/>
    <m/>
    <s v="Felvétel"/>
    <d v="2020-09-01T00:00:00"/>
    <s v="310804735788"/>
    <s v="BDPK-SEK"/>
    <s v="Eke Norbertné"/>
    <d v="2020-07-23T00:00:00"/>
    <d v="2023-07-15T00:00:00"/>
    <n v="350000"/>
    <m/>
    <n v="3"/>
    <s v="Nő"/>
    <n v="350000"/>
    <s v="csonkadorina14@gmail.com"/>
    <s v="Hancz Ilona"/>
    <n v="4"/>
    <s v="Aktív"/>
    <n v="4"/>
    <n v="4"/>
    <s v="magyar"/>
    <m/>
  </r>
  <r>
    <s v="Kiss Virág Petra"/>
    <s v="KL4W55"/>
    <s v="Aktív"/>
    <s v="képalkotás"/>
    <x v="5"/>
    <s v="képalkotás"/>
    <s v="BDPK-SEK-SANB-KEPA-NBHU"/>
    <s v="Szombathely"/>
    <s v="Vas"/>
    <s v="Kiss Virág Petra"/>
    <s v="Magyarország"/>
    <d v="2000-10-25T00:00:00"/>
    <s v="T165093/FI80798"/>
    <x v="0"/>
    <s v="Állami ösztöndíjas"/>
    <s v="2020/21/1"/>
    <s v="Nappali"/>
    <n v="9"/>
    <n v="1"/>
    <s v="2021/22/2"/>
    <n v="6"/>
    <s v="76640839553"/>
    <n v="6"/>
    <x v="4"/>
    <s v="a központi eljárásban magyarországi képzésre"/>
    <n v="398"/>
    <m/>
    <m/>
    <s v="Felvétel"/>
    <d v="2020-09-01T00:00:00"/>
    <s v="310804467242"/>
    <s v="BDPK-SEK"/>
    <s v="Eke Norbertné"/>
    <d v="2020-07-23T00:00:00"/>
    <d v="2023-07-15T00:00:00"/>
    <n v="350000"/>
    <m/>
    <n v="3"/>
    <s v="Nő"/>
    <n v="350000"/>
    <s v="kissviragpetra@gmail.com"/>
    <s v="Kiss Ilona"/>
    <n v="4"/>
    <s v="Aktív"/>
    <n v="4"/>
    <n v="4"/>
    <s v="magyar"/>
    <m/>
  </r>
  <r>
    <s v="Palatic Mátyás Miklós"/>
    <s v="WXEJFK"/>
    <s v="Aktív"/>
    <s v="képalkotás"/>
    <x v="5"/>
    <s v="képalkotás"/>
    <s v="BDPK-SEK-SALB-KEPA-LBHU"/>
    <s v="Korláthelmec"/>
    <m/>
    <s v="Palatic Mátyás Miklós"/>
    <s v="Ukrajna"/>
    <d v="2002-07-06T00:00:00"/>
    <s v="T169120/FI80798"/>
    <x v="0"/>
    <s v="Állami ösztöndíjas"/>
    <s v="2020/21/1"/>
    <s v="Levelező"/>
    <n v="9"/>
    <n v="1"/>
    <s v="2021/22/2"/>
    <n v="6"/>
    <s v="73435091709"/>
    <n v="6"/>
    <x v="4"/>
    <s v="a központi eljárásban magyarországi képzésre"/>
    <n v="376"/>
    <m/>
    <m/>
    <s v="Felvétel"/>
    <d v="2020-09-01T00:00:00"/>
    <s v="310804796855"/>
    <s v="BDPK-SEK"/>
    <s v="Eke Norbertné"/>
    <d v="2020-07-23T00:00:00"/>
    <d v="2023-07-15T00:00:00"/>
    <n v="350000"/>
    <m/>
    <n v="3"/>
    <s v="Férfi"/>
    <n v="350000"/>
    <s v="mmpalatic@gmail.com"/>
    <s v="Tudja Katalin"/>
    <n v="4"/>
    <s v="Aktív"/>
    <n v="4"/>
    <n v="4"/>
    <s v="magyar, ukrán"/>
    <m/>
  </r>
  <r>
    <s v="Harcsás Eszter Krisztina"/>
    <s v="I5H7FD"/>
    <s v="Aktív"/>
    <s v="képalkotás"/>
    <x v="5"/>
    <s v="képalkotás"/>
    <s v="BDPK-SEK-SANB-KEPA-NBHU"/>
    <s v="Győr"/>
    <s v="Győr-Moson-Sopron"/>
    <s v="Harcsás Eszter Krisztina"/>
    <s v="Magyarország"/>
    <d v="2001-12-17T00:00:00"/>
    <s v="T163240/FI80798"/>
    <x v="0"/>
    <s v="Állami ösztöndíjas"/>
    <s v="2020/21/1"/>
    <s v="Nappali"/>
    <n v="9"/>
    <n v="1"/>
    <s v="2021/22/2"/>
    <n v="6"/>
    <s v="71614070647"/>
    <n v="6"/>
    <x v="4"/>
    <s v="a központi eljárásban magyarországi képzésre"/>
    <n v="400"/>
    <m/>
    <m/>
    <s v="Felvétel"/>
    <d v="2020-09-01T00:00:00"/>
    <s v="310804583048"/>
    <s v="BDPK-SEK"/>
    <s v="Eke Norbertné"/>
    <d v="2020-07-23T00:00:00"/>
    <d v="2023-07-15T00:00:00"/>
    <n v="350000"/>
    <m/>
    <n v="3"/>
    <s v="Nő"/>
    <n v="350000"/>
    <s v="eszterharcsas@gmail.com"/>
    <s v="Harcsás Judit"/>
    <n v="4"/>
    <s v="Aktív"/>
    <n v="4"/>
    <n v="4"/>
    <s v="magyar"/>
    <m/>
  </r>
  <r>
    <s v="Németné Klein Edit Eszter"/>
    <s v="Z2FNP1"/>
    <s v="Aktív"/>
    <s v="képalkotás"/>
    <x v="5"/>
    <s v="képalkotás"/>
    <s v="BDPK-SEK-SALB-KEPA-LBHU"/>
    <s v="Budapest"/>
    <s v="Budapest"/>
    <s v="Klein Edit Eszter"/>
    <s v="Magyarország"/>
    <d v="1957-08-08T00:00:00"/>
    <s v="T162080/FI80798"/>
    <x v="0"/>
    <s v="Állami ösztöndíjas"/>
    <s v="2020/21/1"/>
    <s v="Levelező"/>
    <n v="9"/>
    <n v="1"/>
    <s v="2021/22/2"/>
    <n v="6"/>
    <s v="72328075068"/>
    <n v="6"/>
    <x v="4"/>
    <s v="a központi eljárásban magyarországi képzésre"/>
    <n v="384"/>
    <m/>
    <m/>
    <s v="Felvétel"/>
    <d v="2020-09-01T00:00:00"/>
    <s v="310804027418"/>
    <s v="BDPK-SEK"/>
    <s v="Eke Norbertné"/>
    <d v="2020-07-23T00:00:00"/>
    <d v="2023-07-15T00:00:00"/>
    <n v="350000"/>
    <m/>
    <n v="3"/>
    <s v="Nő"/>
    <n v="350000"/>
    <s v="nklein.edit@gmail.com"/>
    <s v="Koncz Erzsébet"/>
    <n v="4"/>
    <s v="Aktív"/>
    <n v="4"/>
    <n v="4"/>
    <s v="magyar"/>
    <m/>
  </r>
  <r>
    <s v="Mészáros Janka"/>
    <s v="CRP79B"/>
    <s v="Aktív"/>
    <s v="képalkotás"/>
    <x v="5"/>
    <s v="képalkotás"/>
    <s v="BDPK-SEK-SALB-KEPA-LBHU"/>
    <s v="Budapest"/>
    <s v="Budapest"/>
    <s v="Mészáros Janka"/>
    <s v="Magyarország"/>
    <d v="1983-08-16T00:00:00"/>
    <s v="T164828/FI80798"/>
    <x v="0"/>
    <s v="Állami ösztöndíjas"/>
    <s v="2020/21/1"/>
    <s v="Levelező"/>
    <n v="9"/>
    <n v="1"/>
    <s v="2021/22/2"/>
    <n v="6"/>
    <s v="77006495871"/>
    <n v="6"/>
    <x v="4"/>
    <s v="a központi eljárásban magyarországi képzésre"/>
    <n v="396"/>
    <m/>
    <m/>
    <s v="Felvétel"/>
    <d v="2020-09-01T00:00:00"/>
    <s v="310804968868"/>
    <s v="BDPK-SEK"/>
    <s v="Eke Norbertné"/>
    <d v="2020-07-23T00:00:00"/>
    <d v="2023-07-15T00:00:00"/>
    <n v="350000"/>
    <m/>
    <n v="3"/>
    <s v="Nő"/>
    <n v="350000"/>
    <s v="kicsijanka3@gmail.com"/>
    <s v="Becsei Julianna"/>
    <n v="4"/>
    <s v="Aktív"/>
    <n v="4"/>
    <n v="4"/>
    <s v="magyar"/>
    <m/>
  </r>
  <r>
    <s v="Szluka Sarolta"/>
    <s v="NM2BRB"/>
    <s v="Aktív"/>
    <s v="képalkotás"/>
    <x v="5"/>
    <s v="képalkotás"/>
    <s v="BDPK-SEK-SALB-KEPA-LBHU"/>
    <s v="Orosháza"/>
    <s v="Békés"/>
    <s v="Szluka Sarolta"/>
    <s v="Magyarország"/>
    <d v="1999-07-30T00:00:00"/>
    <s v="T163232/FI80798"/>
    <x v="0"/>
    <s v="Önköltséges"/>
    <s v="2020/21/1"/>
    <s v="Levelező"/>
    <n v="11"/>
    <n v="1"/>
    <s v="2020/21/2"/>
    <n v="6"/>
    <s v="77710997734"/>
    <n v="6"/>
    <x v="4"/>
    <s v="a központi eljárásban magyarországi képzésre"/>
    <n v="374"/>
    <m/>
    <m/>
    <s v="Felvétel"/>
    <d v="2020-09-01T00:00:00"/>
    <s v="310804591074"/>
    <s v="BDPK-SEK"/>
    <s v="Eke Norbertné"/>
    <d v="2020-07-23T00:00:00"/>
    <d v="2023-07-15T00:00:00"/>
    <n v="350000"/>
    <m/>
    <n v="2"/>
    <s v="Nő"/>
    <n v="350000"/>
    <s v="szlukasarolta99@gmail.com"/>
    <s v="Kiss Valéria"/>
    <n v="4"/>
    <s v="Aktív"/>
    <n v="2"/>
    <n v="4"/>
    <s v="magyar"/>
    <n v="350000"/>
  </r>
  <r>
    <s v="Nagy-Kuglicz Kata"/>
    <s v="PARNXC"/>
    <s v="Aktív"/>
    <s v="képalkotás"/>
    <x v="5"/>
    <s v="képalkotás"/>
    <s v="BDPK-SEK-SANB-KEPA-NBHU"/>
    <s v="Szombathely"/>
    <s v="Vas"/>
    <s v="Kuglicz Kata"/>
    <s v="Magyarország"/>
    <d v="1980-09-27T00:00:00"/>
    <s v="T169692/FI80798"/>
    <x v="0"/>
    <s v="Állami ösztöndíjas"/>
    <s v="2020/21/1"/>
    <s v="Nappali"/>
    <n v="16"/>
    <n v="1"/>
    <s v="2021/22/2"/>
    <n v="6"/>
    <s v="71379360151"/>
    <n v="6"/>
    <x v="4"/>
    <s v="a központi eljárásban magyarországi képzésre"/>
    <n v="380"/>
    <m/>
    <m/>
    <s v="Felvétel"/>
    <d v="2020-09-01T00:00:00"/>
    <s v="310804772682"/>
    <s v="BDPK-SEK"/>
    <s v="Eke Norbertné"/>
    <d v="2020-07-23T00:00:00"/>
    <d v="2023-07-15T00:00:00"/>
    <n v="350000"/>
    <m/>
    <n v="3"/>
    <s v="Nő"/>
    <n v="350000"/>
    <s v="kuglicz.kata@gmail.com"/>
    <s v="Gerse Katalin"/>
    <n v="4"/>
    <s v="Aktív"/>
    <n v="4"/>
    <n v="4"/>
    <s v="magyar"/>
    <m/>
  </r>
  <r>
    <s v="Jankó Alina"/>
    <s v="WOH324"/>
    <s v="Aktív"/>
    <s v="képalkotás"/>
    <x v="5"/>
    <s v="képalkotás"/>
    <s v="BDPK-SEK-SANB-KEPA-NBHU"/>
    <s v="Békéscsaba"/>
    <s v="Békés"/>
    <s v="Jankó Alina"/>
    <s v="Magyarország"/>
    <d v="2001-11-28T00:00:00"/>
    <s v="T162423/FI80798"/>
    <x v="0"/>
    <s v="Állami ösztöndíjas"/>
    <s v="2020/21/1"/>
    <s v="Nappali"/>
    <n v="9"/>
    <n v="1"/>
    <s v="2021/22/2"/>
    <n v="6"/>
    <s v="71613592066"/>
    <n v="6"/>
    <x v="4"/>
    <s v="a központi eljárásban magyarországi képzésre"/>
    <n v="374"/>
    <m/>
    <m/>
    <s v="Felvétel"/>
    <d v="2020-09-01T00:00:00"/>
    <s v="310804605585"/>
    <s v="BDPK-SEK"/>
    <s v="Eke Norbertné"/>
    <d v="2020-07-23T00:00:00"/>
    <d v="2023-07-15T00:00:00"/>
    <n v="350000"/>
    <m/>
    <n v="3"/>
    <s v="Nő"/>
    <n v="350000"/>
    <s v="alina.janko@gmail.com"/>
    <s v="Benyoda Beáta"/>
    <n v="4"/>
    <s v="Aktív"/>
    <n v="4"/>
    <n v="4"/>
    <s v="magyar"/>
    <m/>
  </r>
  <r>
    <s v="Dóra Gina Glória"/>
    <s v="TR88FG"/>
    <s v="Aktív"/>
    <s v="képalkotás"/>
    <x v="5"/>
    <s v="képalkotás"/>
    <s v="BDPK-SEK-SANB-KEPA-NBHU"/>
    <s v="Zalaegerszeg"/>
    <s v="Zala"/>
    <s v="Dóra Gina Glória"/>
    <s v="Magyarország"/>
    <d v="2001-02-27T00:00:00"/>
    <s v="T168980/FI80798"/>
    <x v="0"/>
    <s v="Állami ösztöndíjas"/>
    <s v="2020/21/1"/>
    <s v="Nappali"/>
    <n v="9"/>
    <n v="1"/>
    <s v="2021/22/2"/>
    <n v="6"/>
    <s v="73985655761"/>
    <n v="6"/>
    <x v="4"/>
    <s v="a központi eljárásban magyarországi képzésre"/>
    <n v="392"/>
    <m/>
    <m/>
    <s v="Felvétel"/>
    <d v="2020-09-01T00:00:00"/>
    <s v="310804871732"/>
    <s v="BDPK-SEK"/>
    <s v="Eke Norbertné"/>
    <d v="2020-07-23T00:00:00"/>
    <d v="2023-07-15T00:00:00"/>
    <n v="350000"/>
    <m/>
    <n v="3"/>
    <s v="Nő"/>
    <n v="350000"/>
    <s v="doragina27@gmail.com"/>
    <s v="Horváth Bernadett"/>
    <n v="4"/>
    <s v="Aktív"/>
    <n v="4"/>
    <n v="4"/>
    <s v="magyar"/>
    <m/>
  </r>
  <r>
    <s v="Nagy Richárd Olivér"/>
    <s v="MKTJ96"/>
    <s v="Aktív"/>
    <s v="képalkotás"/>
    <x v="5"/>
    <s v="képalkotás"/>
    <s v="BDPK-SEK-SALB-KEPA-LBHU"/>
    <s v="Budapest"/>
    <s v="Budapest"/>
    <s v="Nagy Richárd Olivér"/>
    <s v="Magyarország"/>
    <d v="1999-11-27T00:00:00"/>
    <s v="T161565/FI80798"/>
    <x v="0"/>
    <s v="Állami ösztöndíjas"/>
    <s v="2020/21/1"/>
    <s v="Levelező"/>
    <n v="9"/>
    <n v="1"/>
    <s v="2021/22/2"/>
    <n v="6"/>
    <s v="76979683630"/>
    <n v="6"/>
    <x v="4"/>
    <s v="a központi eljárásban magyarországi képzésre"/>
    <n v="398"/>
    <m/>
    <m/>
    <s v="Felvétel"/>
    <d v="2020-09-01T00:00:00"/>
    <s v="310804101643"/>
    <s v="BDPK-SEK"/>
    <s v="Eke Norbertné"/>
    <d v="2020-07-23T00:00:00"/>
    <d v="2023-07-15T00:00:00"/>
    <n v="350000"/>
    <m/>
    <n v="3"/>
    <s v="Férfi"/>
    <n v="350000"/>
    <s v="trsrdope@gmail.com"/>
    <s v="Kósa Eleonóra"/>
    <n v="4"/>
    <s v="Aktív"/>
    <n v="4"/>
    <n v="4"/>
    <s v="magyar"/>
    <m/>
  </r>
  <r>
    <s v="Eck Odett"/>
    <s v="EXSK7R"/>
    <s v="Aktív"/>
    <s v="képalkotás"/>
    <x v="5"/>
    <s v="képalkotás"/>
    <s v="BDPK-SEK-SALB-KEPA-LBHU"/>
    <s v="Tatabánya"/>
    <s v="Komárom-Esztergom"/>
    <s v="Eck Odett"/>
    <s v="Magyarország"/>
    <d v="1986-03-01T00:00:00"/>
    <s v="T162283/FI80798"/>
    <x v="0"/>
    <s v="Állami ösztöndíjas"/>
    <s v="2020/21/1"/>
    <s v="Levelező"/>
    <n v="9"/>
    <n v="1"/>
    <s v="2021/22/2"/>
    <n v="6"/>
    <s v="79447065364"/>
    <n v="6"/>
    <x v="4"/>
    <s v="a központi eljárásban magyarországi képzésre"/>
    <n v="400"/>
    <m/>
    <m/>
    <s v="Felvétel"/>
    <d v="2020-09-01T00:00:00"/>
    <s v="310804588898"/>
    <s v="BDPK-SEK"/>
    <s v="Eke Norbertné"/>
    <d v="2020-07-23T00:00:00"/>
    <d v="2023-07-15T00:00:00"/>
    <n v="350000"/>
    <m/>
    <n v="3"/>
    <s v="Nő"/>
    <n v="350000"/>
    <s v="deecanada@hotmail.com"/>
    <s v="Wiszt Mária"/>
    <n v="4"/>
    <s v="Aktív"/>
    <n v="4"/>
    <n v="4"/>
    <s v="magyar"/>
    <m/>
  </r>
  <r>
    <s v="Nagy Emese"/>
    <s v="M3UZMO"/>
    <s v="Aktív"/>
    <s v="képalkotás"/>
    <x v="5"/>
    <s v="képalkotás"/>
    <s v="BDPK-SEK-SANB-KEPA-NBHU"/>
    <s v="Mezőtúr"/>
    <s v="Jász-Nagykun-Szolnok"/>
    <s v="Nagy Emese"/>
    <s v="Magyarország"/>
    <d v="2000-11-30T00:00:00"/>
    <s v="T162162/FI80798"/>
    <x v="0"/>
    <s v="Állami ösztöndíjas"/>
    <s v="2020/21/1"/>
    <s v="Nappali"/>
    <n v="9"/>
    <n v="1"/>
    <s v="2021/22/2"/>
    <n v="6"/>
    <s v="77400590426"/>
    <n v="6"/>
    <x v="4"/>
    <s v="a központi eljárásban magyarországi képzésre"/>
    <n v="374"/>
    <m/>
    <m/>
    <s v="Felvétel"/>
    <d v="2020-09-01T00:00:00"/>
    <s v="310804631391"/>
    <s v="BDPK-SEK"/>
    <s v="Eke Norbertné"/>
    <d v="2020-07-23T00:00:00"/>
    <d v="2023-07-15T00:00:00"/>
    <n v="350000"/>
    <m/>
    <n v="3"/>
    <s v="Nő"/>
    <n v="350000"/>
    <s v="emesenagy1130@gmail.com"/>
    <s v="Horváth Szilvia"/>
    <n v="4"/>
    <s v="Aktív"/>
    <n v="4"/>
    <n v="4"/>
    <s v="magyar"/>
    <m/>
  </r>
  <r>
    <s v="Papp Noémi"/>
    <s v="QNHDRV"/>
    <s v="Passzív"/>
    <s v="képalkotás"/>
    <x v="5"/>
    <s v="képalkotás"/>
    <s v="BDPK-SEK-SANB-KEPA-NBHU"/>
    <s v="Erdőszentgyörgy"/>
    <m/>
    <s v="Papp Noémi"/>
    <s v="Románia"/>
    <d v="2000-11-23T00:00:00"/>
    <s v="T155551/FI80798"/>
    <x v="0"/>
    <s v="Állami ösztöndíjas"/>
    <s v="2019/20/1"/>
    <s v="Nappali"/>
    <n v="10"/>
    <n v="1"/>
    <s v="2021/22/1"/>
    <n v="6"/>
    <s v="73081026862"/>
    <n v="6"/>
    <x v="4"/>
    <s v="a központi eljárásban magyarországi képzésre"/>
    <n v="354"/>
    <m/>
    <m/>
    <s v="Felvétel"/>
    <d v="2019-09-01T00:00:00"/>
    <s v="310992187503"/>
    <s v="BDPK-SEK"/>
    <s v="Eke Norbertné"/>
    <d v="2019-08-26T00:00:00"/>
    <d v="2023-07-15T00:00:00"/>
    <n v="350000"/>
    <m/>
    <n v="3"/>
    <s v="Nő"/>
    <n v="350000"/>
    <s v="pappnoemi81@gmail.com"/>
    <s v="Nagy Margit Judit"/>
    <n v="5"/>
    <s v="Passzív"/>
    <n v="3"/>
    <n v="5"/>
    <s v="magyar"/>
    <m/>
  </r>
  <r>
    <s v="Farkas Anna"/>
    <s v="AW3U4X"/>
    <s v="Passzív"/>
    <s v="képalkotás"/>
    <x v="5"/>
    <s v="képalkotás"/>
    <s v="BDPK-SEK-SANB-KEPA-NBHU"/>
    <s v="Topolya"/>
    <m/>
    <s v="Farkas Anna"/>
    <s v="Jugoszlávia"/>
    <d v="2001-09-10T00:00:00"/>
    <s v="T162650/FI80798"/>
    <x v="0"/>
    <s v="Állami ösztöndíjas"/>
    <s v="2020/21/1"/>
    <s v="Nappali"/>
    <n v="11"/>
    <n v="1"/>
    <s v="2020/21/2"/>
    <n v="6"/>
    <s v="73589447390"/>
    <n v="6"/>
    <x v="4"/>
    <s v="a központi eljárásban magyarországi képzésre"/>
    <n v="396"/>
    <m/>
    <m/>
    <s v="Felvétel"/>
    <d v="2020-09-01T00:00:00"/>
    <s v="310804372368"/>
    <s v="BDPK-SEK"/>
    <s v="Eke Norbertné"/>
    <d v="2020-07-23T00:00:00"/>
    <d v="2024-07-15T00:00:00"/>
    <n v="350000"/>
    <m/>
    <n v="2"/>
    <s v="Nő"/>
    <n v="350000"/>
    <s v="fpanni11@gmail.com"/>
    <s v="Német Angéla"/>
    <n v="2"/>
    <s v="Passzív"/>
    <m/>
    <n v="2"/>
    <s v="magyar"/>
    <m/>
  </r>
  <r>
    <s v="Petánovics Rebeka Erika"/>
    <s v="BSB2K5"/>
    <s v="Aktív"/>
    <s v="képalkotás"/>
    <x v="5"/>
    <s v="képalkotás"/>
    <s v="BDPK-SEK-SANB-KEPA-NBHU"/>
    <s v="Zalaegerszeg"/>
    <s v="Zala"/>
    <s v="Petánovics Rebeka Erika"/>
    <s v="Magyarország"/>
    <d v="2000-02-04T00:00:00"/>
    <s v="T163186/FI80798"/>
    <x v="0"/>
    <s v="Állami ösztöndíjas"/>
    <s v="2020/21/1"/>
    <s v="Nappali"/>
    <n v="9"/>
    <n v="1"/>
    <s v="2021/22/2"/>
    <n v="6"/>
    <s v="76314709226"/>
    <n v="6"/>
    <x v="4"/>
    <s v="a központi eljárásban magyarországi képzésre"/>
    <n v="388"/>
    <m/>
    <m/>
    <s v="Felvétel"/>
    <d v="2020-09-01T00:00:00"/>
    <s v="310804285552"/>
    <s v="BDPK-SEK"/>
    <s v="Eke Norbertné"/>
    <d v="2020-07-23T00:00:00"/>
    <d v="2023-07-15T00:00:00"/>
    <n v="350000"/>
    <m/>
    <n v="3"/>
    <s v="Nő"/>
    <n v="350000"/>
    <s v="petanovicsrebeka@gmail.com"/>
    <s v="Asbolt Éva Katalin"/>
    <n v="4"/>
    <s v="Aktív"/>
    <n v="4"/>
    <n v="4"/>
    <s v="magyar"/>
    <m/>
  </r>
  <r>
    <s v="Durst Márta"/>
    <s v="GS7R4Y"/>
    <s v="Aktív"/>
    <s v="képalkotás"/>
    <x v="5"/>
    <s v="képalkotás"/>
    <s v="BDPK-SEK-SANB-KEPA-NBHU"/>
    <s v="Szombathely"/>
    <s v="Vas"/>
    <s v="Durst Márta"/>
    <s v="Magyarország"/>
    <d v="1999-06-12T00:00:00"/>
    <s v="T154104/FI80798"/>
    <x v="0"/>
    <s v="Állami ösztöndíjas"/>
    <s v="2019/20/1"/>
    <s v="Nappali"/>
    <n v="7"/>
    <n v="1"/>
    <s v="2021/22/2"/>
    <n v="6"/>
    <s v="72011375202"/>
    <n v="6"/>
    <x v="4"/>
    <s v="a központi eljárásban magyarországi képzésre"/>
    <n v="396"/>
    <m/>
    <m/>
    <s v="Felvétel"/>
    <d v="2019-09-01T00:00:00"/>
    <s v="310982787973"/>
    <s v="BDPK-SEK"/>
    <s v="Eke Norbertné"/>
    <d v="2019-07-24T00:00:00"/>
    <d v="2022-07-15T00:00:00"/>
    <n v="350000"/>
    <m/>
    <n v="5"/>
    <s v="Nő"/>
    <n v="350000"/>
    <s v="durstmarta@freemail.hu"/>
    <s v="Kozma Ágnes"/>
    <n v="6"/>
    <s v="Aktív"/>
    <n v="6"/>
    <n v="6"/>
    <s v="magyar"/>
    <m/>
  </r>
  <r>
    <s v="Szijj Laura Barbara"/>
    <s v="IWQJ0K"/>
    <s v="Aktív"/>
    <s v="képalkotás"/>
    <x v="5"/>
    <s v="képalkotás"/>
    <s v="BDPK-SEK-SANB-KEPA-NBHU"/>
    <s v="Szombathely"/>
    <s v="Vas"/>
    <s v="Szijj Laura Barbara"/>
    <s v="Magyarország"/>
    <d v="2000-04-23T00:00:00"/>
    <s v="T152707/FI80798"/>
    <x v="0"/>
    <s v="Állami ösztöndíjas"/>
    <s v="2019/20/1"/>
    <s v="Nappali"/>
    <n v="7"/>
    <n v="1"/>
    <s v="2021/22/2"/>
    <n v="6"/>
    <s v="74537698232"/>
    <n v="6"/>
    <x v="4"/>
    <s v="a központi eljárásban magyarországi képzésre"/>
    <n v="374"/>
    <m/>
    <m/>
    <s v="Felvétel"/>
    <d v="2019-09-01T00:00:00"/>
    <s v="310983071260"/>
    <s v="BDPK-SEK"/>
    <s v="Eke Norbertné"/>
    <d v="2019-07-24T00:00:00"/>
    <d v="2022-07-15T00:00:00"/>
    <n v="350000"/>
    <m/>
    <n v="5"/>
    <s v="Nő"/>
    <n v="350000"/>
    <s v="szijjlaura@gmail.com"/>
    <s v="Laczó Zsuzsanna"/>
    <n v="6"/>
    <s v="Aktív"/>
    <n v="6"/>
    <n v="6"/>
    <s v="magyar"/>
    <m/>
  </r>
  <r>
    <s v="Kovács Gábor"/>
    <s v="GFZY4B"/>
    <s v="Aktív"/>
    <s v="képi ábrázolás"/>
    <x v="5"/>
    <s v="képi ábrázolás"/>
    <s v="BDPK-SEK-SALB-KEPI-LBHU"/>
    <s v="Sopron"/>
    <s v="Győr-Moson-Sopron"/>
    <s v="Kovács Gábor"/>
    <s v="Magyarország"/>
    <d v="1994-12-19T00:00:00"/>
    <s v="T188642/FI80798"/>
    <x v="0"/>
    <s v="Állami ösztöndíjas"/>
    <s v="2021/22/1"/>
    <s v="Levelező"/>
    <n v="14"/>
    <n v="1"/>
    <s v="2021/22/2"/>
    <n v="6"/>
    <s v="72870694731"/>
    <n v="6"/>
    <x v="4"/>
    <s v="a központi eljárásban magyarországi képzésre"/>
    <n v="392"/>
    <m/>
    <m/>
    <s v="Felvétel"/>
    <d v="2021-09-01T00:00:00"/>
    <s v="310814680115"/>
    <s v="BDPK-SEK"/>
    <s v="Eke Norbertné"/>
    <d v="2021-07-23T00:00:00"/>
    <d v="2024-07-15T00:00:00"/>
    <n v="350000"/>
    <m/>
    <n v="1"/>
    <s v="Férfi"/>
    <n v="350000"/>
    <s v="kovacsgabor11@msn.com"/>
    <s v="Pánácz Rita"/>
    <n v="2"/>
    <s v="Aktív"/>
    <n v="2"/>
    <n v="2"/>
    <s v="magyar"/>
    <m/>
  </r>
  <r>
    <s v="Miklós Mirabel Veronika"/>
    <s v="XE28LU"/>
    <s v="Aktív"/>
    <s v="képi ábrázolás"/>
    <x v="5"/>
    <s v="képi ábrázolás"/>
    <s v="BDPK-SEK-SANB-KEPI-NBHU"/>
    <s v="Veszprém"/>
    <s v="Veszprém"/>
    <s v="Miklós Mirabel Veronika"/>
    <s v="Magyarország"/>
    <d v="2000-06-11T00:00:00"/>
    <s v="T189255/FI80798"/>
    <x v="0"/>
    <s v="Állami ösztöndíjas"/>
    <s v="2021/22/1"/>
    <s v="Nappali"/>
    <n v="11"/>
    <n v="1"/>
    <s v="2021/22/2"/>
    <n v="6"/>
    <s v="77234478143"/>
    <n v="6"/>
    <x v="4"/>
    <s v="a központi eljárásban magyarországi képzésre"/>
    <n v="398"/>
    <m/>
    <m/>
    <s v="Felvétel"/>
    <d v="2021-09-01T00:00:00"/>
    <s v="310814053487"/>
    <s v="BDPK-SEK"/>
    <s v="Eke Norbertné"/>
    <d v="2021-07-23T00:00:00"/>
    <d v="2024-07-15T00:00:00"/>
    <n v="350000"/>
    <m/>
    <n v="1"/>
    <s v="Nő"/>
    <n v="350000"/>
    <s v="mirabelmiklos1@gmail.com"/>
    <s v="Horváth Renáta"/>
    <n v="2"/>
    <s v="Aktív"/>
    <n v="2"/>
    <n v="2"/>
    <s v="magyar"/>
    <m/>
  </r>
  <r>
    <s v="Kámán Karolina Júlia"/>
    <s v="Q8FEQG"/>
    <s v="Aktív"/>
    <s v="képi ábrázolás"/>
    <x v="5"/>
    <s v="képi ábrázolás"/>
    <s v="BDPK-SEK-SANB-KEPI-NBHU"/>
    <s v="Zalaegerszeg"/>
    <s v="Zala"/>
    <s v="Kámán Karolina Júlia"/>
    <s v="Magyarország"/>
    <d v="2001-07-11T00:00:00"/>
    <s v="T181459/FI80798"/>
    <x v="0"/>
    <s v="Állami ösztöndíjas"/>
    <s v="2021/22/1"/>
    <s v="Nappali"/>
    <n v="11"/>
    <n v="1"/>
    <s v="2021/22/2"/>
    <n v="6"/>
    <s v="71466230223"/>
    <n v="6"/>
    <x v="4"/>
    <s v="a központi eljárásban magyarországi képzésre"/>
    <n v="372"/>
    <m/>
    <m/>
    <s v="Felvétel"/>
    <d v="2021-09-01T00:00:00"/>
    <s v="310814751619"/>
    <s v="BDPK-SEK"/>
    <s v="Eke Norbertné"/>
    <d v="2021-07-23T00:00:00"/>
    <d v="2024-07-15T00:00:00"/>
    <n v="350000"/>
    <m/>
    <n v="1"/>
    <s v="Nő"/>
    <n v="350000"/>
    <s v="kamankarolina2001@gmail.com"/>
    <s v="Dávid Anikó"/>
    <n v="2"/>
    <s v="Aktív"/>
    <n v="2"/>
    <n v="2"/>
    <s v="magyar"/>
    <m/>
  </r>
  <r>
    <s v="Payer Annamária"/>
    <s v="F2C2LA"/>
    <s v="Aktív"/>
    <s v="képi ábrázolás"/>
    <x v="5"/>
    <s v="képi ábrázolás"/>
    <s v="BDPK-SEK-SALB-KEPI-LBHU"/>
    <s v="Veszprém"/>
    <s v="Veszprém"/>
    <s v="Payer Annamária"/>
    <s v="Magyarország"/>
    <d v="1997-08-22T00:00:00"/>
    <s v="T187926/FI80798"/>
    <x v="0"/>
    <s v="Állami ösztöndíjas"/>
    <s v="2021/22/1"/>
    <s v="Levelező"/>
    <n v="11"/>
    <n v="1"/>
    <s v="2021/22/2"/>
    <n v="6"/>
    <s v="71758587852"/>
    <n v="6"/>
    <x v="4"/>
    <s v="a központi eljárásban magyarországi képzésre"/>
    <n v="394"/>
    <m/>
    <m/>
    <s v="Felvétel"/>
    <d v="2021-09-01T00:00:00"/>
    <s v="310814634575"/>
    <s v="BDPK-SEK"/>
    <s v="Eke Norbertné"/>
    <d v="2021-08-11T00:00:00"/>
    <d v="2024-07-15T00:00:00"/>
    <n v="350000"/>
    <m/>
    <n v="1"/>
    <s v="Nő"/>
    <n v="350000"/>
    <s v="payer.anami@gmail.com"/>
    <s v="Sárzó Judit Anita"/>
    <n v="2"/>
    <s v="Aktív"/>
    <n v="2"/>
    <n v="2"/>
    <s v="magyar"/>
    <m/>
  </r>
  <r>
    <s v="Varjú Rebeka Noémi"/>
    <s v="JAIYUH"/>
    <s v="Aktív"/>
    <s v="képi ábrázolás"/>
    <x v="5"/>
    <s v="képi ábrázolás"/>
    <s v="BDPK-SEK-SANB-KEPI-NBHU"/>
    <s v="Szombathely"/>
    <s v="Vas"/>
    <s v="Varjú Rebeka Noémi"/>
    <s v="Magyarország"/>
    <d v="2002-10-29T00:00:00"/>
    <s v="T187516/FI80798"/>
    <x v="0"/>
    <s v="Állami ösztöndíjas"/>
    <s v="2021/22/1"/>
    <s v="Nappali"/>
    <n v="11"/>
    <n v="1"/>
    <s v="2021/22/2"/>
    <n v="6"/>
    <s v="72168824713"/>
    <n v="6"/>
    <x v="4"/>
    <s v="a központi eljárásban magyarországi képzésre"/>
    <n v="388"/>
    <m/>
    <m/>
    <s v="Felvétel"/>
    <d v="2021-09-01T00:00:00"/>
    <s v="310814881424"/>
    <s v="BDPK-SEK"/>
    <s v="Eke Norbertné"/>
    <d v="2021-07-23T00:00:00"/>
    <d v="2024-07-15T00:00:00"/>
    <n v="350000"/>
    <m/>
    <n v="1"/>
    <s v="Nő"/>
    <n v="350000"/>
    <s v="rebekavarju@gmail.com"/>
    <s v="Darics Henriette Mária"/>
    <n v="2"/>
    <s v="Aktív"/>
    <n v="2"/>
    <n v="2"/>
    <s v="magyar"/>
    <m/>
  </r>
  <r>
    <s v="Dóra Szófia Fanni"/>
    <s v="ZFUHNN"/>
    <s v="Aktív"/>
    <s v="képi ábrázolás"/>
    <x v="5"/>
    <s v="képi ábrázolás"/>
    <s v="BDPK-SEK-SANB-KEPI-NBHU"/>
    <s v="Zalaegerszeg"/>
    <s v="Zala"/>
    <s v="Dóra Szófia Fanni"/>
    <s v="Magyarország"/>
    <d v="2002-08-12T00:00:00"/>
    <s v="T184019/FI80798"/>
    <x v="0"/>
    <s v="Állami ösztöndíjas"/>
    <s v="2021/22/1"/>
    <s v="Nappali"/>
    <n v="11"/>
    <n v="1"/>
    <s v="2021/22/2"/>
    <n v="6"/>
    <s v="71602465421"/>
    <n v="6"/>
    <x v="4"/>
    <s v="a központi eljárásban magyarországi képzésre"/>
    <n v="372"/>
    <m/>
    <m/>
    <s v="Felvétel"/>
    <d v="2021-09-01T00:00:00"/>
    <s v="310814600915"/>
    <s v="BDPK-SEK"/>
    <s v="Eke Norbertné"/>
    <d v="2021-07-23T00:00:00"/>
    <d v="2024-07-15T00:00:00"/>
    <n v="350000"/>
    <m/>
    <n v="1"/>
    <s v="Nő"/>
    <n v="350000"/>
    <s v="doraszofia0@gmail.com"/>
    <s v="Horváth Bernadett"/>
    <n v="2"/>
    <s v="Aktív"/>
    <n v="2"/>
    <n v="2"/>
    <s v="magyar"/>
    <m/>
  </r>
  <r>
    <s v="Szabó Edina"/>
    <s v="DFEYB1"/>
    <s v="Aktív"/>
    <s v="képi ábrázolás"/>
    <x v="5"/>
    <s v="képi ábrázolás"/>
    <s v="BDPK-SEK-SANB-KEPI-NBHU"/>
    <s v="Sárvár"/>
    <s v="Vas"/>
    <s v="Szabó Edina"/>
    <s v="Magyarország"/>
    <d v="2002-12-12T00:00:00"/>
    <s v="T183444/FI80798"/>
    <x v="0"/>
    <s v="Állami ösztöndíjas"/>
    <s v="2021/22/1"/>
    <s v="Nappali"/>
    <n v="11"/>
    <n v="1"/>
    <s v="2021/22/2"/>
    <n v="6"/>
    <s v="71763990681"/>
    <n v="6"/>
    <x v="4"/>
    <s v="a központi eljárásban magyarországi képzésre"/>
    <n v="394"/>
    <m/>
    <m/>
    <s v="Felvétel"/>
    <d v="2021-09-01T00:00:00"/>
    <s v="310814615061"/>
    <s v="BDPK-SEK"/>
    <s v="Eke Norbertné"/>
    <d v="2021-07-23T00:00:00"/>
    <d v="2024-07-15T00:00:00"/>
    <n v="350000"/>
    <m/>
    <n v="1"/>
    <s v="Nő"/>
    <n v="350000"/>
    <s v="edinka20021213@gmail.com"/>
    <s v="Bíró Márta"/>
    <n v="2"/>
    <s v="Aktív"/>
    <n v="2"/>
    <n v="2"/>
    <s v="magyar"/>
    <m/>
  </r>
  <r>
    <s v="Takács Enikő"/>
    <s v="I0JYDX"/>
    <s v="Aktív"/>
    <s v="képi ábrázolás"/>
    <x v="5"/>
    <s v="képi ábrázolás"/>
    <s v="BDPK-SEK-SANB-KEPI-NBHU"/>
    <s v="Szombathely"/>
    <s v="Vas"/>
    <s v="Takács Enikő"/>
    <s v="Magyarország"/>
    <d v="2001-09-15T00:00:00"/>
    <s v="T181462/FI80798"/>
    <x v="0"/>
    <s v="Állami ösztöndíjas"/>
    <s v="2021/22/1"/>
    <s v="Nappali"/>
    <n v="11"/>
    <n v="1"/>
    <s v="2021/22/2"/>
    <n v="6"/>
    <s v="71467249687"/>
    <n v="6"/>
    <x v="4"/>
    <s v="a központi eljárásban magyarországi képzésre"/>
    <n v="396"/>
    <m/>
    <m/>
    <s v="Felvétel"/>
    <d v="2021-09-01T00:00:00"/>
    <s v="310814279157"/>
    <s v="BDPK-SEK"/>
    <s v="Eke Norbertné"/>
    <d v="2021-07-23T00:00:00"/>
    <d v="2024-07-15T00:00:00"/>
    <n v="350000"/>
    <m/>
    <n v="1"/>
    <s v="Nő"/>
    <n v="350000"/>
    <s v="enikontakacs@gmail.com"/>
    <s v="Szoták Tímea"/>
    <n v="2"/>
    <s v="Aktív"/>
    <n v="2"/>
    <n v="2"/>
    <s v="magyar"/>
    <m/>
  </r>
  <r>
    <s v="Birizdó Liza Mária"/>
    <s v="WHWDRL"/>
    <s v="Passzív"/>
    <s v="képi ábrázolás"/>
    <x v="5"/>
    <s v="képi ábrázolás"/>
    <s v="BDPK-SEK-SANB-KEPI-NBHU"/>
    <s v="Szombathely"/>
    <s v="Vas"/>
    <s v="Birizdó Liza Mária"/>
    <s v="Magyarország"/>
    <d v="2001-11-08T00:00:00"/>
    <s v="T190120/FI80798"/>
    <x v="0"/>
    <s v="Állami ösztöndíjas"/>
    <s v="2021/22/1"/>
    <s v="Nappali"/>
    <n v="12"/>
    <m/>
    <m/>
    <n v="6"/>
    <s v="71763066382"/>
    <n v="6"/>
    <x v="4"/>
    <s v="a központi eljárásban magyarországi képzésre"/>
    <n v="396"/>
    <m/>
    <m/>
    <s v="Felvétel"/>
    <d v="2021-09-01T00:00:00"/>
    <s v="310814597566"/>
    <s v="BDPK-SEK"/>
    <s v="Eke Norbertné"/>
    <d v="2021-07-23T00:00:00"/>
    <d v="2025-07-15T00:00:00"/>
    <n v="350000"/>
    <m/>
    <m/>
    <s v="Nő"/>
    <n v="350000"/>
    <s v="birizdo.liza@gmail.com"/>
    <s v="Kulcsár Henriette Mária"/>
    <n v="0"/>
    <s v="Passzív"/>
    <n v="0"/>
    <n v="0"/>
    <s v="magyar"/>
    <m/>
  </r>
  <r>
    <s v="Zelkó Jázmin"/>
    <s v="C2ZVJK"/>
    <s v="Aktív"/>
    <s v="képi ábrázolás"/>
    <x v="5"/>
    <s v="képi ábrázolás"/>
    <s v="BDPK-SEK-SANB-KEPI-NBHU"/>
    <s v="Zalaegerszeg"/>
    <s v="Zala"/>
    <s v="Zelkó Jázmin"/>
    <s v="Magyarország"/>
    <d v="2002-10-07T00:00:00"/>
    <s v="T185121/FI80798"/>
    <x v="0"/>
    <s v="Állami ösztöndíjas"/>
    <s v="2021/22/1"/>
    <s v="Nappali"/>
    <n v="11"/>
    <n v="1"/>
    <s v="2021/22/2"/>
    <n v="6"/>
    <s v="72148017235"/>
    <n v="6"/>
    <x v="4"/>
    <s v="a központi eljárásban magyarországi képzésre"/>
    <n v="370"/>
    <m/>
    <m/>
    <s v="Felvétel"/>
    <d v="2021-09-01T00:00:00"/>
    <s v="310815052819"/>
    <s v="BDPK-SEK"/>
    <s v="Eke Norbertné"/>
    <d v="2021-07-23T00:00:00"/>
    <d v="2024-07-15T00:00:00"/>
    <n v="350000"/>
    <m/>
    <n v="1"/>
    <s v="Nő"/>
    <n v="350000"/>
    <s v="zelkojazmin@gmail.com"/>
    <s v="Keresztes Mónika"/>
    <n v="2"/>
    <s v="Aktív"/>
    <n v="2"/>
    <n v="2"/>
    <s v="magyar"/>
    <m/>
  </r>
  <r>
    <s v="Buranits Bertina"/>
    <s v="DYBQO2"/>
    <s v="Aktív"/>
    <s v="képi ábrázolás"/>
    <x v="5"/>
    <s v="képi ábrázolás"/>
    <s v="BDPK-SEK-SANB-KEPI-NBHU"/>
    <s v="Sopron"/>
    <s v="Győr-Moson-Sopron"/>
    <s v="Buranits Bertina"/>
    <s v="Magyarország"/>
    <d v="2002-11-20T00:00:00"/>
    <s v="T182592/FI80798"/>
    <x v="0"/>
    <s v="Állami ösztöndíjas"/>
    <s v="2021/22/1"/>
    <s v="Nappali"/>
    <n v="11"/>
    <n v="1"/>
    <s v="2021/22/2"/>
    <n v="6"/>
    <s v="72165452650"/>
    <n v="6"/>
    <x v="4"/>
    <s v="a központi eljárásban magyarországi képzésre"/>
    <n v="388"/>
    <m/>
    <m/>
    <s v="Felvétel"/>
    <d v="2021-09-01T00:00:00"/>
    <s v="310815137891"/>
    <s v="BDPK-SEK"/>
    <s v="Eke Norbertné"/>
    <d v="2021-07-23T00:00:00"/>
    <d v="2024-07-15T00:00:00"/>
    <n v="350000"/>
    <m/>
    <n v="1"/>
    <s v="Nő"/>
    <n v="350000"/>
    <s v="bertinaburanits@gmail.com"/>
    <s v="Gáncs Anikó"/>
    <n v="2"/>
    <s v="Aktív"/>
    <n v="2"/>
    <n v="2"/>
    <s v="magyar"/>
    <m/>
  </r>
  <r>
    <s v="Igali Virág"/>
    <s v="FIBMOC"/>
    <s v="Aktív"/>
    <s v="képi ábrázolás"/>
    <x v="5"/>
    <s v="képi ábrázolás"/>
    <s v="BDPK-SEK-SANB-KEPI-NBHU"/>
    <s v="Nagykanizsa"/>
    <s v="Zala"/>
    <s v="Igali Virág"/>
    <s v="Magyarország"/>
    <d v="2001-08-25T00:00:00"/>
    <s v="T181284/FI80798"/>
    <x v="0"/>
    <s v="Állami ösztöndíjas"/>
    <s v="2021/22/1"/>
    <s v="Nappali"/>
    <n v="11"/>
    <n v="1"/>
    <s v="2021/22/2"/>
    <n v="6"/>
    <s v="71613275167"/>
    <n v="6"/>
    <x v="4"/>
    <s v="a központi eljárásban magyarországi képzésre"/>
    <n v="388"/>
    <m/>
    <m/>
    <s v="Felvétel"/>
    <d v="2021-09-01T00:00:00"/>
    <s v="310814434349"/>
    <s v="BDPK-SEK"/>
    <s v="Eke Norbertné"/>
    <d v="2021-07-23T00:00:00"/>
    <d v="2024-07-15T00:00:00"/>
    <n v="350000"/>
    <m/>
    <n v="1"/>
    <s v="Nő"/>
    <n v="350000"/>
    <s v="igalivirag@gmail.com"/>
    <s v="Horváth Gyöngyi"/>
    <n v="2"/>
    <s v="Aktív"/>
    <n v="2"/>
    <n v="2"/>
    <s v="magyar"/>
    <m/>
  </r>
  <r>
    <s v="Faltis Roberta Sarolta"/>
    <s v="BAFPVR"/>
    <s v="Aktív"/>
    <s v="képi ábrázolás"/>
    <x v="5"/>
    <s v="képi ábrázolás"/>
    <s v="BDPK-SEK-SALB-KEPI-LBHU"/>
    <s v="Pécs"/>
    <s v="Baranya"/>
    <s v="Faltis Roberta Sarolta"/>
    <s v="Magyarország"/>
    <d v="1963-09-10T00:00:00"/>
    <s v="T189253/FI80798"/>
    <x v="0"/>
    <s v="Állami ösztöndíjas"/>
    <s v="2021/22/1"/>
    <s v="Levelező"/>
    <n v="11"/>
    <n v="1"/>
    <s v="2021/22/2"/>
    <n v="6"/>
    <s v="73050462613"/>
    <n v="6"/>
    <x v="4"/>
    <s v="a központi eljárásban magyarországi képzésre"/>
    <n v="394"/>
    <m/>
    <m/>
    <s v="Felvétel"/>
    <d v="2021-09-01T00:00:00"/>
    <s v="310814382282"/>
    <s v="BDPK-SEK"/>
    <s v="Eke Norbertné"/>
    <d v="2021-07-23T00:00:00"/>
    <d v="2024-07-15T00:00:00"/>
    <n v="350000"/>
    <m/>
    <n v="1"/>
    <s v="Nő"/>
    <n v="350000"/>
    <s v="robertasarolta@gmail.com"/>
    <s v="Fonód Sarolta"/>
    <n v="2"/>
    <s v="Aktív"/>
    <n v="2"/>
    <n v="2"/>
    <s v="magyar"/>
    <m/>
  </r>
  <r>
    <s v="Galgóczi Nóra"/>
    <s v="M77MDJ"/>
    <s v="Aktív"/>
    <s v="képi ábrázolás"/>
    <x v="5"/>
    <s v="képi ábrázolás"/>
    <s v="BDPK-SEK-SANB-KEPI-NBHU"/>
    <s v="Budapest"/>
    <s v="Budapest"/>
    <s v="Galgóczi Nóra"/>
    <s v="Magyarország"/>
    <d v="2000-08-01T00:00:00"/>
    <s v="T181018/FI80798"/>
    <x v="0"/>
    <s v="Állami ösztöndíjas"/>
    <s v="2021/22/1"/>
    <s v="Nappali"/>
    <n v="11"/>
    <n v="1"/>
    <s v="2021/22/2"/>
    <n v="6"/>
    <s v="73189725503"/>
    <n v="6"/>
    <x v="4"/>
    <s v="a központi eljárásban magyarországi képzésre"/>
    <n v="400"/>
    <m/>
    <m/>
    <s v="Felvétel"/>
    <d v="2021-09-01T00:00:00"/>
    <s v="310814976273"/>
    <s v="BDPK-SEK"/>
    <s v="Eke Norbertné"/>
    <d v="2021-07-23T00:00:00"/>
    <d v="2024-07-15T00:00:00"/>
    <n v="350000"/>
    <m/>
    <n v="2"/>
    <s v="Nő"/>
    <n v="350000"/>
    <s v="galgonora@gmail.com"/>
    <s v="Orczi Erzsébet"/>
    <n v="2"/>
    <s v="Aktív"/>
    <n v="2"/>
    <n v="2"/>
    <s v="magyar"/>
    <m/>
  </r>
  <r>
    <s v="Eredics Anna Mária"/>
    <s v="BRNSGG"/>
    <s v="Passzív"/>
    <s v="képi ábrázolás"/>
    <x v="5"/>
    <s v="képi ábrázolás"/>
    <s v="BDPK-SEK-SANB-KEPI-NBHU"/>
    <s v="Budapest"/>
    <s v="Budapest"/>
    <s v="Eredics Anna Mária"/>
    <s v="Magyarország"/>
    <d v="2001-09-04T00:00:00"/>
    <s v="T190265/FI80798"/>
    <x v="0"/>
    <s v="Állami ösztöndíjas"/>
    <s v="2021/22/1"/>
    <s v="Nappali"/>
    <n v="12"/>
    <n v="1"/>
    <s v="2021/22/1"/>
    <n v="6"/>
    <s v="71463719874"/>
    <n v="6"/>
    <x v="4"/>
    <s v="a központi eljárásban magyarországi képzésre"/>
    <n v="392"/>
    <m/>
    <m/>
    <s v="Felvétel"/>
    <d v="2021-09-01T00:00:00"/>
    <s v="310814890789"/>
    <s v="BDPK-SEK"/>
    <s v="Eke Norbertné"/>
    <d v="2021-07-23T00:00:00"/>
    <d v="2025-07-15T00:00:00"/>
    <n v="350000"/>
    <m/>
    <n v="1"/>
    <s v="Nő"/>
    <n v="350000"/>
    <s v="eredics.anna12@gmail.com"/>
    <s v="Sütő Melinda Zsuzsanna"/>
    <n v="1"/>
    <s v="Passzív"/>
    <m/>
    <n v="1"/>
    <s v="magyar"/>
    <m/>
  </r>
  <r>
    <s v="Király Klaudia"/>
    <s v="BMEEH5"/>
    <s v="Aktív"/>
    <s v="képi ábrázolás"/>
    <x v="5"/>
    <s v="képi ábrázolás"/>
    <s v="BDPK-SEK-SALB-KEPI-LBHU"/>
    <s v="Szigetvár"/>
    <s v="Baranya"/>
    <s v="Király Klaudia"/>
    <s v="Magyarország"/>
    <d v="1997-05-21T00:00:00"/>
    <s v="T182622/FI80798"/>
    <x v="0"/>
    <s v="Állami ösztöndíjas"/>
    <s v="2021/22/1"/>
    <s v="Levelező"/>
    <n v="11"/>
    <n v="1"/>
    <s v="2021/22/2"/>
    <n v="6"/>
    <s v="75732423520"/>
    <n v="6"/>
    <x v="4"/>
    <s v="a központi eljárásban magyarországi képzésre"/>
    <n v="378"/>
    <m/>
    <m/>
    <s v="Felvétel"/>
    <d v="2021-09-01T00:00:00"/>
    <s v="310814996230"/>
    <s v="BDPK-SEK"/>
    <s v="Eke Norbertné"/>
    <d v="2021-07-23T00:00:00"/>
    <d v="2024-07-15T00:00:00"/>
    <n v="350000"/>
    <m/>
    <n v="1"/>
    <s v="Nő"/>
    <n v="350000"/>
    <s v="versailles9777@gmail.com"/>
    <s v="Erős Szilvia"/>
    <n v="2"/>
    <s v="Aktív"/>
    <n v="2"/>
    <n v="2"/>
    <s v="magyar"/>
    <m/>
  </r>
  <r>
    <s v="Sántha-Vass Beatrix"/>
    <s v="U3RXRH"/>
    <s v="Aktív"/>
    <s v="képi ábrázolás"/>
    <x v="5"/>
    <s v="képi ábrázolás"/>
    <s v="BDPK-SEK-SALB-KEPI-LBHU"/>
    <s v="Zalaegerszeg"/>
    <s v="Zala"/>
    <s v="Vass Beatrix"/>
    <s v="Magyarország"/>
    <d v="1997-01-25T00:00:00"/>
    <s v="T179512/FI80798"/>
    <x v="0"/>
    <s v="Állami ösztöndíjas"/>
    <s v="2021/22/1"/>
    <s v="Levelező"/>
    <n v="11"/>
    <n v="1"/>
    <s v="2021/22/2"/>
    <n v="6"/>
    <s v="71771736297"/>
    <n v="6"/>
    <x v="4"/>
    <s v="a központi eljárásban magyarországi képzésre"/>
    <n v="388"/>
    <m/>
    <m/>
    <s v="Felvétel"/>
    <d v="2021-09-01T00:00:00"/>
    <s v="310814243997"/>
    <s v="BDPK-SEK"/>
    <s v="Eke Norbertné"/>
    <d v="2021-07-23T00:00:00"/>
    <d v="2024-07-15T00:00:00"/>
    <n v="350000"/>
    <m/>
    <n v="1"/>
    <s v="Nő"/>
    <n v="350000"/>
    <s v="bvass002@gmail.com"/>
    <s v="Schöller Krisztina"/>
    <n v="2"/>
    <s v="Aktív"/>
    <n v="2"/>
    <n v="2"/>
    <s v="magyar"/>
    <m/>
  </r>
  <r>
    <s v="Tóth Andrea Veronika"/>
    <s v="AUEGMD"/>
    <s v="Passzív"/>
    <s v="képi ábrázolás"/>
    <x v="5"/>
    <s v="képi ábrázolás"/>
    <s v="BDPK-SEK-SANB-KEPI-NBHU"/>
    <s v="Tatabánya"/>
    <s v="Komárom-Esztergom"/>
    <s v="Tóth Andrea Veronika"/>
    <s v="Magyarország"/>
    <d v="2002-10-07T00:00:00"/>
    <s v="T183009/FI80798"/>
    <x v="0"/>
    <s v="Állami ösztöndíjas"/>
    <s v="2021/22/1"/>
    <s v="Nappali"/>
    <n v="12"/>
    <m/>
    <m/>
    <n v="6"/>
    <s v="72721183108"/>
    <n v="6"/>
    <x v="4"/>
    <s v="a központi eljárásban magyarországi képzésre"/>
    <n v="388"/>
    <m/>
    <m/>
    <s v="Felvétel"/>
    <d v="2021-09-01T00:00:00"/>
    <s v="310814696681"/>
    <s v="BDPK-SEK"/>
    <s v="Eke Norbertné"/>
    <d v="2021-07-23T00:00:00"/>
    <d v="2025-07-15T00:00:00"/>
    <n v="350000"/>
    <m/>
    <m/>
    <s v="Nő"/>
    <n v="350000"/>
    <s v="atoth2424@gmail.com"/>
    <s v="Szkokán Annamária"/>
    <n v="0"/>
    <s v="Passzív"/>
    <n v="0"/>
    <n v="0"/>
    <s v="magyar"/>
    <m/>
  </r>
  <r>
    <s v="Molnár Fruzsina"/>
    <s v="GC14A8"/>
    <s v="Aktív"/>
    <s v="képi ábrázolás"/>
    <x v="5"/>
    <s v="képi ábrázolás"/>
    <s v="BDPK-SEK-SANB-KEPI-NBHU"/>
    <s v="Budapest"/>
    <s v="Budapest"/>
    <s v="Molnár Fruzsina"/>
    <s v="Magyarország"/>
    <d v="2001-03-16T00:00:00"/>
    <s v="T185944/FI80798"/>
    <x v="0"/>
    <s v="Állami ösztöndíjas"/>
    <s v="2021/22/1"/>
    <s v="Nappali"/>
    <n v="11"/>
    <n v="1"/>
    <s v="2021/22/2"/>
    <n v="6"/>
    <s v="71590966024"/>
    <n v="6"/>
    <x v="4"/>
    <s v="a központi eljárásban magyarországi képzésre"/>
    <n v="386"/>
    <m/>
    <m/>
    <s v="Felvétel"/>
    <d v="2021-09-01T00:00:00"/>
    <s v="310814426279"/>
    <s v="BDPK-SEK"/>
    <s v="Eke Norbertné"/>
    <d v="2021-07-23T00:00:00"/>
    <d v="2024-07-15T00:00:00"/>
    <n v="350000"/>
    <m/>
    <n v="1"/>
    <s v="Nő"/>
    <n v="350000"/>
    <s v="fruzsina.molnar.fm@gmail.com"/>
    <s v="Fűrész Anikó"/>
    <n v="2"/>
    <s v="Aktív"/>
    <n v="2"/>
    <n v="2"/>
    <s v="magyar"/>
    <m/>
  </r>
  <r>
    <s v="Farkas Patrik Márk"/>
    <s v="OU6GXD"/>
    <s v="Aktív (Vendéghallgató)"/>
    <s v="osztatlan tanári [10 félév [hittanár-nevelőtanár; ének-zene tanár]]"/>
    <x v="6"/>
    <s v="osztatlan hittanár-nevelőtanár"/>
    <s v="TKK-OHTAK-NOHU"/>
    <s v="Budapest"/>
    <s v="Budapest"/>
    <s v="Farkas Patrik Márk"/>
    <s v="Magyarország"/>
    <d v="1995-12-15T00:00:00"/>
    <s v="V004969/FI80798"/>
    <x v="3"/>
    <s v="Egyéb"/>
    <s v="2018/19/1"/>
    <s v="Nappali"/>
    <n v="3"/>
    <n v="1"/>
    <s v="2021/22/2"/>
    <n v="10"/>
    <s v="73598207132"/>
    <n v="10"/>
    <x v="3"/>
    <m/>
    <m/>
    <m/>
    <m/>
    <s v="Résztanulmányok megkezdése"/>
    <d v="2018-09-01T00:00:00"/>
    <m/>
    <s v="BDPK-SEK"/>
    <s v="Eke Norbertné"/>
    <d v="2018-09-01T00:00:00"/>
    <d v="2023-06-30T00:00:00"/>
    <m/>
    <m/>
    <n v="0"/>
    <s v="Férfi"/>
    <m/>
    <s v="farkaspatrik.95@gmail.com"/>
    <s v="Biba Franciska Erika"/>
    <n v="8"/>
    <s v="Aktív (Vendéghallgató)"/>
    <n v="0"/>
    <n v="8"/>
    <s v="magyar"/>
    <m/>
  </r>
  <r>
    <s v="Gróf Annamária"/>
    <s v="MHCY75"/>
    <s v="Aktív (Vendéghallgató)"/>
    <s v="osztatlan tanári [10 félév [hittanár-nevelőtanár; matematikatanár]]"/>
    <x v="7"/>
    <s v="osztatlan hittanár-nevelőtanár"/>
    <s v="TKK-OHTAK-NOHU"/>
    <s v="Sárvár"/>
    <s v="Vas"/>
    <s v="Gróf Annamária"/>
    <s v="Magyarország"/>
    <d v="1999-10-27T00:00:00"/>
    <s v="V004978/FI80798"/>
    <x v="3"/>
    <s v="Egyéb"/>
    <s v="2018/19/1"/>
    <s v="Nappali"/>
    <n v="5"/>
    <n v="1"/>
    <s v="2021/22/2"/>
    <n v="10"/>
    <s v="78357459902"/>
    <n v="10"/>
    <x v="3"/>
    <m/>
    <m/>
    <m/>
    <m/>
    <s v="Felvétel"/>
    <d v="2018-09-01T00:00:00"/>
    <m/>
    <s v="BDPK-SEK"/>
    <s v="Eke Norbertné"/>
    <d v="2018-09-01T00:00:00"/>
    <d v="2023-06-30T00:00:00"/>
    <m/>
    <m/>
    <n v="0"/>
    <s v="Nő"/>
    <m/>
    <s v="ancsa19991027@gmail.com"/>
    <s v="Cseledi Erika"/>
    <n v="8"/>
    <s v="Aktív (Vendéghallgató)"/>
    <n v="0"/>
    <n v="8"/>
    <s v="magyar"/>
    <m/>
  </r>
  <r>
    <s v="Gyuk Bendegúz"/>
    <s v="JOIKFV"/>
    <s v="Aktív (Vendéghallgató)"/>
    <s v="osztatlan tanári [10 félév [hittanár-nevelőtanár; testnevelő tanár]]"/>
    <x v="8"/>
    <s v="osztatlan hittanár-nevelőtanár"/>
    <s v="TKK-OHTAK-NOHU"/>
    <s v="Zalaegerszeg"/>
    <s v="Zala"/>
    <s v="Gyuk Bendegúz"/>
    <s v="Magyarország"/>
    <d v="2001-02-25T00:00:00"/>
    <s v="V006908/FI80798"/>
    <x v="3"/>
    <s v="Egyéb"/>
    <s v="2020/21/1"/>
    <s v="Nappali"/>
    <n v="9"/>
    <n v="1"/>
    <s v="2021/22/2"/>
    <n v="10"/>
    <s v="71620841321"/>
    <n v="10"/>
    <x v="3"/>
    <m/>
    <m/>
    <m/>
    <m/>
    <s v="Felvétel"/>
    <d v="2020-09-07T00:00:00"/>
    <m/>
    <s v="BDPK-SEK"/>
    <s v="Eke Norbertné"/>
    <d v="2020-08-27T00:00:00"/>
    <d v="2025-07-15T00:00:00"/>
    <m/>
    <m/>
    <n v="0"/>
    <s v="Férfi"/>
    <m/>
    <s v="gyukbenyo@gmail.com"/>
    <s v="Debreczeni Katalin"/>
    <n v="4"/>
    <s v="Aktív (Vendéghallgató)"/>
    <n v="0"/>
    <n v="4"/>
    <s v="magyar"/>
    <m/>
  </r>
  <r>
    <s v="Kurcsics Ádám"/>
    <s v="D0PXH0"/>
    <s v="Aktív (Vendéghallgató)"/>
    <s v="osztatlan tanári [10 félév [hittanár-nevelőtanár; történelemtanár és állampolgári ismeretek tanára]]"/>
    <x v="9"/>
    <s v="osztatlan hittanár-nevelőtanár"/>
    <s v="TKK-OHTAK-NOHU"/>
    <s v="Győr"/>
    <s v="Győr-Moson-Sopron"/>
    <s v="Kurcsics Ádám"/>
    <s v="Magyarország"/>
    <d v="1998-07-09T00:00:00"/>
    <s v="V006158/FI80798"/>
    <x v="3"/>
    <s v="Egyéb"/>
    <s v="2019/20/1"/>
    <s v="Nappali"/>
    <n v="7"/>
    <n v="1"/>
    <s v="2021/22/2"/>
    <n v="10"/>
    <s v="79471208970"/>
    <n v="10"/>
    <x v="3"/>
    <m/>
    <m/>
    <m/>
    <m/>
    <s v="Felvétel"/>
    <d v="2019-09-07T00:00:00"/>
    <m/>
    <s v="BDPK-SEK"/>
    <s v="Eke Norbertné"/>
    <d v="2019-07-26T00:00:00"/>
    <d v="2024-07-15T00:00:00"/>
    <m/>
    <m/>
    <n v="0"/>
    <s v="Férfi"/>
    <m/>
    <s v="szunyog199818@gmail.com"/>
    <s v="Kurcsics Annamária"/>
    <n v="6"/>
    <s v="Aktív (Vendéghallgató)"/>
    <n v="0"/>
    <n v="6"/>
    <s v="magyar"/>
    <m/>
  </r>
  <r>
    <s v="Kovács Bence"/>
    <s v="U5LYF6"/>
    <s v="Aktív (Vendéghallgató)"/>
    <s v="osztatlan tanári [10 félév [hittanár-nevelőtanár]]"/>
    <x v="10"/>
    <s v="osztatlan hittanár-nevelőtanár"/>
    <s v="TKK-OHTAK-NOHU"/>
    <s v="Szombathely"/>
    <s v="Vas"/>
    <s v="Kovács Bence"/>
    <s v="Magyarország"/>
    <d v="2000-11-24T00:00:00"/>
    <s v="V007795/FI80798"/>
    <x v="3"/>
    <s v="Egyéb"/>
    <s v="2021/22/1"/>
    <s v="Nappali"/>
    <n v="11"/>
    <n v="1"/>
    <s v="2021/22/2"/>
    <n v="10"/>
    <s v="71631447789"/>
    <n v="10"/>
    <x v="3"/>
    <m/>
    <m/>
    <m/>
    <m/>
    <s v="Résztanulmányok megkezdése"/>
    <d v="2021-09-01T00:00:00"/>
    <m/>
    <s v="BDPK-SEK"/>
    <s v="Eke Norbertné"/>
    <d v="2021-08-27T00:00:00"/>
    <d v="2026-07-15T00:00:00"/>
    <m/>
    <m/>
    <n v="0"/>
    <s v="Férfi"/>
    <m/>
    <s v="k.bence2000112413@gmail.com"/>
    <s v="Nagy Márta"/>
    <n v="2"/>
    <s v="Aktív (Vendéghallgató)"/>
    <n v="0"/>
    <n v="2"/>
    <s v="magyar"/>
    <m/>
  </r>
  <r>
    <s v="Horváth György István"/>
    <s v="QWJKFW"/>
    <s v="Aktív (Vendéghallgató)"/>
    <s v="osztatlan tanári [11 félév [hittanár-nevelőtanár; biológiatanár (egészségtan)]]"/>
    <x v="1"/>
    <s v="osztatlan hittanár-nevelőtanár"/>
    <s v="TKK-OHTAK-NOHU"/>
    <s v="Szombathely"/>
    <s v="Vas"/>
    <s v="Horváth György István"/>
    <s v="Magyarország"/>
    <d v="1998-05-02T00:00:00"/>
    <s v="V003854/FI80798"/>
    <x v="3"/>
    <s v="Egyéb"/>
    <s v="2017/18/1"/>
    <s v="Nappali"/>
    <n v="3"/>
    <n v="1"/>
    <s v="2021/22/2"/>
    <n v="10"/>
    <s v="71492496757"/>
    <n v="11"/>
    <x v="3"/>
    <m/>
    <m/>
    <m/>
    <m/>
    <s v="Képzésváltás intézményen belül"/>
    <d v="2020-09-14T00:00:00"/>
    <m/>
    <s v="BDPK-SEK"/>
    <s v="Eke Norbertné"/>
    <d v="2017-09-01T00:00:00"/>
    <d v="2023-01-31T00:00:00"/>
    <m/>
    <m/>
    <n v="0"/>
    <s v="Férfi"/>
    <m/>
    <s v="gyurika19980502@gmail.com"/>
    <s v="Dorr Emilia"/>
    <n v="4"/>
    <s v="Aktív (Vendéghallgató)"/>
    <n v="0"/>
    <n v="10"/>
    <s v="magyar"/>
    <m/>
  </r>
  <r>
    <s v="Karafa Lilla"/>
    <s v="XAM0HV"/>
    <s v="Aktív (Vendéghallgató)"/>
    <s v="osztatlan tanári [11 félév [hittanár-nevelőtanár; történelemtanár és állampolgári ismeretek tanára]]"/>
    <x v="9"/>
    <s v="osztatlan hittanár-nevelőtanár"/>
    <s v="TKK-OHTAK-NOHU"/>
    <s v="Sopron"/>
    <s v="Győr-Moson-Sopron"/>
    <s v="Karafa Lilla"/>
    <s v="Magyarország"/>
    <d v="1998-07-22T00:00:00"/>
    <s v="V003856/FI80798"/>
    <x v="3"/>
    <s v="Egyéb"/>
    <s v="2017/18/1"/>
    <s v="Nappali"/>
    <n v="3"/>
    <n v="1"/>
    <s v="2021/22/2"/>
    <n v="10"/>
    <s v="71483781644"/>
    <n v="11"/>
    <x v="3"/>
    <m/>
    <m/>
    <m/>
    <m/>
    <s v="Képzésváltás intézményen belül"/>
    <d v="2020-09-14T00:00:00"/>
    <m/>
    <s v="BDPK-SEK"/>
    <s v="Eke Norbertné"/>
    <d v="2017-09-01T00:00:00"/>
    <d v="2023-01-31T00:00:00"/>
    <m/>
    <m/>
    <n v="0"/>
    <s v="Nő"/>
    <m/>
    <s v="karafa.lilla@gmail.com"/>
    <s v="Fekete Katalin"/>
    <n v="4"/>
    <s v="Aktív (Vendéghallgató)"/>
    <n v="0"/>
    <n v="10"/>
    <s v="magyar"/>
    <m/>
  </r>
  <r>
    <s v="Vizi Bendegúz Péter"/>
    <s v="MW5GH1"/>
    <s v="Aktív"/>
    <s v="szlavisztika"/>
    <x v="11"/>
    <s v="szlavisztika"/>
    <s v="BDPK-SEK-SALB-SZ-LBHU"/>
    <s v="Budapest"/>
    <s v="Budapest"/>
    <s v="Vizi Bendegúz Péter"/>
    <s v="Magyarország"/>
    <d v="1995-11-23T00:00:00"/>
    <s v="T189050/FI80798"/>
    <x v="0"/>
    <s v="Állami ösztöndíjas"/>
    <s v="2021/22/1"/>
    <s v="Levelező"/>
    <n v="6"/>
    <n v="1"/>
    <s v="2021/22/2"/>
    <n v="6"/>
    <s v="79335452970"/>
    <n v="6"/>
    <x v="0"/>
    <s v="a központi eljárásban magyarországi képzésre"/>
    <n v="334"/>
    <m/>
    <m/>
    <s v="Felvétel"/>
    <d v="2021-09-01T00:00:00"/>
    <s v="310814265446"/>
    <s v="BDPK-SEK"/>
    <s v="Neubauer Nikoletta"/>
    <d v="2021-07-23T00:00:00"/>
    <d v="2024-07-15T00:00:00"/>
    <n v="300000"/>
    <m/>
    <n v="1"/>
    <s v="Férfi"/>
    <n v="300000"/>
    <s v="vbeni12@gmail.com"/>
    <s v="Szilágyi Andrea"/>
    <n v="2"/>
    <s v="Aktív"/>
    <n v="2"/>
    <n v="2"/>
    <s v="magyar"/>
    <m/>
  </r>
  <r>
    <s v="Kőszegi Eszter"/>
    <s v="FO8JE1"/>
    <s v="Passzív"/>
    <s v="szlavisztika"/>
    <x v="11"/>
    <s v="szlavisztika"/>
    <s v="BDPK-SEK-SALB-SZ-LBHU"/>
    <s v="Budapest"/>
    <s v="Budapest"/>
    <s v="Kőszegi Eszter"/>
    <s v="Magyarország"/>
    <d v="1990-04-02T00:00:00"/>
    <s v="T190041/FI80798"/>
    <x v="0"/>
    <s v="Állami ösztöndíjas"/>
    <s v="2021/22/1"/>
    <s v="Levelező"/>
    <n v="6"/>
    <n v="1"/>
    <s v="2012/13/2"/>
    <n v="6"/>
    <s v="73324280358"/>
    <n v="6"/>
    <x v="0"/>
    <s v="a központi eljárásban magyarországi képzésre"/>
    <n v="368"/>
    <m/>
    <m/>
    <s v="Felvétel"/>
    <d v="2021-09-01T00:00:00"/>
    <s v="310814628627"/>
    <s v="BDPK-SEK"/>
    <s v="Neubauer Nikoletta"/>
    <d v="2021-07-23T00:00:00"/>
    <d v="2025-07-15T00:00:00"/>
    <n v="300000"/>
    <m/>
    <m/>
    <s v="Nő"/>
    <n v="300000"/>
    <s v="koszegi.eszter@gmail.com"/>
    <s v="Gál Andrea Mária"/>
    <n v="0"/>
    <s v="Passzív"/>
    <n v="0"/>
    <n v="0"/>
    <s v="magyar"/>
    <m/>
  </r>
  <r>
    <s v="Payrits Silvana"/>
    <s v="EWNLHT"/>
    <s v="Aktív"/>
    <s v="szlavisztika [horvát nemzetiségi]"/>
    <x v="11"/>
    <s v="szlavisztika"/>
    <s v="BDPK-SEK-SALB-SZ-LBHU"/>
    <s v="Sopron"/>
    <s v="Győr-Moson-Sopron"/>
    <s v="Payrits Silvana"/>
    <s v="Magyarország"/>
    <d v="1996-09-13T00:00:00"/>
    <s v="T155136/FI80798"/>
    <x v="0"/>
    <s v="Állami ösztöndíjas"/>
    <s v="2019/20/1"/>
    <s v="Levelező"/>
    <n v="9"/>
    <n v="1"/>
    <s v="2021/22/2"/>
    <n v="6"/>
    <s v="74813123827"/>
    <n v="6"/>
    <x v="0"/>
    <s v="a központi eljárásban magyarországi képzésre"/>
    <n v="400"/>
    <m/>
    <m/>
    <s v="Felvétel"/>
    <d v="2019-09-01T00:00:00"/>
    <s v="310982426770"/>
    <s v="BDPK-SEK"/>
    <s v="Neubauer Nikoletta"/>
    <d v="2019-07-24T00:00:00"/>
    <d v="2023-07-15T00:00:00"/>
    <n v="300000"/>
    <m/>
    <n v="3"/>
    <s v="Nő"/>
    <n v="300000"/>
    <s v="silvana.payrits@gmail.com"/>
    <s v="Bunyevácz Ildikó Mária"/>
    <n v="4"/>
    <s v="Aktív"/>
    <n v="4"/>
    <n v="4"/>
    <s v="magyar"/>
    <m/>
  </r>
  <r>
    <s v="Görög Mariann"/>
    <s v="A3BZKC"/>
    <s v="Aktív"/>
    <s v="tanári [2 félév [angol nyelv és kultúra tanára]]"/>
    <x v="0"/>
    <s v="tanárképzés"/>
    <s v="TKK-RTAK-LMHU"/>
    <s v="Budapest"/>
    <s v="Budapest"/>
    <s v="Görög Mariann"/>
    <s v="Magyarország"/>
    <d v="1972-12-19T00:00:00"/>
    <s v="T182532/FI80798"/>
    <x v="4"/>
    <s v="Állami ösztöndíjas"/>
    <s v="2021/22/1"/>
    <s v="Levelező"/>
    <n v="6"/>
    <n v="1"/>
    <s v="2021/22/2"/>
    <n v="2"/>
    <s v="72527296337"/>
    <n v="2"/>
    <x v="3"/>
    <s v="a központi eljárásban magyarországi képzésre"/>
    <n v="88"/>
    <m/>
    <m/>
    <s v="Felvétel"/>
    <d v="2021-09-01T00:00:00"/>
    <s v="310815013001"/>
    <s v="BDPK-SEK"/>
    <s v="Neubauer Nikoletta"/>
    <d v="2021-07-23T00:00:00"/>
    <d v="2022-07-15T00:00:00"/>
    <n v="400000"/>
    <m/>
    <n v="2"/>
    <s v="Nő"/>
    <n v="400000"/>
    <s v="mariannegorog@gmail.com"/>
    <s v="Járfás Éva"/>
    <n v="2"/>
    <s v="Aktív"/>
    <n v="2"/>
    <n v="2"/>
    <s v="magyar"/>
    <m/>
  </r>
  <r>
    <s v="Faragó Zsuzsanna"/>
    <s v="V3UYP4"/>
    <s v="Aktív"/>
    <s v="tanári [2 félév [angol nyelv és kultúra tanára]]"/>
    <x v="0"/>
    <s v="tanárképzés"/>
    <s v="TKK-RTAK-LMHU"/>
    <s v="Szombathely"/>
    <s v="Vas"/>
    <s v="Faragó Zsuzsanna"/>
    <s v="Magyarország"/>
    <d v="1972-04-05T00:00:00"/>
    <s v="T184693/FI80798"/>
    <x v="4"/>
    <s v="Állami ösztöndíjas"/>
    <s v="2021/22/1"/>
    <s v="Levelező"/>
    <n v="6"/>
    <n v="1"/>
    <s v="2021/22/2"/>
    <n v="2"/>
    <s v="79717283914"/>
    <n v="2"/>
    <x v="3"/>
    <s v="a központi eljárásban magyarországi képzésre"/>
    <n v="85"/>
    <m/>
    <m/>
    <s v="Felvétel"/>
    <d v="2021-09-01T00:00:00"/>
    <s v="310814470558"/>
    <s v="BDPK-SEK"/>
    <s v="Neubauer Nikoletta"/>
    <d v="2021-07-23T00:00:00"/>
    <d v="2022-07-15T00:00:00"/>
    <n v="400000"/>
    <m/>
    <n v="1"/>
    <s v="Nő"/>
    <n v="400000"/>
    <s v="ssnfarago@gmail.com"/>
    <s v="Tótfalusi Irén Dr."/>
    <n v="2"/>
    <s v="Aktív"/>
    <n v="2"/>
    <n v="2"/>
    <s v="magyar"/>
    <m/>
  </r>
  <r>
    <s v="Fejes Fruzsina"/>
    <s v="H739XC"/>
    <s v="Passzív"/>
    <s v="tanári [2 félév [biológiatanár (egészségtan) (természettudományi gyakorlatok)]]"/>
    <x v="1"/>
    <s v="tanárképzés"/>
    <s v="TKK-RTAK-LMHU"/>
    <s v="Celldömölk"/>
    <s v="Vas"/>
    <s v="Fejes Fruzsina"/>
    <s v="Magyarország"/>
    <d v="1999-01-19T00:00:00"/>
    <s v="T161177/FI80798"/>
    <x v="4"/>
    <s v="Állami ösztöndíjas"/>
    <s v="2021/22/1"/>
    <s v="Levelező"/>
    <n v="5"/>
    <n v="1"/>
    <s v="2021/22/2"/>
    <n v="2"/>
    <s v="79826569987"/>
    <n v="2"/>
    <x v="3"/>
    <s v="intézményi eljárásban tanárképzésre"/>
    <m/>
    <m/>
    <m/>
    <s v="Felvétel"/>
    <d v="2021-09-01T00:00:00"/>
    <m/>
    <s v="BDPK-SEK"/>
    <s v="Neubauer Nikoletta"/>
    <d v="2021-07-23T00:00:00"/>
    <d v="2023-07-15T00:00:00"/>
    <n v="400000"/>
    <m/>
    <m/>
    <s v="Nő"/>
    <n v="400000"/>
    <s v="fruzsinaf34@gmail.com"/>
    <s v="Ambrus Judit"/>
    <n v="0"/>
    <s v="Passzív"/>
    <n v="0"/>
    <n v="0"/>
    <s v="magyar"/>
    <m/>
  </r>
  <r>
    <s v="Csontos Péter Dr."/>
    <s v="HJSI9R"/>
    <s v="Passzív"/>
    <s v="tanári [2 félév [biológiatanár (egészségtan)]]"/>
    <x v="1"/>
    <s v="tanárképzés"/>
    <s v="TKK-RTAK-LMHU"/>
    <s v="Budapest"/>
    <s v="Budapest"/>
    <s v="Csontos Péter Dr."/>
    <s v="Magyarország"/>
    <d v="1959-05-19T00:00:00"/>
    <s v="T186534/FI80798"/>
    <x v="4"/>
    <s v="Állami ösztöndíjas"/>
    <s v="2021/22/1"/>
    <s v="Levelező"/>
    <n v="7"/>
    <n v="1"/>
    <s v="2021/22/1"/>
    <n v="2"/>
    <s v="71582535255"/>
    <n v="2"/>
    <x v="3"/>
    <s v="a központi eljárásban magyarországi képzésre"/>
    <n v="90"/>
    <m/>
    <m/>
    <s v="Felvétel"/>
    <d v="2021-09-01T00:00:00"/>
    <s v="310814141373"/>
    <s v="BDPK-SEK"/>
    <s v="Neubauer Nikoletta"/>
    <d v="2021-07-23T00:00:00"/>
    <d v="2023-07-15T00:00:00"/>
    <n v="400000"/>
    <m/>
    <n v="1"/>
    <s v="Férfi"/>
    <n v="400000"/>
    <s v="liliumaula@gmail.com"/>
    <s v="Illés Veronika"/>
    <n v="1"/>
    <s v="Passzív"/>
    <m/>
    <n v="1"/>
    <s v="magyar"/>
    <m/>
  </r>
  <r>
    <s v="Dreiszker Krisztina"/>
    <s v="EVT6PG"/>
    <s v="Aktív"/>
    <s v="tanári [2 félév [biológiatanár (egészségtan)]]"/>
    <x v="1"/>
    <s v="tanárképzés"/>
    <s v="TKK-RTAK-LMHU"/>
    <s v="Sopron"/>
    <s v="Győr-Moson-Sopron"/>
    <s v="Dreiszker Krisztina"/>
    <s v="Magyarország"/>
    <d v="1993-08-29T00:00:00"/>
    <s v="T180245/FI80798"/>
    <x v="4"/>
    <s v="Állami ösztöndíjas"/>
    <s v="2021/22/1"/>
    <s v="Levelező"/>
    <n v="1"/>
    <n v="1"/>
    <s v="2021/22/2"/>
    <n v="2"/>
    <s v="71862023786"/>
    <n v="2"/>
    <x v="3"/>
    <s v="a központi eljárásban magyarországi képzésre"/>
    <n v="90"/>
    <m/>
    <m/>
    <s v="Felvétel"/>
    <d v="2021-09-01T00:00:00"/>
    <s v="310814385814"/>
    <s v="BDPK-SEK"/>
    <s v="Neubauer Nikoletta"/>
    <d v="2021-07-23T00:00:00"/>
    <d v="2022-07-15T00:00:00"/>
    <n v="400000"/>
    <m/>
    <n v="2"/>
    <s v="Nő"/>
    <n v="400000"/>
    <s v="d.kriszti93@gmail.com"/>
    <s v="Nagy Krisztina Klára"/>
    <n v="2"/>
    <s v="Aktív"/>
    <n v="2"/>
    <n v="2"/>
    <s v="magyar"/>
    <m/>
  </r>
  <r>
    <s v="Várhegyi Barbara"/>
    <s v="E3DMU5"/>
    <s v="Aktív"/>
    <s v="tanári [2 félév [biológiatanár (egészségtan)]]"/>
    <x v="1"/>
    <s v="tanárképzés"/>
    <s v="TKK-RTAK-LMHU"/>
    <s v="Budapest"/>
    <s v="Budapest"/>
    <s v="Szűcs Barbara"/>
    <s v="Magyarország"/>
    <d v="1978-11-28T00:00:00"/>
    <s v="T190945/FI80798"/>
    <x v="4"/>
    <s v="Állami ösztöndíjas"/>
    <s v="2021/22/1"/>
    <s v="Levelező"/>
    <n v="6"/>
    <n v="1"/>
    <s v="2021/22/2"/>
    <n v="2"/>
    <s v="72262308997"/>
    <n v="2"/>
    <x v="3"/>
    <s v="a központi eljárásban magyarországi képzésre"/>
    <n v="85"/>
    <m/>
    <m/>
    <s v="Felvétel"/>
    <d v="2021-09-01T00:00:00"/>
    <s v="310815049898"/>
    <s v="BDPK-SEK"/>
    <s v="Neubauer Nikoletta"/>
    <d v="2021-07-23T00:00:00"/>
    <d v="2022-07-15T00:00:00"/>
    <n v="400000"/>
    <m/>
    <n v="2"/>
    <s v="Nő"/>
    <n v="400000"/>
    <s v="varhegyi.barbi@gmail.com"/>
    <s v="Holcmann Ilona"/>
    <n v="2"/>
    <s v="Aktív"/>
    <n v="2"/>
    <n v="2"/>
    <s v="magyar"/>
    <m/>
  </r>
  <r>
    <s v="Szalai Viktória"/>
    <s v="UBKOTJ"/>
    <s v="Aktív"/>
    <s v="tanári [2 félév [biológiatanár (egészségtan)]]"/>
    <x v="1"/>
    <s v="tanárképzés"/>
    <s v="TKK-RTAK-LMHU"/>
    <s v="Pápa"/>
    <s v="Veszprém"/>
    <s v="Tóth Viktória"/>
    <s v="Magyarország"/>
    <d v="1979-03-17T00:00:00"/>
    <s v="T182479/FI80798"/>
    <x v="4"/>
    <s v="Állami ösztöndíjas"/>
    <s v="2021/22/1"/>
    <s v="Levelező"/>
    <n v="6"/>
    <n v="1"/>
    <s v="2021/22/2"/>
    <n v="2"/>
    <s v="78482185166"/>
    <n v="2"/>
    <x v="3"/>
    <s v="a központi eljárásban magyarországi képzésre"/>
    <n v="85"/>
    <m/>
    <m/>
    <s v="Felvétel"/>
    <d v="2021-09-01T00:00:00"/>
    <s v="310814371202"/>
    <s v="BDPK-SEK"/>
    <s v="Neubauer Nikoletta"/>
    <d v="2021-07-23T00:00:00"/>
    <d v="2022-07-15T00:00:00"/>
    <n v="400000"/>
    <m/>
    <n v="1"/>
    <s v="Nő"/>
    <n v="400000"/>
    <s v="tothszalai@gmail.com"/>
    <s v="Hege Terézia Mária"/>
    <n v="2"/>
    <s v="Aktív"/>
    <n v="2"/>
    <n v="2"/>
    <s v="magyar"/>
    <m/>
  </r>
  <r>
    <s v="Kurali Anikó"/>
    <s v="QR9BN0"/>
    <s v="Aktív"/>
    <s v="tanári [2 félév [biológiatanár (egészségtan)]]"/>
    <x v="1"/>
    <s v="tanárképzés"/>
    <s v="TKK-RTAK-LMHU"/>
    <s v="Budapest"/>
    <s v="Budapest"/>
    <s v="Kurali Anikó"/>
    <s v="Magyarország"/>
    <d v="1987-05-14T00:00:00"/>
    <s v="T179260/FI80798"/>
    <x v="4"/>
    <s v="Önköltséges"/>
    <s v="2020/21/1"/>
    <s v="Levelező"/>
    <m/>
    <m/>
    <m/>
    <n v="2"/>
    <s v="73732073231"/>
    <n v="2"/>
    <x v="3"/>
    <m/>
    <m/>
    <m/>
    <m/>
    <s v="Átvétel kérelemre más magyarországi intézményből"/>
    <d v="2021-09-01T00:00:00"/>
    <m/>
    <s v="BDPK-SEK"/>
    <s v="Neubauer Nikoletta"/>
    <d v="2020-06-17T00:00:00"/>
    <d v="2023-01-31T00:00:00"/>
    <m/>
    <m/>
    <n v="0"/>
    <s v="Nő"/>
    <m/>
    <s v="kuralianiko@gmail.com"/>
    <s v="Koller Veronika"/>
    <n v="2"/>
    <s v="Aktív"/>
    <n v="0"/>
    <n v="3"/>
    <s v="magyar"/>
    <n v="400000"/>
  </r>
  <r>
    <s v="Oross Hajnalka"/>
    <s v="BCVHYX"/>
    <s v="Aktív"/>
    <s v="tanári [2 félév [biológiatanár (egészségtan)]]"/>
    <x v="1"/>
    <s v="tanárképzés"/>
    <s v="TKK-RTAK-LMHU"/>
    <s v="Pápa"/>
    <s v="Veszprém"/>
    <s v="Oross Hajnalka"/>
    <s v="Magyarország"/>
    <d v="1971-03-03T00:00:00"/>
    <s v="T186897/FI80798"/>
    <x v="4"/>
    <s v="Állami ösztöndíjas"/>
    <s v="2021/22/1"/>
    <s v="Levelező"/>
    <n v="5"/>
    <n v="1"/>
    <s v="2021/22/2"/>
    <n v="2"/>
    <s v="71423827625"/>
    <n v="2"/>
    <x v="3"/>
    <s v="a központi eljárásban magyarországi képzésre"/>
    <n v="90"/>
    <m/>
    <m/>
    <s v="Felvétel"/>
    <d v="2021-09-01T00:00:00"/>
    <s v="310814321322"/>
    <s v="BDPK-SEK"/>
    <s v="Neubauer Nikoletta"/>
    <d v="2021-07-23T00:00:00"/>
    <d v="2022-07-15T00:00:00"/>
    <n v="400000"/>
    <m/>
    <n v="1"/>
    <s v="Nő"/>
    <n v="400000"/>
    <s v="hajnalkaoross@gmail.com"/>
    <s v="Gerencsér Margit"/>
    <n v="2"/>
    <s v="Aktív"/>
    <n v="2"/>
    <n v="2"/>
    <s v="magyar"/>
    <m/>
  </r>
  <r>
    <s v="Gyarmathy Gergő"/>
    <s v="CDKA3U"/>
    <s v="Passzív"/>
    <s v="tanári [2 félév [biológiatanár (egészségtan)]]"/>
    <x v="1"/>
    <s v="tanárképzés"/>
    <s v="TKK-RTAK-LMHU"/>
    <s v="Ajka"/>
    <s v="Veszprém"/>
    <s v="Gyarmathy Gergő"/>
    <s v="Magyarország"/>
    <d v="1995-02-05T00:00:00"/>
    <s v="T171635/FI80798"/>
    <x v="4"/>
    <s v="Önköltséges"/>
    <s v="2020/21/1"/>
    <s v="Levelező"/>
    <n v="2"/>
    <n v="1"/>
    <s v="2021/22/2"/>
    <n v="2"/>
    <s v="79726373304"/>
    <n v="2"/>
    <x v="3"/>
    <s v="a központi eljárásban magyarországi képzésre"/>
    <n v="85"/>
    <m/>
    <m/>
    <s v="Felvétel"/>
    <d v="2020-09-01T00:00:00"/>
    <s v="310904013284"/>
    <s v="BDPK-SEK"/>
    <s v="Neubauer Nikoletta"/>
    <d v="2020-08-27T00:00:00"/>
    <d v="2022-07-15T00:00:00"/>
    <m/>
    <m/>
    <n v="0"/>
    <s v="Férfi"/>
    <m/>
    <s v="gyarigeri12@gmail.com"/>
    <s v="Liebhauser Éva"/>
    <n v="2"/>
    <s v="Passzív"/>
    <m/>
    <n v="2"/>
    <s v="magyar"/>
    <m/>
  </r>
  <r>
    <s v="Stall Nikolett"/>
    <s v="BREC8C"/>
    <s v="Aktív"/>
    <s v="tanári [2 félév [biológiatanár (egészségtan)]]"/>
    <x v="1"/>
    <s v="tanárképzés"/>
    <s v="TKK-RTAK-LMHU"/>
    <s v="Ajka"/>
    <s v="Veszprém"/>
    <s v="Stall Nikolett"/>
    <s v="Magyarország"/>
    <d v="1980-07-26T00:00:00"/>
    <s v="T187012/FI80798"/>
    <x v="4"/>
    <s v="Állami ösztöndíjas"/>
    <s v="2021/22/1"/>
    <s v="Levelező"/>
    <n v="4"/>
    <n v="1"/>
    <s v="2021/22/2"/>
    <n v="2"/>
    <s v="71428084380"/>
    <n v="2"/>
    <x v="3"/>
    <s v="a központi eljárásban magyarországi képzésre"/>
    <n v="85"/>
    <m/>
    <m/>
    <s v="Felvétel"/>
    <d v="2021-09-01T00:00:00"/>
    <s v="310814825892"/>
    <s v="BDPK-SEK"/>
    <s v="Neubauer Nikoletta"/>
    <d v="2021-07-23T00:00:00"/>
    <d v="2022-07-15T00:00:00"/>
    <n v="400000"/>
    <m/>
    <n v="1"/>
    <s v="Nő"/>
    <n v="400000"/>
    <s v="nikolettstall.psg@gmail.com"/>
    <s v="Stenger Edit Mária"/>
    <n v="2"/>
    <s v="Aktív"/>
    <n v="2"/>
    <n v="2"/>
    <s v="magyar"/>
    <m/>
  </r>
  <r>
    <s v="Domoszlai László"/>
    <s v="IM5P89"/>
    <s v="Aktív"/>
    <s v="tanári [2 félév [fizikatanár (természettudományos gyakorlatok)]]"/>
    <x v="3"/>
    <s v="tanárképzés"/>
    <s v="TKK-RTAK-LMHU"/>
    <s v="Gyöngyös"/>
    <s v="Heves"/>
    <s v="Domoszlai László"/>
    <s v="Magyarország"/>
    <d v="1965-02-10T00:00:00"/>
    <s v="T188872/FI80798"/>
    <x v="4"/>
    <s v="Állami ösztöndíjas"/>
    <s v="2021/22/1"/>
    <s v="Levelező"/>
    <n v="6"/>
    <n v="1"/>
    <s v="2021/22/2"/>
    <n v="2"/>
    <s v="73412435916"/>
    <n v="2"/>
    <x v="3"/>
    <s v="a központi eljárásban magyarországi képzésre"/>
    <n v="80"/>
    <m/>
    <m/>
    <s v="Felvétel"/>
    <d v="2021-09-01T00:00:00"/>
    <s v="310814628049"/>
    <s v="BDPK-SEK"/>
    <s v="Neubauer Nikoletta"/>
    <d v="2021-07-23T00:00:00"/>
    <d v="2022-07-15T00:00:00"/>
    <n v="400000"/>
    <m/>
    <n v="1"/>
    <s v="Férfi"/>
    <n v="400000"/>
    <s v="domosz.la@gmail.com"/>
    <s v="Hadobás Margit"/>
    <n v="2"/>
    <s v="Aktív"/>
    <n v="2"/>
    <n v="2"/>
    <s v="magyar"/>
    <m/>
  </r>
  <r>
    <s v="Némethné Bakos Viktória"/>
    <s v="F1GS8Y"/>
    <s v="Aktív"/>
    <s v="tanári [2 félév [földrajztanár]]"/>
    <x v="12"/>
    <s v="tanárképzés"/>
    <s v="TKK-RTAK-LMHU"/>
    <s v="Keszthely"/>
    <s v="Zala"/>
    <s v="Bakos Viktória"/>
    <s v="Magyarország"/>
    <d v="1978-03-29T00:00:00"/>
    <s v="T189517/FI80798"/>
    <x v="4"/>
    <s v="Állami ösztöndíjas"/>
    <s v="2021/22/1"/>
    <s v="Levelező"/>
    <n v="11"/>
    <n v="1"/>
    <s v="2021/22/2"/>
    <n v="2"/>
    <s v="71700864949"/>
    <n v="2"/>
    <x v="3"/>
    <s v="a központi eljárásban magyarországi képzésre"/>
    <n v="80"/>
    <m/>
    <m/>
    <s v="Felvétel"/>
    <d v="2021-09-01T00:00:00"/>
    <s v="310815134021"/>
    <s v="BDPK-SEK"/>
    <s v="Neubauer Nikoletta"/>
    <d v="2021-07-23T00:00:00"/>
    <d v="2022-07-15T00:00:00"/>
    <n v="400000"/>
    <m/>
    <n v="2"/>
    <s v="Nő"/>
    <n v="400000"/>
    <s v="nemethnebakosv@gmail.com"/>
    <s v="Lipták Ilona"/>
    <n v="2"/>
    <s v="Aktív"/>
    <n v="2"/>
    <n v="2"/>
    <s v="magyar"/>
    <m/>
  </r>
  <r>
    <s v="Csordás Róbert"/>
    <s v="MWITBT"/>
    <s v="Aktív"/>
    <s v="tanári [2 félév [földrajztanár]]"/>
    <x v="12"/>
    <s v="tanárképzés"/>
    <s v="TKK-RTAK-LMHU"/>
    <s v="Zalaegerszeg"/>
    <s v="Zala"/>
    <s v="Csordás Róbert"/>
    <s v="Magyarország"/>
    <d v="1971-01-13T00:00:00"/>
    <s v="T187737/FI80798"/>
    <x v="4"/>
    <s v="Állami ösztöndíjas"/>
    <s v="2021/22/1"/>
    <s v="Levelező"/>
    <n v="9"/>
    <n v="1"/>
    <s v="2021/22/2"/>
    <n v="2"/>
    <s v="79419790176"/>
    <n v="2"/>
    <x v="3"/>
    <s v="a központi eljárásban magyarországi képzésre"/>
    <n v="90"/>
    <m/>
    <m/>
    <s v="Felvétel"/>
    <d v="2021-09-01T00:00:00"/>
    <s v="310814719657"/>
    <s v="BDPK-SEK"/>
    <s v="Neubauer Nikoletta"/>
    <d v="2021-07-23T00:00:00"/>
    <d v="2022-07-15T00:00:00"/>
    <n v="400000"/>
    <m/>
    <n v="1"/>
    <s v="Férfi"/>
    <n v="400000"/>
    <s v="ordaska@gmail.com"/>
    <s v="Korpics Magdolna"/>
    <n v="2"/>
    <s v="Aktív"/>
    <n v="2"/>
    <n v="2"/>
    <s v="magyar"/>
    <m/>
  </r>
  <r>
    <s v="Szőke Viktória"/>
    <s v="XCBZGU"/>
    <s v="Aktív"/>
    <s v="tanári [2 félév [földrajztanár]]"/>
    <x v="12"/>
    <s v="tanárképzés"/>
    <s v="TKK-RTAK-LMHU"/>
    <s v="Zalaegerszeg"/>
    <s v="Zala"/>
    <s v="Szőke Viktória"/>
    <s v="Magyarország"/>
    <d v="1983-08-11T00:00:00"/>
    <s v="T180654/FI80798"/>
    <x v="4"/>
    <s v="Állami ösztöndíjas"/>
    <s v="2021/22/1"/>
    <s v="Levelező"/>
    <n v="4"/>
    <n v="1"/>
    <s v="2021/22/2"/>
    <n v="2"/>
    <s v="71476008468"/>
    <n v="2"/>
    <x v="3"/>
    <s v="a központi eljárásban magyarországi képzésre"/>
    <n v="85"/>
    <m/>
    <m/>
    <s v="Felvétel"/>
    <d v="2021-09-01T00:00:00"/>
    <s v="310814112887"/>
    <s v="BDPK-SEK"/>
    <s v="Neubauer Nikoletta"/>
    <d v="2021-07-23T00:00:00"/>
    <d v="2022-07-15T00:00:00"/>
    <n v="400000"/>
    <m/>
    <n v="2"/>
    <s v="Nő"/>
    <n v="400000"/>
    <s v="viktoriaszoke@yahoo.de"/>
    <s v="Czoczek Ildikó"/>
    <n v="2"/>
    <s v="Aktív"/>
    <n v="2"/>
    <n v="2"/>
    <s v="magyar"/>
    <m/>
  </r>
  <r>
    <s v="Sárközi Fanni"/>
    <s v="EK94PY"/>
    <s v="Aktív"/>
    <s v="tanári [2 félév [horvát és nemzetiségi horvát nyelv és kultúra tanára]]"/>
    <x v="11"/>
    <s v="tanárképzés"/>
    <s v="TKK-RTAK-LMHU"/>
    <s v="Kapuvár"/>
    <s v="Győr-Moson-Sopron"/>
    <s v="Sárközi Fanni"/>
    <s v="Magyarország"/>
    <d v="1991-12-01T00:00:00"/>
    <s v="T181847/FI80798"/>
    <x v="4"/>
    <s v="Állami ösztöndíjas"/>
    <s v="2021/22/1"/>
    <s v="Levelező"/>
    <n v="2"/>
    <n v="1"/>
    <s v="2021/22/2"/>
    <n v="2"/>
    <s v="79853882795"/>
    <n v="2"/>
    <x v="3"/>
    <s v="a központi eljárásban magyarországi képzésre"/>
    <n v="85"/>
    <m/>
    <m/>
    <s v="Felvétel"/>
    <d v="2021-09-01T00:00:00"/>
    <s v="310814930957"/>
    <s v="BDPK-SEK"/>
    <s v="Neubauer Nikoletta"/>
    <d v="2021-07-23T00:00:00"/>
    <d v="2022-07-15T00:00:00"/>
    <n v="400000"/>
    <m/>
    <n v="1"/>
    <s v="Nő"/>
    <n v="400000"/>
    <s v="fannisarkozi91@gmail.com"/>
    <s v="Fábiánkovits Ágnes"/>
    <n v="2"/>
    <s v="Aktív"/>
    <n v="2"/>
    <n v="2"/>
    <s v="magyar"/>
    <m/>
  </r>
  <r>
    <s v="Gerner Zsófia"/>
    <s v="OUXFN5"/>
    <s v="Aktív"/>
    <s v="tanári [2 félév [kémiatanár]]"/>
    <x v="13"/>
    <s v="tanárképzés"/>
    <s v="TKK-RTAK-LMHU"/>
    <s v="Komló"/>
    <s v="Baranya"/>
    <s v="Gerner Zsófia"/>
    <s v="Magyarország"/>
    <d v="1992-09-08T00:00:00"/>
    <s v="T189168/FI80798"/>
    <x v="4"/>
    <s v="Önköltséges"/>
    <s v="2021/22/1"/>
    <s v="Levelező"/>
    <n v="1"/>
    <n v="1"/>
    <s v="2019/20/1"/>
    <n v="2"/>
    <s v="74455079338"/>
    <n v="2"/>
    <x v="3"/>
    <s v="a központi eljárásban magyarországi képzésre"/>
    <n v="85"/>
    <m/>
    <m/>
    <s v="Felvétel"/>
    <d v="2021-09-01T00:00:00"/>
    <s v="310814901057"/>
    <s v="BDPK-SEK"/>
    <s v="Neubauer Nikoletta"/>
    <d v="2021-07-23T00:00:00"/>
    <d v="2022-07-15T00:00:00"/>
    <m/>
    <m/>
    <n v="0"/>
    <s v="Nő"/>
    <m/>
    <s v="gernerzsofi@gmail.com"/>
    <s v="Märcz Nóra"/>
    <n v="2"/>
    <s v="Aktív"/>
    <n v="0"/>
    <n v="2"/>
    <s v="magyar"/>
    <n v="400000"/>
  </r>
  <r>
    <s v="Kuremszki Mariann Dr."/>
    <s v="QUEUKN"/>
    <s v="Aktív"/>
    <s v="tanári [2 félév [magyartanár]]"/>
    <x v="14"/>
    <s v="tanárképzés"/>
    <s v="TKK-RTAK-LMHU"/>
    <s v="Miskolc"/>
    <s v="Borsod-Abaúj-Zemplén"/>
    <s v="Kuremszki Mariann Dr."/>
    <s v="Magyarország"/>
    <d v="1976-10-11T00:00:00"/>
    <s v="T189127/FI80798"/>
    <x v="4"/>
    <s v="Önköltséges"/>
    <s v="2021/22/1"/>
    <s v="Levelező"/>
    <n v="6"/>
    <m/>
    <m/>
    <n v="2"/>
    <s v="71979142471"/>
    <n v="2"/>
    <x v="3"/>
    <s v="a központi eljárásban magyarországi képzésre"/>
    <n v="85"/>
    <m/>
    <m/>
    <s v="Felvétel"/>
    <d v="2021-09-01T00:00:00"/>
    <s v="310814744556"/>
    <s v="BDPK-SEK"/>
    <s v="Neubauer Nikoletta"/>
    <d v="2021-07-23T00:00:00"/>
    <d v="2022-07-15T00:00:00"/>
    <m/>
    <m/>
    <n v="0"/>
    <s v="Nő"/>
    <m/>
    <s v="mariannkuremszki@gmail.com"/>
    <s v="Nyulászi Mária"/>
    <n v="2"/>
    <s v="Aktív"/>
    <n v="0"/>
    <n v="2"/>
    <s v="magyar"/>
    <n v="400000"/>
  </r>
  <r>
    <s v="Horváth Tünde"/>
    <s v="LJEE6P"/>
    <s v="Aktív"/>
    <s v="tanári [2 félév [magyartanár]]"/>
    <x v="14"/>
    <s v="tanárképzés"/>
    <s v="TKK-RTAK-LMHU"/>
    <s v="Csorna"/>
    <s v="Győr-Moson-Sopron"/>
    <s v="Horváth Tünde"/>
    <s v="Magyarország"/>
    <d v="1984-10-25T00:00:00"/>
    <s v="T169264/FI80798"/>
    <x v="4"/>
    <s v="Állami ösztöndíjas"/>
    <s v="2020/21/1"/>
    <s v="Levelező"/>
    <n v="3"/>
    <n v="1"/>
    <s v="2021/22/2"/>
    <n v="2"/>
    <s v="71971188572"/>
    <n v="2"/>
    <x v="3"/>
    <s v="a központi eljárásban magyarországi képzésre"/>
    <n v="85"/>
    <m/>
    <m/>
    <s v="Felvétel"/>
    <d v="2020-09-01T00:00:00"/>
    <s v="310804402751"/>
    <s v="BDPK-SEK"/>
    <s v="Neubauer Nikoletta"/>
    <d v="2020-07-23T00:00:00"/>
    <d v="2022-07-15T00:00:00"/>
    <n v="400000"/>
    <m/>
    <n v="2"/>
    <s v="Nő"/>
    <n v="400000"/>
    <s v="horvathtunde1984@gmail.com"/>
    <s v="Varga Mária Anna"/>
    <n v="2"/>
    <s v="Aktív"/>
    <n v="2"/>
    <n v="2"/>
    <s v="magyar"/>
    <m/>
  </r>
  <r>
    <s v="Pintér Zsuzsa Gizella"/>
    <s v="II19I8"/>
    <s v="Aktív"/>
    <s v="tanári [2 félév [magyartanár]]"/>
    <x v="14"/>
    <s v="tanárképzés"/>
    <s v="TKK-RTAK-LMHU"/>
    <s v="Ajka"/>
    <s v="Veszprém"/>
    <s v="Pintér Zsuzsa Gizella"/>
    <s v="Magyarország"/>
    <d v="1984-08-15T00:00:00"/>
    <s v="T183012/FI80798"/>
    <x v="4"/>
    <s v="Állami ösztöndíjas"/>
    <s v="2021/22/1"/>
    <s v="Levelező"/>
    <n v="9"/>
    <n v="1"/>
    <s v="2021/22/2"/>
    <n v="2"/>
    <s v="72284372288"/>
    <n v="2"/>
    <x v="3"/>
    <s v="a központi eljárásban magyarországi képzésre"/>
    <n v="85"/>
    <m/>
    <m/>
    <s v="Felvétel"/>
    <d v="2021-09-01T00:00:00"/>
    <s v="310814484732"/>
    <s v="BDPK-SEK"/>
    <s v="Neubauer Nikoletta"/>
    <d v="2021-07-23T00:00:00"/>
    <d v="2022-07-15T00:00:00"/>
    <n v="400000"/>
    <m/>
    <n v="1"/>
    <s v="Nő"/>
    <n v="400000"/>
    <s v="pizsug@gmail.com"/>
    <s v="Gyimesi Erzsébet"/>
    <n v="2"/>
    <s v="Aktív"/>
    <n v="2"/>
    <n v="2"/>
    <s v="magyar"/>
    <m/>
  </r>
  <r>
    <s v="Ferencziné Fülöp Cecília"/>
    <s v="EE3XIB"/>
    <s v="Aktív"/>
    <s v="tanári [2 félév [magyartanár]]"/>
    <x v="14"/>
    <s v="tanárképzés"/>
    <s v="TKK-RTAK-LMHU"/>
    <s v="Szombathely"/>
    <s v="Vas"/>
    <s v="Fülöp Cecília"/>
    <s v="Magyarország"/>
    <d v="1985-05-22T00:00:00"/>
    <s v="T185557/FI80798"/>
    <x v="4"/>
    <s v="Állami ösztöndíjas"/>
    <s v="2021/22/1"/>
    <s v="Levelező"/>
    <n v="3"/>
    <n v="1"/>
    <s v="2021/22/2"/>
    <n v="2"/>
    <s v="71750587266"/>
    <n v="2"/>
    <x v="3"/>
    <s v="a központi eljárásban magyarországi képzésre"/>
    <n v="85"/>
    <m/>
    <m/>
    <s v="Felvétel"/>
    <d v="2021-09-01T00:00:00"/>
    <s v="310814575299"/>
    <s v="BDPK-SEK"/>
    <s v="Neubauer Nikoletta"/>
    <d v="2021-07-23T00:00:00"/>
    <d v="2022-07-15T00:00:00"/>
    <n v="400000"/>
    <m/>
    <n v="2"/>
    <s v="Nő"/>
    <n v="400000"/>
    <s v="fulop.cecilia@gmail.com"/>
    <s v="Orbán Judit Mária"/>
    <n v="2"/>
    <s v="Aktív"/>
    <n v="2"/>
    <n v="2"/>
    <s v="magyar"/>
    <m/>
  </r>
  <r>
    <s v="Bóka Nóra"/>
    <s v="HCRLBT"/>
    <s v="Aktív"/>
    <s v="tanári [2 félév [magyartanár]]"/>
    <x v="14"/>
    <s v="tanárképzés"/>
    <s v="TKK-RTAK-LMHU"/>
    <s v="Marcali"/>
    <s v="Somogy"/>
    <s v="Bóka Nóra"/>
    <s v="Magyarország"/>
    <d v="1986-01-09T00:00:00"/>
    <s v="T188669/FI80798"/>
    <x v="4"/>
    <s v="Állami ösztöndíjas"/>
    <s v="2021/22/1"/>
    <s v="Levelező"/>
    <n v="3"/>
    <n v="1"/>
    <s v="2021/22/2"/>
    <n v="2"/>
    <s v="71739357134"/>
    <n v="2"/>
    <x v="3"/>
    <s v="a központi eljárásban magyarországi képzésre"/>
    <n v="85"/>
    <m/>
    <m/>
    <s v="Felvétel"/>
    <d v="2021-09-01T00:00:00"/>
    <s v="310814886357"/>
    <s v="BDPK-SEK"/>
    <s v="Neubauer Nikoletta"/>
    <d v="2021-07-23T00:00:00"/>
    <d v="2022-07-15T00:00:00"/>
    <n v="400000"/>
    <m/>
    <n v="1"/>
    <s v="Nő"/>
    <n v="400000"/>
    <s v="bokanoraboka@gmail.com"/>
    <s v="Antal Éva"/>
    <n v="2"/>
    <s v="Aktív"/>
    <n v="2"/>
    <n v="2"/>
    <s v="magyar"/>
    <m/>
  </r>
  <r>
    <s v="Szecsődi Tímea"/>
    <s v="Y8X02B"/>
    <s v="Aktív"/>
    <s v="tanári [2 félév [magyartanár]]"/>
    <x v="14"/>
    <s v="tanárképzés"/>
    <s v="TKK-RTAK-LMHU"/>
    <s v="Szombathely"/>
    <s v="Vas"/>
    <s v="Szecsődi Tímea"/>
    <s v="Magyarország"/>
    <d v="1996-02-10T00:00:00"/>
    <s v="T181033/FI80798"/>
    <x v="4"/>
    <s v="Állami ösztöndíjas"/>
    <s v="2021/22/1"/>
    <s v="Levelező"/>
    <n v="1"/>
    <n v="1"/>
    <s v="2021/22/2"/>
    <n v="2"/>
    <s v="73593239984"/>
    <n v="2"/>
    <x v="3"/>
    <s v="a központi eljárásban magyarországi képzésre"/>
    <n v="90"/>
    <m/>
    <m/>
    <s v="Felvétel"/>
    <d v="2021-09-01T00:00:00"/>
    <s v="310814062801"/>
    <s v="BDPK-SEK"/>
    <s v="Neubauer Nikoletta"/>
    <d v="2021-07-23T00:00:00"/>
    <d v="2022-07-15T00:00:00"/>
    <n v="400000"/>
    <m/>
    <n v="2"/>
    <s v="Nő"/>
    <n v="400000"/>
    <s v="szecsoditimi@gmail.com"/>
    <s v="Polgár Marianna"/>
    <n v="2"/>
    <s v="Aktív"/>
    <n v="2"/>
    <n v="2"/>
    <s v="magyar"/>
    <m/>
  </r>
  <r>
    <s v="Dancsecs Borbála"/>
    <s v="T1YUQ1"/>
    <s v="Aktív"/>
    <s v="tanári [2 félév [magyartanár]]"/>
    <x v="14"/>
    <s v="tanárképzés"/>
    <s v="TKK-RTAK-LMHU"/>
    <s v="Szentgotthárd"/>
    <s v="Vas"/>
    <s v="Dancsecs Borbála"/>
    <s v="Magyarország"/>
    <d v="1971-04-02T00:00:00"/>
    <s v="T185776/FI80798"/>
    <x v="4"/>
    <s v="Állami ösztöndíjas"/>
    <s v="2021/22/1"/>
    <s v="Levelező"/>
    <n v="6"/>
    <n v="1"/>
    <s v="2021/22/2"/>
    <n v="2"/>
    <s v="72424712759"/>
    <n v="2"/>
    <x v="3"/>
    <s v="a központi eljárásban magyarországi képzésre"/>
    <n v="90"/>
    <m/>
    <m/>
    <s v="Felvétel"/>
    <d v="2021-09-01T00:00:00"/>
    <s v="310814689207"/>
    <s v="BDPK-SEK"/>
    <s v="Neubauer Nikoletta"/>
    <d v="2021-07-23T00:00:00"/>
    <d v="2022-07-15T00:00:00"/>
    <n v="400000"/>
    <m/>
    <n v="2"/>
    <s v="Nő"/>
    <n v="400000"/>
    <s v="dancsecs.bori@gmail.com"/>
    <s v="Kuntár Borbála"/>
    <n v="2"/>
    <s v="Aktív"/>
    <n v="2"/>
    <n v="2"/>
    <s v="magyar"/>
    <m/>
  </r>
  <r>
    <s v="Tüttőné Linha Katalin"/>
    <s v="LNW1J0"/>
    <s v="Aktív"/>
    <s v="tanári [2 félév [magyartanár]]"/>
    <x v="14"/>
    <s v="tanárképzés"/>
    <s v="TKK-RTAK-LMHU"/>
    <s v="Marcali"/>
    <s v="Somogy"/>
    <s v="Linha Katalin"/>
    <s v="Magyarország"/>
    <d v="1968-09-28T00:00:00"/>
    <s v="T189573/FI80798"/>
    <x v="4"/>
    <s v="Állami ösztöndíjas"/>
    <s v="2021/22/1"/>
    <s v="Levelező"/>
    <n v="6"/>
    <n v="1"/>
    <s v="2021/22/2"/>
    <n v="2"/>
    <s v="78992979876"/>
    <n v="2"/>
    <x v="3"/>
    <s v="a központi eljárásban magyarországi képzésre"/>
    <n v="85"/>
    <m/>
    <m/>
    <s v="Felvétel"/>
    <d v="2021-09-01T00:00:00"/>
    <s v="310814421122"/>
    <s v="BDPK-SEK"/>
    <s v="Neubauer Nikoletta"/>
    <d v="2021-07-23T00:00:00"/>
    <d v="2022-07-15T00:00:00"/>
    <n v="400000"/>
    <m/>
    <n v="2"/>
    <s v="Nő"/>
    <n v="400000"/>
    <s v="tlkata@gmail.com"/>
    <s v="Göllei Irma"/>
    <n v="2"/>
    <s v="Aktív"/>
    <n v="2"/>
    <n v="2"/>
    <s v="magyar"/>
    <m/>
  </r>
  <r>
    <s v="Horváth Anna Mária"/>
    <s v="BIUY87"/>
    <s v="Passzív"/>
    <s v="tanári [2 félév [matematikatanár]]"/>
    <x v="7"/>
    <s v="tanárképzés"/>
    <s v="TKK-RTAK-LMHU"/>
    <s v="Mosonmagyaróvár"/>
    <s v="Győr-Moson-Sopron"/>
    <s v="Horváth Anna Mária"/>
    <s v="Magyarország"/>
    <d v="1971-12-03T00:00:00"/>
    <s v="T157173/FI80798"/>
    <x v="4"/>
    <s v="Önköltséges"/>
    <s v="2019/20/1"/>
    <s v="Levelező"/>
    <n v="1"/>
    <n v="1"/>
    <s v="2020/21/2"/>
    <n v="2"/>
    <s v="73138366234"/>
    <n v="2"/>
    <x v="3"/>
    <s v="a központi eljárásban magyarországi képzésre"/>
    <n v="80"/>
    <m/>
    <m/>
    <s v="Felvétel"/>
    <d v="2019-09-01T00:00:00"/>
    <s v="310992191679"/>
    <s v="BDPK-SEK"/>
    <s v="Neubauer Nikoletta"/>
    <d v="2019-08-26T00:00:00"/>
    <d v="2022-07-15T00:00:00"/>
    <n v="400000"/>
    <m/>
    <n v="2"/>
    <s v="Nő"/>
    <n v="400000"/>
    <s v="horv.anna.maria2@gmail.com"/>
    <s v="Futó Anna Mária"/>
    <n v="5"/>
    <s v="Passzív"/>
    <m/>
    <n v="5"/>
    <s v="magyar"/>
    <m/>
  </r>
  <r>
    <s v="Stenger Mónika"/>
    <s v="I5F117"/>
    <s v="Aktív"/>
    <s v="tanári [2 félév [matematikatanár]]"/>
    <x v="7"/>
    <s v="tanárképzés"/>
    <s v="TKK-RTAK-LMHU"/>
    <s v="Győr"/>
    <s v="Győr-Moson-Sopron"/>
    <s v="Stenger Mónika"/>
    <s v="Magyarország"/>
    <d v="1973-12-07T00:00:00"/>
    <s v="T188263/FI80798"/>
    <x v="4"/>
    <s v="Önköltséges"/>
    <s v="2021/22/1"/>
    <s v="Levelező"/>
    <n v="-9"/>
    <m/>
    <m/>
    <n v="2"/>
    <s v="72284962471"/>
    <n v="2"/>
    <x v="3"/>
    <s v="a központi eljárásban magyarországi képzésre"/>
    <n v="67"/>
    <m/>
    <m/>
    <s v="Felvétel"/>
    <d v="2021-09-01T00:00:00"/>
    <s v="310814650399"/>
    <s v="BDPK-SEK"/>
    <s v="Neubauer Nikoletta"/>
    <d v="2021-07-23T00:00:00"/>
    <d v="2022-07-15T00:00:00"/>
    <m/>
    <m/>
    <n v="0"/>
    <s v="Nő"/>
    <m/>
    <s v="didaxis@consultant.com"/>
    <s v="Ferencz Matild"/>
    <n v="2"/>
    <s v="Aktív"/>
    <n v="0"/>
    <n v="2"/>
    <s v="magyar"/>
    <n v="400000"/>
  </r>
  <r>
    <s v="Biczóné Binder Gyöngyi Zsuzsanna"/>
    <s v="MJQSDE"/>
    <s v="Aktív"/>
    <s v="tanári [2 félév [matematikatanár]]"/>
    <x v="7"/>
    <s v="tanárképzés"/>
    <s v="TKK-RTAK-LMHU"/>
    <s v="Sárvár"/>
    <s v="Vas"/>
    <s v="Binder Gyöngyi Zsuzsanna"/>
    <s v="Magyarország"/>
    <d v="1976-07-02T00:00:00"/>
    <s v="T183749/FI80798"/>
    <x v="4"/>
    <s v="Állami ösztöndíjas"/>
    <s v="2021/22/1"/>
    <s v="Levelező"/>
    <n v="1"/>
    <n v="1"/>
    <s v="2021/22/2"/>
    <n v="2"/>
    <s v="77757303473"/>
    <n v="2"/>
    <x v="3"/>
    <s v="a központi eljárásban magyarországi képzésre"/>
    <n v="75"/>
    <m/>
    <m/>
    <s v="Felvétel"/>
    <d v="2021-09-01T00:00:00"/>
    <s v="310814050582"/>
    <s v="BDPK-SEK"/>
    <s v="Neubauer Nikoletta"/>
    <d v="2021-07-23T00:00:00"/>
    <d v="2022-07-15T00:00:00"/>
    <n v="400000"/>
    <m/>
    <n v="2"/>
    <s v="Nő"/>
    <n v="400000"/>
    <s v="biczonebgy@gmail.com"/>
    <s v="Szovák Mária"/>
    <n v="2"/>
    <s v="Aktív"/>
    <n v="2"/>
    <n v="2"/>
    <s v="magyar"/>
    <m/>
  </r>
  <r>
    <s v="Dancsecz Péterné"/>
    <s v="O8T8G9"/>
    <s v="Aktív"/>
    <s v="tanári [2 félév [matematikatanár]]"/>
    <x v="7"/>
    <s v="tanárképzés"/>
    <s v="TKK-RTAK-LMHU"/>
    <s v="Körmend"/>
    <s v="Vas"/>
    <s v="Spang Anita"/>
    <s v="Magyarország"/>
    <d v="1971-04-17T00:00:00"/>
    <s v="T190046/FI80798"/>
    <x v="4"/>
    <s v="Önköltséges"/>
    <s v="2021/22/1"/>
    <s v="Levelező"/>
    <n v="7"/>
    <m/>
    <m/>
    <n v="2"/>
    <s v="72358561178"/>
    <n v="2"/>
    <x v="3"/>
    <s v="a központi eljárásban magyarországi képzésre"/>
    <n v="67"/>
    <m/>
    <m/>
    <s v="Felvétel"/>
    <d v="2021-09-01T00:00:00"/>
    <s v="310914093185"/>
    <s v="BDPK-SEK"/>
    <s v="Neubauer Nikoletta"/>
    <d v="2021-08-27T00:00:00"/>
    <d v="2022-07-15T00:00:00"/>
    <m/>
    <m/>
    <n v="0"/>
    <s v="Nő"/>
    <m/>
    <s v="dancsecz.peterne71@gmail.com"/>
    <s v="Piros Éva Mária"/>
    <n v="2"/>
    <s v="Aktív"/>
    <n v="0"/>
    <n v="2"/>
    <s v="magyar"/>
    <n v="400000"/>
  </r>
  <r>
    <s v="Somogyi Péter"/>
    <s v="JPEYTU"/>
    <s v="Aktív"/>
    <s v="tanári [2 félév [matematikatanár]]"/>
    <x v="7"/>
    <s v="tanárképzés"/>
    <s v="TKK-RTAK-LMHU"/>
    <s v="Szentgotthárd"/>
    <s v="Vas"/>
    <s v="Somogyi Péter"/>
    <s v="Magyarország"/>
    <d v="1969-02-13T00:00:00"/>
    <s v="T180460/FI80798"/>
    <x v="4"/>
    <s v="Önköltséges"/>
    <s v="2021/22/1"/>
    <s v="Levelező"/>
    <n v="-3"/>
    <n v="1"/>
    <s v="2012/13/1"/>
    <n v="2"/>
    <s v="72280231559"/>
    <n v="2"/>
    <x v="3"/>
    <s v="a központi eljárásban magyarországi képzésre"/>
    <n v="70"/>
    <m/>
    <m/>
    <s v="Felvétel"/>
    <d v="2021-09-01T00:00:00"/>
    <s v="310814684042"/>
    <s v="BDPK-SEK"/>
    <s v="Neubauer Nikoletta"/>
    <d v="2021-07-23T00:00:00"/>
    <d v="2022-07-15T00:00:00"/>
    <m/>
    <m/>
    <n v="0"/>
    <s v="Férfi"/>
    <m/>
    <s v="somapeti69@gmail.com"/>
    <s v="Zsigovits Valéria"/>
    <n v="2"/>
    <s v="Aktív"/>
    <n v="0"/>
    <n v="2"/>
    <s v="magyar"/>
    <n v="400000"/>
  </r>
  <r>
    <s v="Szép Dávid"/>
    <s v="UYYTWH"/>
    <s v="Passzív"/>
    <s v="tanári [2 félév [matematikatanár]]"/>
    <x v="7"/>
    <s v="tanárképzés"/>
    <s v="TKK-RTAK-LMHU"/>
    <s v="Körmend"/>
    <s v="Vas"/>
    <s v="Szép Dávid"/>
    <s v="Magyarország"/>
    <d v="1984-04-28T00:00:00"/>
    <s v="T188499/FI80798"/>
    <x v="4"/>
    <s v="Önköltséges"/>
    <s v="2021/22/1"/>
    <s v="Levelező"/>
    <n v="12"/>
    <n v="1"/>
    <s v="2008/09/2"/>
    <n v="2"/>
    <s v="73327241101"/>
    <n v="2"/>
    <x v="3"/>
    <s v="a központi eljárásban magyarországi képzésre"/>
    <n v="85"/>
    <m/>
    <m/>
    <s v="Felvétel"/>
    <d v="2021-09-01T00:00:00"/>
    <s v="310814889161"/>
    <s v="BDPK-SEK"/>
    <s v="Neubauer Nikoletta"/>
    <d v="2021-07-23T00:00:00"/>
    <d v="2023-07-15T00:00:00"/>
    <m/>
    <m/>
    <n v="0"/>
    <s v="Férfi"/>
    <m/>
    <s v="bananoxid@gmail.com"/>
    <s v="Herczeg Edit"/>
    <n v="1"/>
    <s v="Passzív"/>
    <n v="0"/>
    <n v="1"/>
    <s v="magyar"/>
    <n v="400000"/>
  </r>
  <r>
    <s v="Horváth Patrícia"/>
    <s v="BXHXGB"/>
    <s v="Aktív"/>
    <s v="tanári [2 félév [német nyelv és kultúra tanára]]"/>
    <x v="4"/>
    <s v="tanárképzés"/>
    <s v="TKK-RTAK-LMHU"/>
    <s v="Budapest"/>
    <s v="Budapest"/>
    <s v="Horváth Patrícia"/>
    <s v="Magyarország"/>
    <d v="1974-11-06T00:00:00"/>
    <s v="T190742/FI80798"/>
    <x v="4"/>
    <s v="Önköltséges"/>
    <s v="2021/22/1"/>
    <s v="Levelező"/>
    <n v="3"/>
    <n v="1"/>
    <s v="2017/18/1"/>
    <n v="2"/>
    <s v="72511916638"/>
    <n v="2"/>
    <x v="3"/>
    <s v="a központi eljárásban magyarországi képzésre"/>
    <n v="80"/>
    <m/>
    <m/>
    <s v="Felvétel"/>
    <d v="2021-09-01T00:00:00"/>
    <s v="310914043560"/>
    <s v="BDPK-SEK"/>
    <s v="Neubauer Nikoletta"/>
    <d v="2021-08-27T00:00:00"/>
    <d v="2022-07-15T00:00:00"/>
    <m/>
    <m/>
    <n v="0"/>
    <s v="Nő"/>
    <m/>
    <s v="horvathpatti77@gmail.com"/>
    <s v="Jáki Mária"/>
    <n v="2"/>
    <s v="Aktív"/>
    <n v="0"/>
    <n v="2"/>
    <s v="magyar"/>
    <n v="400000"/>
  </r>
  <r>
    <s v="Nagy-Molnár Edit"/>
    <s v="DHG3QS"/>
    <s v="Aktív"/>
    <s v="tanári [2 félév [német nyelv és kultúra tanára]]"/>
    <x v="4"/>
    <s v="tanárképzés"/>
    <s v="TKK-RTAK-LMHU"/>
    <s v="Szombathely"/>
    <s v="Vas"/>
    <s v="Molnár Edit"/>
    <s v="Magyarország"/>
    <d v="1970-08-25T00:00:00"/>
    <s v="T189405/FI80798"/>
    <x v="4"/>
    <s v="Állami ösztöndíjas"/>
    <s v="2021/22/1"/>
    <s v="Levelező"/>
    <n v="6"/>
    <n v="1"/>
    <s v="2021/22/2"/>
    <n v="2"/>
    <s v="71621522923"/>
    <n v="2"/>
    <x v="3"/>
    <s v="a központi eljárásban magyarországi képzésre"/>
    <n v="81"/>
    <m/>
    <m/>
    <s v="Felvétel"/>
    <d v="2021-09-01T00:00:00"/>
    <s v="310814521756"/>
    <s v="BDPK-SEK"/>
    <s v="Neubauer Nikoletta"/>
    <d v="2021-07-23T00:00:00"/>
    <d v="2022-07-15T00:00:00"/>
    <n v="400000"/>
    <m/>
    <n v="1"/>
    <s v="Nő"/>
    <n v="400000"/>
    <s v="nagymolnar.edit@gmail.com"/>
    <s v="Szilágyi Edit"/>
    <n v="2"/>
    <s v="Aktív"/>
    <n v="2"/>
    <n v="2"/>
    <s v="magyar"/>
    <m/>
  </r>
  <r>
    <s v="Csermelyné Sántha Anikó"/>
    <s v="FAB193"/>
    <s v="Aktív"/>
    <s v="tanári [2 félév [német nyelv és kultúra tanára]]"/>
    <x v="4"/>
    <s v="tanárképzés"/>
    <s v="TKK-RTAK-LMHU"/>
    <s v="Sopron"/>
    <s v="Győr-Moson-Sopron"/>
    <s v="Sántha Anikó"/>
    <s v="Magyarország"/>
    <d v="1966-07-03T00:00:00"/>
    <s v="T185561/FI80798"/>
    <x v="4"/>
    <s v="Állami ösztöndíjas"/>
    <s v="2021/22/1"/>
    <s v="Levelező"/>
    <n v="6"/>
    <n v="1"/>
    <s v="2021/22/2"/>
    <n v="2"/>
    <s v="75390553269"/>
    <n v="2"/>
    <x v="3"/>
    <s v="a központi eljárásban magyarországi képzésre"/>
    <n v="85"/>
    <m/>
    <m/>
    <s v="Felvétel"/>
    <d v="2021-09-01T00:00:00"/>
    <s v="310814351741"/>
    <s v="BDPK-SEK"/>
    <s v="Neubauer Nikoletta"/>
    <d v="2021-07-23T00:00:00"/>
    <d v="2022-07-15T00:00:00"/>
    <n v="400000"/>
    <m/>
    <n v="1"/>
    <s v="Nő"/>
    <n v="400000"/>
    <s v="aniko.cs.s@gmail.com"/>
    <s v="Bérczes Erzsébet"/>
    <n v="2"/>
    <s v="Aktív"/>
    <n v="2"/>
    <n v="2"/>
    <s v="magyar"/>
    <m/>
  </r>
  <r>
    <s v="Káposztássy Krisztina"/>
    <s v="AQVYCA"/>
    <s v="Aktív"/>
    <s v="tanári [2 félév [rajz- és vizuáliskultúra-tanár]]"/>
    <x v="5"/>
    <s v="tanárképzés"/>
    <s v="TKK-RTAK-LMHU"/>
    <s v="Szekszárd"/>
    <s v="Tolna"/>
    <s v="Káposztássy Krisztina"/>
    <s v="Magyarország"/>
    <d v="1974-12-20T00:00:00"/>
    <s v="T191020/FI80798"/>
    <x v="4"/>
    <s v="Állami ösztöndíjas"/>
    <s v="2021/22/1"/>
    <s v="Levelező"/>
    <n v="5"/>
    <n v="1"/>
    <s v="2021/22/2"/>
    <n v="2"/>
    <s v="72981536582"/>
    <n v="2"/>
    <x v="3"/>
    <s v="a központi eljárásban magyarországi képzésre"/>
    <n v="90"/>
    <m/>
    <m/>
    <s v="Felvétel"/>
    <d v="2021-09-01T00:00:00"/>
    <s v="310815143709"/>
    <s v="BDPK-SEK"/>
    <s v="Neubauer Nikoletta"/>
    <d v="2021-07-23T00:00:00"/>
    <d v="2022-07-15T00:00:00"/>
    <n v="400000"/>
    <m/>
    <n v="1"/>
    <s v="Nő"/>
    <n v="400000"/>
    <s v="kriszta.n.k@gmail.hu"/>
    <s v="Bordás Éva"/>
    <n v="2"/>
    <s v="Aktív"/>
    <n v="2"/>
    <n v="2"/>
    <s v="magyar"/>
    <m/>
  </r>
  <r>
    <s v="Németh Gyöngyi"/>
    <s v="MK60PG"/>
    <s v="Aktív"/>
    <s v="tanári [2 félév [rajz- és vizuáliskultúra-tanár]]"/>
    <x v="5"/>
    <s v="tanárképzés"/>
    <s v="TKK-RTAK-LMHU"/>
    <s v="Celldömölk"/>
    <s v="Vas"/>
    <s v="Németh Gyöngyi"/>
    <s v="Magyarország"/>
    <d v="1976-02-09T00:00:00"/>
    <s v="T170605/FI80798"/>
    <x v="4"/>
    <s v="Állami ösztöndíjas"/>
    <s v="2020/21/1"/>
    <s v="Levelező"/>
    <n v="11"/>
    <n v="1"/>
    <s v="2021/22/2"/>
    <n v="2"/>
    <s v="73154989660"/>
    <n v="2"/>
    <x v="3"/>
    <s v="a központi eljárásban magyarországi képzésre"/>
    <n v="89"/>
    <m/>
    <m/>
    <s v="Felvétel"/>
    <d v="2020-09-01T00:00:00"/>
    <s v="310804880006"/>
    <s v="BDPK-SEK"/>
    <s v="Neubauer Nikoletta"/>
    <d v="2020-07-23T00:00:00"/>
    <d v="2023-01-31T00:00:00"/>
    <n v="400000"/>
    <m/>
    <n v="1"/>
    <s v="Nő"/>
    <n v="400000"/>
    <s v="nemethgyongyi2014@gmail.com"/>
    <s v="Mógor Gyöngyi"/>
    <n v="2"/>
    <s v="Aktív"/>
    <n v="2"/>
    <n v="2"/>
    <s v="magyar"/>
    <m/>
  </r>
  <r>
    <s v="Juhász Márta"/>
    <s v="Z7V6HM"/>
    <s v="Aktív"/>
    <s v="tanári [2 félév [történelemtanár és állampolgári ismeretek tanára]]"/>
    <x v="9"/>
    <s v="tanárképzés"/>
    <s v="TKK-RTAK-LMHU"/>
    <s v="Szombathely"/>
    <s v="Vas"/>
    <s v="Juhász Márta"/>
    <s v="Magyarország"/>
    <d v="1989-08-23T00:00:00"/>
    <s v="T184386/FI80798"/>
    <x v="4"/>
    <s v="Önköltséges"/>
    <s v="2021/22/1"/>
    <s v="Levelező"/>
    <n v="3"/>
    <n v="1"/>
    <s v="2013/14/2"/>
    <n v="2"/>
    <s v="73850521019"/>
    <n v="2"/>
    <x v="3"/>
    <s v="a központi eljárásban magyarországi képzésre"/>
    <n v="85"/>
    <m/>
    <m/>
    <s v="Felvétel"/>
    <d v="2021-09-01T00:00:00"/>
    <s v="310815026193"/>
    <s v="BDPK-SEK"/>
    <s v="Neubauer Nikoletta"/>
    <d v="2021-07-23T00:00:00"/>
    <d v="2022-07-15T00:00:00"/>
    <m/>
    <m/>
    <n v="0"/>
    <s v="Nő"/>
    <m/>
    <s v="j.martika89@gmail.com"/>
    <s v="Skriba Erzsébet"/>
    <n v="2"/>
    <s v="Aktív"/>
    <n v="0"/>
    <n v="2"/>
    <s v="magyar"/>
    <n v="400000"/>
  </r>
  <r>
    <s v="Grinácz Aba Sámuel"/>
    <s v="JKK2KN"/>
    <s v="Aktív"/>
    <s v="tanári [2 félév [történelemtanár és állampolgári ismeretek tanára]]"/>
    <x v="9"/>
    <s v="tanárképzés"/>
    <s v="TKK-RTAK-LMHU"/>
    <s v="Esztergom"/>
    <s v="Komárom-Esztergom"/>
    <s v="Grinácz Aba Sámuel"/>
    <s v="Magyarország"/>
    <d v="1996-03-04T00:00:00"/>
    <s v="T147446/FI80798"/>
    <x v="4"/>
    <s v="Állami ösztöndíjas"/>
    <s v="2021/22/1"/>
    <s v="Levelező"/>
    <n v="0"/>
    <n v="1"/>
    <s v="2021/22/2"/>
    <n v="2"/>
    <s v="75852143160"/>
    <n v="2"/>
    <x v="3"/>
    <s v="intézményi eljárásban tanárképzésre"/>
    <m/>
    <m/>
    <m/>
    <s v="Felvétel"/>
    <d v="2021-09-01T00:00:00"/>
    <m/>
    <s v="BDPK-SEK"/>
    <s v="Neubauer Nikoletta"/>
    <d v="2021-07-30T00:00:00"/>
    <d v="2022-07-15T00:00:00"/>
    <n v="400000"/>
    <m/>
    <n v="2"/>
    <s v="Férfi"/>
    <n v="400000"/>
    <s v="grinacza@gmail.com"/>
    <s v="Kiss Andrea Dr."/>
    <n v="2"/>
    <s v="Aktív"/>
    <n v="14"/>
    <n v="2"/>
    <s v="magyar"/>
    <m/>
  </r>
  <r>
    <s v="Csapó Gergely"/>
    <s v="MNIOY9"/>
    <s v="Passzív"/>
    <s v="tanári [2 félév [történelemtanár és állampolgári ismeretek tanára]]"/>
    <x v="9"/>
    <s v="tanárképzés"/>
    <s v="TKK-RTAK-LMHU"/>
    <s v="Nyíregyháza"/>
    <s v="Szabolcs-Szatmár-Bereg"/>
    <s v="Csapó Gergely"/>
    <s v="Magyarország"/>
    <d v="1995-10-14T00:00:00"/>
    <s v="T162212/FI80798"/>
    <x v="4"/>
    <s v="Állami ösztöndíjas"/>
    <s v="2021/22/1"/>
    <s v="Levelező"/>
    <n v="3"/>
    <n v="1"/>
    <s v="2021/22/2"/>
    <n v="2"/>
    <s v="76985649204"/>
    <n v="2"/>
    <x v="3"/>
    <s v="intézményi eljárásban tanárképzésre"/>
    <m/>
    <m/>
    <m/>
    <s v="Felvétel"/>
    <d v="2021-09-01T00:00:00"/>
    <m/>
    <s v="BDPK-SEK"/>
    <s v="Neubauer Nikoletta"/>
    <d v="2021-07-30T00:00:00"/>
    <d v="2023-07-15T00:00:00"/>
    <n v="400000"/>
    <m/>
    <m/>
    <s v="Férfi"/>
    <n v="400000"/>
    <s v="TheQtya@student.elte.hu"/>
    <s v="Hatvani Edit Zsuzsanna"/>
    <n v="0"/>
    <s v="Passzív"/>
    <m/>
    <n v="0"/>
    <s v="magyar"/>
    <m/>
  </r>
  <r>
    <s v="Bécsi Daniella"/>
    <s v="IM6E9A"/>
    <s v="Aktív"/>
    <s v="tanári [2 félév [történelemtanár és állampolgári ismeretek tanára]]"/>
    <x v="9"/>
    <s v="tanárképzés"/>
    <s v="TKK-RTAK-LMHU"/>
    <s v="Tapolca"/>
    <s v="Veszprém"/>
    <s v="Bécsi Daniella"/>
    <s v="Magyarország"/>
    <d v="1995-10-26T00:00:00"/>
    <s v="T182432/FI80798"/>
    <x v="4"/>
    <s v="Állami ösztöndíjas"/>
    <s v="2021/22/1"/>
    <s v="Levelező"/>
    <n v="2"/>
    <n v="1"/>
    <s v="2021/22/2"/>
    <n v="2"/>
    <s v="78929363403"/>
    <n v="2"/>
    <x v="3"/>
    <s v="a központi eljárásban magyarországi képzésre"/>
    <n v="84"/>
    <m/>
    <m/>
    <s v="Felvétel"/>
    <d v="2021-09-01T00:00:00"/>
    <s v="310814729052"/>
    <s v="BDPK-SEK"/>
    <s v="Neubauer Nikoletta"/>
    <d v="2021-07-23T00:00:00"/>
    <d v="2022-07-15T00:00:00"/>
    <n v="400000"/>
    <m/>
    <n v="2"/>
    <s v="Nő"/>
    <n v="400000"/>
    <s v="becsidaniella@gmail.com"/>
    <s v="Ruzsa Krisztina"/>
    <n v="2"/>
    <s v="Aktív"/>
    <n v="2"/>
    <n v="2"/>
    <s v="magyar"/>
    <m/>
  </r>
  <r>
    <s v="Moór Vivien"/>
    <s v="E35M57"/>
    <s v="Aktív"/>
    <s v="tanári [2 félév [történelemtanár és állampolgári ismeretek tanára]]"/>
    <x v="9"/>
    <s v="tanárképzés"/>
    <s v="TKK-RTAK-LMHU"/>
    <s v="Kapuvár"/>
    <s v="Győr-Moson-Sopron"/>
    <s v="Moór Vivien"/>
    <s v="Magyarország"/>
    <d v="1997-04-10T00:00:00"/>
    <s v="T179543/FI80798"/>
    <x v="4"/>
    <s v="Állami ösztöndíjas"/>
    <s v="2021/22/1"/>
    <s v="Levelező"/>
    <n v="1"/>
    <n v="1"/>
    <s v="2021/22/2"/>
    <n v="2"/>
    <s v="78549888380"/>
    <n v="2"/>
    <x v="3"/>
    <s v="a központi eljárásban magyarországi képzésre"/>
    <n v="90"/>
    <m/>
    <m/>
    <s v="Felvétel"/>
    <d v="2021-09-01T00:00:00"/>
    <s v="310814293232"/>
    <s v="BDPK-SEK"/>
    <s v="Neubauer Nikoletta"/>
    <d v="2021-07-23T00:00:00"/>
    <d v="2022-07-15T00:00:00"/>
    <n v="400000"/>
    <m/>
    <n v="2"/>
    <s v="Nő"/>
    <n v="400000"/>
    <s v="moorvivi13@gmail.com"/>
    <s v="Takács Katalin"/>
    <n v="2"/>
    <s v="Aktív"/>
    <n v="2"/>
    <n v="2"/>
    <s v="magyar"/>
    <m/>
  </r>
  <r>
    <s v="Németh Sándor Dr."/>
    <s v="P1VIBW"/>
    <s v="Passzív"/>
    <s v="tanári [2 félév [történelemtanár és állampolgári ismeretek tanára]]"/>
    <x v="9"/>
    <s v="tanárképzés"/>
    <s v="TKK-RTAK-LMHU"/>
    <s v="Szombathely"/>
    <s v="Vas"/>
    <s v="Németh Sándor"/>
    <s v="Magyarország"/>
    <d v="1979-04-30T00:00:00"/>
    <s v="T155748/FI80798"/>
    <x v="4"/>
    <s v="Állami ösztöndíjas (képzési időn túli)"/>
    <s v="2019/20/1"/>
    <s v="Levelező"/>
    <n v="4"/>
    <n v="1"/>
    <s v="2020/21/2"/>
    <n v="2"/>
    <s v="71560034521"/>
    <n v="2"/>
    <x v="3"/>
    <s v="a központi eljárásban magyarországi képzésre"/>
    <n v="85"/>
    <m/>
    <m/>
    <s v="Felvétel"/>
    <d v="2019-09-01T00:00:00"/>
    <s v="310983104095"/>
    <s v="BDPK-SEK"/>
    <s v="Neubauer Nikoletta"/>
    <d v="2019-07-24T00:00:00"/>
    <d v="2023-01-31T00:00:00"/>
    <n v="400000"/>
    <m/>
    <n v="2"/>
    <s v="Férfi"/>
    <n v="400000"/>
    <s v="kosmos9737@gmail.com"/>
    <s v="Tájmel Mária"/>
    <n v="2"/>
    <s v="Passzív"/>
    <n v="2"/>
    <n v="2"/>
    <s v="magyar"/>
    <m/>
  </r>
  <r>
    <s v="Mánya Krisztián"/>
    <s v="GG9OJ8"/>
    <s v="Aktív"/>
    <s v="tanári [2 félév [történelemtanár és állampolgári ismeretek tanára]]"/>
    <x v="9"/>
    <s v="tanárképzés"/>
    <s v="TKK-RTAK-LMHU"/>
    <s v="Huedin"/>
    <m/>
    <s v="Mánya Krisztián"/>
    <s v="Románia"/>
    <d v="1995-07-26T00:00:00"/>
    <s v="T179772/FI80798"/>
    <x v="4"/>
    <s v="Állami ösztöndíjas"/>
    <s v="2021/22/1"/>
    <s v="Levelező"/>
    <n v="2"/>
    <n v="1"/>
    <s v="2021/22/2"/>
    <n v="2"/>
    <s v="73650385735"/>
    <n v="2"/>
    <x v="3"/>
    <s v="a központi eljárásban magyarországi képzésre"/>
    <n v="86"/>
    <m/>
    <m/>
    <s v="Felvétel"/>
    <d v="2021-09-01T00:00:00"/>
    <s v="310814127877"/>
    <s v="BDPK-SEK"/>
    <s v="Neubauer Nikoletta"/>
    <d v="2021-07-23T00:00:00"/>
    <d v="2022-07-15T00:00:00"/>
    <n v="400000"/>
    <m/>
    <n v="2"/>
    <s v="Férfi"/>
    <n v="400000"/>
    <s v="manyak.gg9oj8@gmail.com"/>
    <s v="Peter Enikő"/>
    <n v="2"/>
    <s v="Aktív"/>
    <n v="2"/>
    <n v="2"/>
    <s v="magyar"/>
    <m/>
  </r>
  <r>
    <s v="Chvála Márton Tibor"/>
    <s v="G6NS46"/>
    <s v="Passzív"/>
    <s v="tanári [2 félév [történelemtanár és állampolgári ismeretek tanára]]"/>
    <x v="9"/>
    <s v="tanárképzés"/>
    <s v="TKK-RTAK-LMHU"/>
    <s v="Budapest"/>
    <s v="Budapest"/>
    <s v="Chvála Márton Tibor"/>
    <s v="Magyarország"/>
    <d v="1997-11-23T00:00:00"/>
    <s v="T166263/FI80798"/>
    <x v="4"/>
    <s v="Állami ösztöndíjas"/>
    <s v="2021/22/1"/>
    <s v="Levelező"/>
    <n v="4"/>
    <n v="1"/>
    <s v="2021/22/2"/>
    <n v="2"/>
    <s v="76200089529"/>
    <n v="2"/>
    <x v="3"/>
    <s v="intézményi eljárásban tanárképzésre"/>
    <m/>
    <m/>
    <m/>
    <s v="Felvétel"/>
    <d v="2021-09-01T00:00:00"/>
    <m/>
    <s v="BDPK-SEK"/>
    <s v="Neubauer Nikoletta"/>
    <d v="2021-07-30T00:00:00"/>
    <d v="2023-07-15T00:00:00"/>
    <n v="400000"/>
    <m/>
    <n v="1"/>
    <s v="Férfi"/>
    <n v="400000"/>
    <s v="chvala.marton@gmail.com"/>
    <s v="Tamasi Patrícia"/>
    <n v="1"/>
    <s v="Passzív"/>
    <n v="1"/>
    <n v="1"/>
    <s v="magyar"/>
    <m/>
  </r>
  <r>
    <s v="Gál János"/>
    <s v="TRXQ5K"/>
    <s v="Passzív"/>
    <s v="tanári [2 félév [történelemtanár és állampolgári ismeretek tanára]]"/>
    <x v="9"/>
    <s v="tanárképzés"/>
    <s v="TKK-RTAK-LMHU"/>
    <s v="Budapest"/>
    <s v="Budapest"/>
    <s v="Gál János"/>
    <s v="Magyarország"/>
    <d v="1999-02-17T00:00:00"/>
    <s v="T163278/FI80798"/>
    <x v="4"/>
    <s v="Állami ösztöndíjas"/>
    <s v="2021/22/1"/>
    <s v="Levelező"/>
    <n v="4"/>
    <n v="1"/>
    <s v="2021/22/2"/>
    <n v="2"/>
    <s v="77570778378"/>
    <n v="2"/>
    <x v="3"/>
    <s v="intézményi eljárásban tanárképzésre"/>
    <m/>
    <m/>
    <m/>
    <s v="Felvétel"/>
    <d v="2021-09-01T00:00:00"/>
    <m/>
    <s v="BDPK-SEK"/>
    <s v="Neubauer Nikoletta"/>
    <d v="2021-07-30T00:00:00"/>
    <d v="2023-07-15T00:00:00"/>
    <n v="400000"/>
    <m/>
    <n v="1"/>
    <s v="Férfi"/>
    <n v="400000"/>
    <s v="galjanos@student.elte.hu"/>
    <s v="Hegyi Veronika"/>
    <n v="1"/>
    <s v="Passzív"/>
    <n v="1"/>
    <n v="1"/>
    <s v="magyar"/>
    <m/>
  </r>
  <r>
    <s v="Nagy Árpád Levente"/>
    <s v="WOM7YH"/>
    <s v="Aktív"/>
    <s v="tanári [2 félév [történelemtanár és állampolgári ismeretek tanára]]"/>
    <x v="9"/>
    <s v="tanárképzés"/>
    <s v="TKK-RTAK-LMHU"/>
    <s v="Várpalota"/>
    <s v="Veszprém"/>
    <s v="Nagy Árpád Levente"/>
    <s v="Magyarország"/>
    <d v="1997-07-11T00:00:00"/>
    <s v="T164046/FI80798"/>
    <x v="4"/>
    <s v="Állami ösztöndíjas"/>
    <s v="2021/22/1"/>
    <s v="Levelező"/>
    <n v="2"/>
    <n v="2"/>
    <s v="2021/22/2"/>
    <n v="2"/>
    <s v="75021380435"/>
    <n v="2"/>
    <x v="3"/>
    <s v="intézményi eljárásban tanárképzésre"/>
    <m/>
    <m/>
    <m/>
    <s v="Felvétel"/>
    <d v="2021-09-01T00:00:00"/>
    <m/>
    <s v="BDPK-SEK"/>
    <s v="Neubauer Nikoletta"/>
    <d v="2021-07-30T00:00:00"/>
    <d v="2022-07-15T00:00:00"/>
    <n v="400000"/>
    <m/>
    <n v="2"/>
    <s v="Férfi"/>
    <n v="400000"/>
    <s v="n-levente@student.elte.hu"/>
    <s v="Kertai Renáta"/>
    <n v="2"/>
    <s v="Aktív"/>
    <n v="2"/>
    <n v="2"/>
    <s v="magyar"/>
    <m/>
  </r>
  <r>
    <s v="Balhási Gyula"/>
    <s v="IEOAEN"/>
    <s v="Aktív"/>
    <s v="tanári [2 félév [történelemtanár és állampolgári ismeretek tanára]]"/>
    <x v="9"/>
    <s v="tanárképzés"/>
    <s v="TKK-RTAK-LMHU"/>
    <s v="Orosháza"/>
    <s v="Békés"/>
    <s v="Balhási Gyula"/>
    <s v="Magyarország"/>
    <d v="1970-02-09T00:00:00"/>
    <s v="T192537/FI80798"/>
    <x v="4"/>
    <s v="Állami ösztöndíjas"/>
    <s v="2021/22/1"/>
    <s v="Levelező"/>
    <n v="11"/>
    <n v="1"/>
    <s v="2021/22/2"/>
    <n v="2"/>
    <s v="71756373777"/>
    <n v="2"/>
    <x v="3"/>
    <m/>
    <m/>
    <m/>
    <m/>
    <s v="Átvétel kérelemre más magyarországi intézményből"/>
    <d v="2021-09-15T00:00:00"/>
    <m/>
    <s v="BDPK-SEK"/>
    <s v="Neubauer Nikoletta"/>
    <d v="2021-09-14T00:00:00"/>
    <d v="2022-07-15T00:00:00"/>
    <n v="400000"/>
    <m/>
    <n v="2"/>
    <s v="Férfi"/>
    <n v="400000"/>
    <s v="balhasigyula@freemail.hu"/>
    <s v="Szadlis Terézia"/>
    <n v="2"/>
    <s v="Aktív"/>
    <n v="2"/>
    <n v="2"/>
    <s v="magyar"/>
    <m/>
  </r>
  <r>
    <s v="Sánta Aliz"/>
    <s v="GIGRKT"/>
    <s v="Aktív"/>
    <s v="tanári [2 félév [történelemtanár és állampolgári ismeretek tanára]]"/>
    <x v="9"/>
    <s v="tanárképzés"/>
    <s v="TKK-RTAK-LMHU"/>
    <s v="Nagykanizsa"/>
    <s v="Zala"/>
    <s v="Sánta Aliz"/>
    <s v="Magyarország"/>
    <d v="1975-09-26T00:00:00"/>
    <s v="T190583/FI80798"/>
    <x v="4"/>
    <s v="Állami ösztöndíjas"/>
    <s v="2021/22/1"/>
    <s v="Levelező"/>
    <n v="7"/>
    <n v="1"/>
    <s v="2021/22/2"/>
    <n v="2"/>
    <s v="77152931990"/>
    <n v="2"/>
    <x v="3"/>
    <s v="a központi eljárásban magyarországi képzésre"/>
    <n v="77"/>
    <m/>
    <m/>
    <s v="Felvétel"/>
    <d v="2021-09-01T00:00:00"/>
    <s v="310814559228"/>
    <s v="BDPK-SEK"/>
    <s v="Neubauer Nikoletta"/>
    <d v="2021-07-23T00:00:00"/>
    <d v="2022-07-15T00:00:00"/>
    <n v="400000"/>
    <m/>
    <n v="1"/>
    <s v="Nő"/>
    <n v="400000"/>
    <s v="santaaliz@gmail.com"/>
    <s v="Stikely Erzsébet"/>
    <n v="2"/>
    <s v="Aktív"/>
    <n v="2"/>
    <n v="2"/>
    <s v="magyar"/>
    <m/>
  </r>
  <r>
    <s v="Csikortásné Rapos Vivien"/>
    <s v="YJQNEU"/>
    <s v="Aktív"/>
    <s v="tanári [2 félév [történelemtanár és állampolgári ismeretek tanára]]"/>
    <x v="9"/>
    <s v="tanárképzés"/>
    <s v="TKK-RTAK-LMHU"/>
    <s v="Szombathely"/>
    <s v="Vas"/>
    <s v="Rapos Vivien"/>
    <s v="Magyarország"/>
    <d v="1995-10-05T00:00:00"/>
    <s v="T185095/FI80798"/>
    <x v="4"/>
    <s v="Állami ösztöndíjas"/>
    <s v="2021/22/1"/>
    <s v="Levelező"/>
    <n v="2"/>
    <n v="1"/>
    <s v="2021/22/2"/>
    <n v="2"/>
    <s v="77080981795"/>
    <n v="2"/>
    <x v="3"/>
    <s v="a központi eljárásban magyarországi képzésre"/>
    <n v="89"/>
    <m/>
    <m/>
    <s v="Felvétel"/>
    <d v="2021-09-01T00:00:00"/>
    <s v="310814756907"/>
    <s v="BDPK-SEK"/>
    <s v="Neubauer Nikoletta"/>
    <d v="2021-07-23T00:00:00"/>
    <d v="2022-07-15T00:00:00"/>
    <n v="400000"/>
    <m/>
    <n v="2"/>
    <s v="Nő"/>
    <n v="400000"/>
    <s v="rvivien5@gmail.com"/>
    <s v="Nyári Erika"/>
    <n v="2"/>
    <s v="Aktív"/>
    <n v="2"/>
    <n v="2"/>
    <s v="magyar"/>
    <m/>
  </r>
  <r>
    <s v="Béry-Cserpes Dóra Dr."/>
    <s v="DVCI1F"/>
    <s v="Aktív"/>
    <s v="tanári [2 félév [történelemtanár és állampolgári ismeretek tanára]]"/>
    <x v="9"/>
    <s v="tanárképzés"/>
    <s v="TKK-RTAK-LMHU"/>
    <s v="Kapuvár"/>
    <s v="Győr-Moson-Sopron"/>
    <s v="Cserpes Dóra Dr."/>
    <s v="Magyarország"/>
    <d v="1977-04-10T00:00:00"/>
    <s v="T190656/FI80798"/>
    <x v="4"/>
    <s v="Önköltséges"/>
    <s v="2021/22/1"/>
    <s v="Levelező"/>
    <n v="0"/>
    <m/>
    <m/>
    <n v="2"/>
    <s v="72855462625"/>
    <n v="2"/>
    <x v="3"/>
    <s v="a központi eljárásban magyarországi képzésre"/>
    <n v="78"/>
    <m/>
    <m/>
    <s v="Felvétel"/>
    <d v="2021-09-01T00:00:00"/>
    <s v="310914017713"/>
    <s v="BDPK-SEK"/>
    <s v="Neubauer Nikoletta"/>
    <d v="2021-08-27T00:00:00"/>
    <d v="2022-07-15T00:00:00"/>
    <m/>
    <m/>
    <n v="0"/>
    <s v="Nő"/>
    <m/>
    <s v="dr.cserpes.dora@gmail.com"/>
    <s v="Varga Terézia"/>
    <n v="2"/>
    <s v="Aktív"/>
    <n v="0"/>
    <n v="2"/>
    <s v="magyar"/>
    <n v="400000"/>
  </r>
  <r>
    <s v="Bilibók Csaba"/>
    <s v="S53125"/>
    <s v="Aktív"/>
    <s v="tanári [4 félév [angol nyelv és kultúra tanára]]"/>
    <x v="0"/>
    <s v="tanárképzés"/>
    <s v="TKK-RTAK-LMHU"/>
    <s v="Brasov"/>
    <s v="Külföldi"/>
    <s v="Bilibók Csaba"/>
    <s v="Románia"/>
    <d v="1971-05-05T00:00:00"/>
    <s v="T189133/FI80798"/>
    <x v="4"/>
    <s v="Állami ösztöndíjas"/>
    <s v="2021/22/1"/>
    <s v="Levelező"/>
    <n v="8"/>
    <n v="1"/>
    <s v="2021/22/2"/>
    <n v="2"/>
    <s v="71427582057"/>
    <n v="4"/>
    <x v="3"/>
    <s v="a központi eljárásban magyarországi képzésre"/>
    <n v="88"/>
    <m/>
    <m/>
    <s v="Felvétel"/>
    <d v="2021-09-01T00:00:00"/>
    <s v="310815107167"/>
    <s v="BDPK-SEK"/>
    <s v="Neubauer Nikoletta"/>
    <d v="2021-07-23T00:00:00"/>
    <d v="2023-07-15T00:00:00"/>
    <n v="400000"/>
    <m/>
    <n v="1"/>
    <s v="Férfi"/>
    <n v="400000"/>
    <s v="bilcxaba@gmail.com"/>
    <s v="Mátyás Mária"/>
    <n v="2"/>
    <s v="Aktív"/>
    <n v="2"/>
    <n v="2"/>
    <s v="magyar"/>
    <m/>
  </r>
  <r>
    <s v="Kiss Rózsa Adrienn"/>
    <s v="L4URQT"/>
    <s v="Passzív"/>
    <s v="tanári [4 félév [angol nyelv és kultúra tanára]]"/>
    <x v="0"/>
    <s v="tanárképzés"/>
    <s v="TKK-RTAK-LMHU"/>
    <s v="Tiszafüred"/>
    <s v="Jász-Nagykun-Szolnok"/>
    <s v="Kiss Rózsa Adrienn"/>
    <s v="Magyarország"/>
    <d v="1980-09-08T00:00:00"/>
    <s v="T188045/FI80798"/>
    <x v="4"/>
    <s v="Állami ösztöndíjas"/>
    <s v="2021/22/1"/>
    <s v="Levelező"/>
    <n v="4"/>
    <n v="1"/>
    <s v="2005/06/2"/>
    <n v="2"/>
    <s v="74463337740"/>
    <n v="4"/>
    <x v="3"/>
    <s v="a központi eljárásban magyarországi képzésre"/>
    <n v="83"/>
    <m/>
    <m/>
    <s v="Felvétel"/>
    <d v="2021-09-01T00:00:00"/>
    <s v="310814415066"/>
    <s v="BDPK-SEK"/>
    <s v="Neubauer Nikoletta"/>
    <d v="2021-07-23T00:00:00"/>
    <d v="2024-07-15T00:00:00"/>
    <n v="400000"/>
    <m/>
    <m/>
    <s v="Nő"/>
    <n v="400000"/>
    <s v="rozsakiss@hotmail.com"/>
    <s v="Szegedi Róza"/>
    <n v="0"/>
    <s v="Passzív"/>
    <m/>
    <n v="0"/>
    <s v="magyar"/>
    <m/>
  </r>
  <r>
    <s v="Dr. Méri Edina"/>
    <s v="FCSBCK"/>
    <s v="Aktív"/>
    <s v="tanári [4 félév [angol nyelv és kultúra tanára]]"/>
    <x v="0"/>
    <s v="tanárképzés"/>
    <s v="TKK-RTAK-LMHU"/>
    <s v="Sopron"/>
    <s v="Győr-Moson-Sopron"/>
    <s v="Méri Edina Dr."/>
    <s v="Magyarország"/>
    <d v="1974-08-19T00:00:00"/>
    <s v="T189180/FI80798"/>
    <x v="4"/>
    <s v="Állami ösztöndíjas"/>
    <s v="2021/22/1"/>
    <s v="Levelező"/>
    <n v="1"/>
    <n v="1"/>
    <s v="2021/22/2"/>
    <n v="2"/>
    <s v="72262082138"/>
    <n v="4"/>
    <x v="3"/>
    <s v="a központi eljárásban magyarországi képzésre"/>
    <n v="76"/>
    <m/>
    <m/>
    <s v="Felvétel"/>
    <d v="2021-09-01T00:00:00"/>
    <s v="310815052561"/>
    <s v="BDPK-SEK"/>
    <s v="Neubauer Nikoletta"/>
    <d v="2021-07-23T00:00:00"/>
    <d v="2023-07-15T00:00:00"/>
    <n v="400000"/>
    <m/>
    <n v="1"/>
    <s v="Nő"/>
    <n v="400000"/>
    <s v="meri.tegyesz@gmail.com"/>
    <s v="Tremmel Margit"/>
    <n v="2"/>
    <s v="Aktív"/>
    <n v="2"/>
    <n v="2"/>
    <s v="magyar"/>
    <m/>
  </r>
  <r>
    <s v="Zsoldi Gergely"/>
    <s v="HOL307"/>
    <s v="Aktív"/>
    <s v="tanári [4 félév [angol nyelv és kultúra tanára]]"/>
    <x v="0"/>
    <s v="tanárképzés"/>
    <s v="TKK-RTAK-LMHU"/>
    <s v="Nyíregyháza"/>
    <s v="Szabolcs-Szatmár-Bereg"/>
    <s v="Zsoldi Gergely"/>
    <s v="Magyarország"/>
    <d v="1985-01-12T00:00:00"/>
    <s v="T190520/FI80798"/>
    <x v="4"/>
    <s v="Önköltséges"/>
    <s v="2021/22/1"/>
    <s v="Levelező"/>
    <n v="5"/>
    <n v="1"/>
    <s v="2006/07/2"/>
    <n v="2"/>
    <s v="71696246266"/>
    <n v="4"/>
    <x v="3"/>
    <s v="a központi eljárásban magyarországi képzésre"/>
    <n v="81"/>
    <m/>
    <m/>
    <s v="Felvétel"/>
    <d v="2021-09-01T00:00:00"/>
    <s v="310914048171"/>
    <s v="BDPK-SEK"/>
    <s v="Neubauer Nikoletta"/>
    <d v="2021-08-27T00:00:00"/>
    <d v="2023-07-15T00:00:00"/>
    <m/>
    <m/>
    <n v="0"/>
    <s v="Férfi"/>
    <m/>
    <s v="zsoldigergely85@gmail.com"/>
    <s v="Gőcze Judit"/>
    <n v="2"/>
    <s v="Aktív"/>
    <n v="0"/>
    <n v="2"/>
    <s v="magyar"/>
    <n v="400000"/>
  </r>
  <r>
    <s v="Böröcz Eszter"/>
    <s v="PFWE67"/>
    <s v="Aktív"/>
    <s v="tanári [4 félév [angol nyelv és kultúra tanára]]"/>
    <x v="0"/>
    <s v="tanárképzés"/>
    <s v="TKK-RTAK-LMHU"/>
    <s v="Celldömölk"/>
    <s v="Vas"/>
    <s v="Böröcz Eszter"/>
    <s v="Magyarország"/>
    <d v="1991-10-25T00:00:00"/>
    <s v="T139309/FI80798"/>
    <x v="4"/>
    <s v="Önköltséges"/>
    <s v="2018/19/1"/>
    <s v="Levelező"/>
    <n v="1"/>
    <n v="1"/>
    <s v="2018/19/1"/>
    <n v="2"/>
    <s v="73103148616"/>
    <n v="4"/>
    <x v="3"/>
    <s v="a központi eljárásban magyarországi képzésre"/>
    <n v="85"/>
    <m/>
    <m/>
    <s v="Felvétel"/>
    <d v="2018-09-01T00:00:00"/>
    <s v="310882422812"/>
    <s v="BDPK-SEK"/>
    <s v="Neubauer Nikoletta"/>
    <d v="2018-07-25T00:00:00"/>
    <d v="2022-07-15T00:00:00"/>
    <n v="400000"/>
    <m/>
    <n v="1"/>
    <s v="Nő"/>
    <n v="400000"/>
    <s v="eszterborocz255@gmail.com"/>
    <s v="Horváth Anikó"/>
    <n v="7"/>
    <s v="Aktív"/>
    <n v="1"/>
    <n v="7"/>
    <s v="magyar"/>
    <n v="400000"/>
  </r>
  <r>
    <s v="Takács Karolina"/>
    <s v="C4OFT7"/>
    <s v="Aktív"/>
    <s v="tanári [4 félév [angol nyelv és kultúra tanára]]"/>
    <x v="0"/>
    <s v="tanárképzés"/>
    <s v="TKK-RTAK-LMHU"/>
    <s v="Budapest"/>
    <s v="Budapest"/>
    <s v="Takács Karolina"/>
    <s v="Magyarország"/>
    <d v="1990-10-05T00:00:00"/>
    <s v="T184417/FI80798"/>
    <x v="4"/>
    <s v="Önköltséges"/>
    <s v="2021/22/1"/>
    <s v="Levelező"/>
    <n v="1"/>
    <n v="1"/>
    <s v="2014/15/2"/>
    <n v="2"/>
    <s v="73156723012"/>
    <n v="4"/>
    <x v="3"/>
    <s v="a központi eljárásban magyarországi képzésre"/>
    <n v="80"/>
    <m/>
    <m/>
    <s v="Felvétel"/>
    <d v="2021-09-01T00:00:00"/>
    <s v="310814449602"/>
    <s v="BDPK-SEK"/>
    <s v="Neubauer Nikoletta"/>
    <d v="2021-07-23T00:00:00"/>
    <d v="2023-07-15T00:00:00"/>
    <m/>
    <m/>
    <n v="0"/>
    <s v="Nő"/>
    <m/>
    <s v="takacslina90@gmail.com"/>
    <s v="Svasznek Tünde"/>
    <n v="2"/>
    <s v="Aktív"/>
    <n v="0"/>
    <n v="2"/>
    <s v="magyar"/>
    <n v="400000"/>
  </r>
  <r>
    <s v="Takácsné Tóth Gabriella"/>
    <s v="X3G27B"/>
    <s v="Aktív"/>
    <s v="tanári [4 félév [angol nyelv és kultúra tanára]]"/>
    <x v="0"/>
    <s v="tanárképzés"/>
    <s v="TKK-RTAK-LMHU"/>
    <s v="Nagykanizsa"/>
    <s v="Zala"/>
    <s v="Tóth Gabriella"/>
    <s v="Magyarország"/>
    <d v="1978-04-19T00:00:00"/>
    <s v="T169409/FI80798"/>
    <x v="4"/>
    <s v="Állami ösztöndíjas"/>
    <s v="2020/21/1"/>
    <s v="Levelező"/>
    <n v="2"/>
    <n v="1"/>
    <s v="2021/22/2"/>
    <n v="2"/>
    <s v="72990978180"/>
    <n v="4"/>
    <x v="3"/>
    <s v="a központi eljárásban magyarországi képzésre"/>
    <n v="86"/>
    <m/>
    <m/>
    <s v="Felvétel"/>
    <d v="2020-09-01T00:00:00"/>
    <s v="310804025693"/>
    <s v="BDPK-SEK"/>
    <s v="Neubauer Nikoletta"/>
    <d v="2020-07-23T00:00:00"/>
    <d v="2022-07-15T00:00:00"/>
    <n v="400000"/>
    <m/>
    <n v="3"/>
    <s v="Nő"/>
    <n v="400000"/>
    <s v="takacs.net@gmail.com"/>
    <s v="Lukács Ilona"/>
    <n v="4"/>
    <s v="Aktív"/>
    <n v="4"/>
    <n v="4"/>
    <s v="magyar"/>
    <m/>
  </r>
  <r>
    <s v="Di Nunzio-Kersner Julia"/>
    <s v="LVQQ4X"/>
    <s v="Aktív"/>
    <s v="tanári [4 félév [angol nyelv és kultúra tanára]]"/>
    <x v="0"/>
    <s v="tanárképzés"/>
    <s v="TKK-RTAK-LMHU"/>
    <s v="Budapest"/>
    <s v="Budapest"/>
    <s v="Kersner Julia"/>
    <s v="Magyarország"/>
    <d v="1986-03-07T00:00:00"/>
    <s v="T170355/FI80798"/>
    <x v="4"/>
    <s v="Önköltséges"/>
    <s v="2020/21/1"/>
    <s v="Levelező"/>
    <n v="1"/>
    <n v="1"/>
    <s v="2011/12/1"/>
    <n v="2"/>
    <s v="72260006010"/>
    <n v="4"/>
    <x v="3"/>
    <s v="a központi eljárásban magyarországi képzésre"/>
    <n v="84"/>
    <m/>
    <m/>
    <s v="Felvétel"/>
    <d v="2020-09-01T00:00:00"/>
    <s v="310804043753"/>
    <s v="BDPK-SEK"/>
    <s v="Neubauer Nikoletta"/>
    <d v="2020-07-23T00:00:00"/>
    <d v="2022-07-15T00:00:00"/>
    <m/>
    <m/>
    <n v="0"/>
    <s v="Nő"/>
    <m/>
    <s v="jkersner@gmail.com"/>
    <s v="Harazova Natalja"/>
    <n v="4"/>
    <s v="Aktív"/>
    <n v="0"/>
    <n v="4"/>
    <s v="magyar"/>
    <n v="400000"/>
  </r>
  <r>
    <s v="Meszár Judit"/>
    <s v="G3MCM6"/>
    <s v="Aktív"/>
    <s v="tanári [4 félév [angol nyelv és kultúra tanára]]"/>
    <x v="0"/>
    <s v="tanárképzés"/>
    <s v="TKK-RTAK-LMHU"/>
    <s v="Szombathely"/>
    <s v="Vas"/>
    <s v="Gerencsér Judit"/>
    <s v="Magyarország"/>
    <d v="1984-04-06T00:00:00"/>
    <s v="T167602/FI80798"/>
    <x v="4"/>
    <s v="Önköltséges"/>
    <s v="2020/21/1"/>
    <s v="Levelező"/>
    <n v="1"/>
    <n v="1"/>
    <s v="2020/21/2"/>
    <n v="2"/>
    <s v="72966410076"/>
    <n v="4"/>
    <x v="3"/>
    <s v="a központi eljárásban magyarországi képzésre"/>
    <n v="80"/>
    <m/>
    <m/>
    <s v="Felvétel"/>
    <d v="2020-09-01T00:00:00"/>
    <s v="310804080995"/>
    <s v="BDPK-SEK"/>
    <s v="Neubauer Nikoletta"/>
    <d v="2020-07-23T00:00:00"/>
    <d v="2022-07-15T00:00:00"/>
    <n v="400000"/>
    <m/>
    <n v="2"/>
    <s v="Nő"/>
    <n v="400000"/>
    <s v="varosutcafalu@gmail.com"/>
    <s v="Vincze Ilona"/>
    <n v="4"/>
    <s v="Aktív"/>
    <n v="2"/>
    <n v="4"/>
    <s v="magyar"/>
    <n v="400000"/>
  </r>
  <r>
    <s v="Grala-Mezei Malgorzata"/>
    <s v="KO485N"/>
    <s v="Passzív"/>
    <s v="tanári [4 félév [angol nyelv és kultúra tanára]]"/>
    <x v="0"/>
    <s v="tanárképzés"/>
    <s v="TKK-RTAK-LMHU"/>
    <s v="Zelechów"/>
    <m/>
    <s v="Grala Malgorzata"/>
    <s v="Lengyelország"/>
    <d v="1975-03-28T00:00:00"/>
    <s v="T172340/FI80798"/>
    <x v="4"/>
    <s v="Állami ösztöndíjas"/>
    <s v="2020/21/1"/>
    <s v="Levelező"/>
    <n v="12"/>
    <m/>
    <m/>
    <n v="2"/>
    <s v="73366755436"/>
    <n v="4"/>
    <x v="3"/>
    <s v="a központi eljárásban magyarországi képzésre"/>
    <n v="88"/>
    <m/>
    <m/>
    <s v="Felvétel"/>
    <d v="2020-09-02T00:00:00"/>
    <s v="310904094789"/>
    <s v="BDPK-SEK"/>
    <s v="Neubauer Nikoletta"/>
    <d v="2020-08-27T00:00:00"/>
    <d v="2023-07-15T00:00:00"/>
    <n v="400000"/>
    <m/>
    <n v="0"/>
    <s v="Nő"/>
    <n v="400000"/>
    <s v="gosia.gralamezei@gmail.com"/>
    <s v="Staniak Jadwiga"/>
    <n v="2"/>
    <s v="Passzív"/>
    <m/>
    <n v="2"/>
    <s v="lengyel"/>
    <m/>
  </r>
  <r>
    <s v="Ila Viktória"/>
    <s v="ETQIGX"/>
    <s v="Aktív"/>
    <s v="tanári [4 félév [angol nyelv és kultúra tanára]]"/>
    <x v="0"/>
    <s v="tanárképzés"/>
    <s v="TKK-RTAK-LMHU"/>
    <s v="Barcs"/>
    <s v="Somogy"/>
    <s v="Ila Viktória"/>
    <s v="Magyarország"/>
    <d v="1981-04-25T00:00:00"/>
    <s v="T184129/FI80798"/>
    <x v="4"/>
    <s v="Állami ösztöndíjas"/>
    <s v="2021/22/1"/>
    <s v="Levelező"/>
    <n v="11"/>
    <n v="1"/>
    <s v="2021/22/2"/>
    <n v="2"/>
    <s v="71475612351"/>
    <n v="4"/>
    <x v="3"/>
    <s v="a központi eljárásban magyarországi képzésre"/>
    <n v="81"/>
    <m/>
    <m/>
    <s v="Felvétel"/>
    <d v="2021-09-01T00:00:00"/>
    <s v="310814782572"/>
    <s v="BDPK-SEK"/>
    <s v="Neubauer Nikoletta"/>
    <d v="2021-07-23T00:00:00"/>
    <d v="2023-07-15T00:00:00"/>
    <n v="400000"/>
    <m/>
    <n v="1"/>
    <s v="Nő"/>
    <n v="400000"/>
    <s v="ilaviki25@gmail.com"/>
    <s v="Csikós Margit"/>
    <n v="2"/>
    <s v="Aktív"/>
    <n v="2"/>
    <n v="2"/>
    <s v="magyar"/>
    <m/>
  </r>
  <r>
    <s v="Szentendrei Balázs"/>
    <s v="CWPRMS"/>
    <s v="Passzív"/>
    <s v="tanári [4 félév [angol nyelv és kultúra tanára]]"/>
    <x v="0"/>
    <s v="tanárképzés"/>
    <s v="TKK-RTAK-LMHU"/>
    <s v="Csorna"/>
    <s v="Győr-Moson-Sopron"/>
    <s v="Szentendrei Balázs"/>
    <s v="Magyarország"/>
    <d v="1977-06-14T00:00:00"/>
    <s v="T190881/FI80798"/>
    <x v="4"/>
    <s v="Állami ösztöndíjas"/>
    <s v="2021/22/1"/>
    <s v="Levelező"/>
    <n v="5"/>
    <n v="1"/>
    <s v="2021/22/1"/>
    <n v="2"/>
    <s v="72030521466"/>
    <n v="4"/>
    <x v="3"/>
    <s v="a központi eljárásban magyarországi képzésre"/>
    <n v="85"/>
    <m/>
    <m/>
    <s v="Felvétel"/>
    <d v="2021-09-01T00:00:00"/>
    <s v="310815095883"/>
    <s v="BDPK-SEK"/>
    <s v="Neubauer Nikoletta"/>
    <d v="2021-07-23T00:00:00"/>
    <d v="2024-07-15T00:00:00"/>
    <n v="400000"/>
    <m/>
    <n v="1"/>
    <s v="Férfi"/>
    <n v="400000"/>
    <s v="bszentendrei4@gmail.com"/>
    <s v="Süly Friderika"/>
    <n v="1"/>
    <s v="Passzív"/>
    <m/>
    <n v="1"/>
    <s v="magyar"/>
    <m/>
  </r>
  <r>
    <s v="Velekei Balázs Attila Dr."/>
    <s v="G4OFOB"/>
    <s v="Aktív"/>
    <s v="tanári [4 félév [biológiatanár (egészségtan)]]"/>
    <x v="1"/>
    <s v="tanárképzés"/>
    <s v="TKK-RTAK-LMHU"/>
    <s v="Baja"/>
    <s v="Bács-Kiskun"/>
    <s v="Velekei Balázs Attila Dr."/>
    <s v="Magyarország"/>
    <d v="1980-04-07T00:00:00"/>
    <s v="T169211/FI80798"/>
    <x v="4"/>
    <s v="Önköltséges"/>
    <s v="2020/21/1"/>
    <s v="Levelező"/>
    <m/>
    <m/>
    <m/>
    <n v="2"/>
    <s v="71578984460"/>
    <n v="4"/>
    <x v="3"/>
    <s v="a központi eljárásban magyarországi képzésre"/>
    <n v="85"/>
    <m/>
    <m/>
    <s v="Felvétel"/>
    <d v="2020-09-01T00:00:00"/>
    <s v="310804978214"/>
    <s v="BDPK-SEK"/>
    <s v="Neubauer Nikoletta"/>
    <d v="2020-07-23T00:00:00"/>
    <d v="2022-07-15T00:00:00"/>
    <m/>
    <m/>
    <n v="0"/>
    <s v="Férfi"/>
    <m/>
    <s v="velekeib@gmail.com"/>
    <s v="Petz Rózsa"/>
    <n v="4"/>
    <s v="Aktív"/>
    <n v="0"/>
    <n v="4"/>
    <s v="magyar"/>
    <n v="400000"/>
  </r>
  <r>
    <s v="Varga-Patocskai Judit"/>
    <s v="G2A9DC"/>
    <s v="Aktív"/>
    <s v="tanári [4 félév [biológiatanár (egészségtan)]]"/>
    <x v="1"/>
    <s v="tanárképzés"/>
    <s v="TKK-RTAK-LMHU"/>
    <s v="Budapest"/>
    <s v="Budapest"/>
    <s v="Patocskai Judit"/>
    <s v="Magyarország"/>
    <d v="1987-01-27T00:00:00"/>
    <s v="T182647/FI80798"/>
    <x v="4"/>
    <s v="Állami ösztöndíjas"/>
    <s v="2021/22/1"/>
    <s v="Levelező"/>
    <n v="2"/>
    <n v="1"/>
    <s v="2021/22/2"/>
    <n v="2"/>
    <s v="74979000023"/>
    <n v="4"/>
    <x v="3"/>
    <s v="a központi eljárásban magyarországi képzésre"/>
    <n v="81"/>
    <m/>
    <m/>
    <s v="Felvétel"/>
    <d v="2021-09-01T00:00:00"/>
    <s v="310814939719"/>
    <s v="BDPK-SEK"/>
    <s v="Neubauer Nikoletta"/>
    <d v="2021-07-23T00:00:00"/>
    <d v="2023-07-15T00:00:00"/>
    <n v="400000"/>
    <m/>
    <n v="2"/>
    <s v="Nő"/>
    <n v="400000"/>
    <s v="udi.patocskai@gmail.com"/>
    <s v="Gál Katalin"/>
    <n v="2"/>
    <s v="Aktív"/>
    <n v="2"/>
    <n v="2"/>
    <s v="magyar"/>
    <m/>
  </r>
  <r>
    <s v="Polgárné Németh Rita"/>
    <s v="GSDSHZ"/>
    <s v="Aktív"/>
    <s v="tanári [4 félév [ének-zene tanár]]"/>
    <x v="6"/>
    <s v="tanárképzés"/>
    <s v="TKK-RTAK-LMHU"/>
    <s v="Csorna"/>
    <s v="Győr-Moson-Sopron"/>
    <s v="Németh Rita"/>
    <s v="Magyarország"/>
    <d v="1978-09-12T00:00:00"/>
    <s v="T168905/FI80798"/>
    <x v="4"/>
    <s v="Állami ösztöndíjas"/>
    <s v="2020/21/1"/>
    <s v="Levelező"/>
    <n v="3"/>
    <n v="1"/>
    <s v="2021/22/2"/>
    <n v="2"/>
    <s v="71739551928"/>
    <n v="4"/>
    <x v="3"/>
    <s v="a központi eljárásban magyarországi képzésre"/>
    <n v="90"/>
    <m/>
    <m/>
    <s v="Felvétel"/>
    <d v="2020-09-01T00:00:00"/>
    <s v="310804115031"/>
    <s v="BDPK-SEK"/>
    <s v="Neubauer Nikoletta"/>
    <d v="2020-07-23T00:00:00"/>
    <d v="2022-07-15T00:00:00"/>
    <n v="400000"/>
    <m/>
    <n v="3"/>
    <s v="Nő"/>
    <n v="400000"/>
    <s v="polgarrita7@gmail.com"/>
    <s v="Vági Edit Teréz"/>
    <n v="4"/>
    <s v="Aktív"/>
    <n v="4"/>
    <n v="4"/>
    <s v="magyar"/>
    <m/>
  </r>
  <r>
    <s v="Nino-Majtény Zsófia"/>
    <s v="B0Z1ZT"/>
    <s v="Aktív"/>
    <s v="tanári [4 félév [ének-zene tanár]]"/>
    <x v="6"/>
    <s v="tanárképzés"/>
    <s v="TKK-RTAK-LMHU"/>
    <s v="Medgyesegyháza"/>
    <s v="Békés"/>
    <s v="Majtény Zsófia"/>
    <s v="Magyarország"/>
    <d v="1984-04-13T00:00:00"/>
    <s v="T186198/FI80798"/>
    <x v="4"/>
    <s v="Önköltséges"/>
    <s v="2021/22/1"/>
    <s v="Levelező"/>
    <n v="1"/>
    <n v="1"/>
    <s v="2021/22/1"/>
    <n v="2"/>
    <s v="71751579358"/>
    <n v="4"/>
    <x v="3"/>
    <s v="a központi eljárásban magyarországi képzésre"/>
    <n v="92"/>
    <m/>
    <m/>
    <s v="Felvétel"/>
    <d v="2021-09-01T00:00:00"/>
    <s v="310814574581"/>
    <s v="BDPK-SEK"/>
    <s v="Neubauer Nikoletta"/>
    <d v="2021-07-23T00:00:00"/>
    <d v="2023-07-15T00:00:00"/>
    <n v="400000"/>
    <m/>
    <n v="1"/>
    <s v="Nő"/>
    <n v="400000"/>
    <s v="majata13@gmail.com"/>
    <s v="Vámosi Éva"/>
    <n v="2"/>
    <s v="Aktív"/>
    <n v="1"/>
    <n v="2"/>
    <s v="magyar"/>
    <n v="400000"/>
  </r>
  <r>
    <s v="Kucsora Ágnes"/>
    <s v="IAO9PX"/>
    <s v="Aktív"/>
    <s v="tanári [4 félév [fizikatanár (természettudományos gyakorlatok)]]"/>
    <x v="3"/>
    <s v="tanárképzés"/>
    <s v="TKK-RTAK-LMHU"/>
    <s v="Kazincbarcika"/>
    <s v="Borsod-Abaúj-Zemplén"/>
    <s v="Kucsora Ágnes"/>
    <s v="Magyarország"/>
    <d v="1972-12-04T00:00:00"/>
    <s v="T182752/FI80798"/>
    <x v="4"/>
    <s v="Önköltséges"/>
    <s v="2021/22/1"/>
    <s v="Levelező"/>
    <n v="-1"/>
    <n v="1"/>
    <s v="2011/12/2"/>
    <n v="2"/>
    <s v="75041662056"/>
    <n v="4"/>
    <x v="3"/>
    <s v="a központi eljárásban magyarországi képzésre"/>
    <n v="90"/>
    <m/>
    <m/>
    <s v="Felvétel"/>
    <d v="2021-09-01T00:00:00"/>
    <s v="310814847177"/>
    <s v="BDPK-SEK"/>
    <s v="Neubauer Nikoletta"/>
    <d v="2021-07-23T00:00:00"/>
    <d v="2023-07-15T00:00:00"/>
    <m/>
    <m/>
    <n v="0"/>
    <s v="Nő"/>
    <m/>
    <s v="kucsoraagnes72@gmail.com"/>
    <s v="Mikita Ágnes"/>
    <n v="2"/>
    <s v="Aktív"/>
    <n v="0"/>
    <n v="2"/>
    <s v="magyar"/>
    <n v="400000"/>
  </r>
  <r>
    <s v="Paál Valéria"/>
    <s v="B60YCK"/>
    <s v="Aktív"/>
    <s v="tanári [4 félév [fizikatanár (természettudományos gyakorlatok)]]"/>
    <x v="3"/>
    <s v="tanárképzés"/>
    <s v="TKK-RTAK-LMHU"/>
    <s v="Celldömölk"/>
    <s v="Vas"/>
    <s v="Paál Valéria"/>
    <s v="Magyarország"/>
    <d v="1978-03-07T00:00:00"/>
    <s v="T180336/FI80798"/>
    <x v="4"/>
    <s v="Állami ösztöndíjas"/>
    <s v="2021/22/1"/>
    <s v="Levelező"/>
    <n v="11"/>
    <n v="1"/>
    <s v="2021/22/2"/>
    <n v="2"/>
    <s v="73593642785"/>
    <n v="4"/>
    <x v="3"/>
    <s v="a központi eljárásban magyarországi képzésre"/>
    <n v="80"/>
    <m/>
    <m/>
    <s v="Felvétel"/>
    <d v="2021-09-01T00:00:00"/>
    <s v="310814311398"/>
    <s v="BDPK-SEK"/>
    <s v="Neubauer Nikoletta"/>
    <d v="2021-07-23T00:00:00"/>
    <d v="2023-07-15T00:00:00"/>
    <n v="400000"/>
    <m/>
    <n v="1"/>
    <s v="Nő"/>
    <n v="400000"/>
    <s v="paalvaleria78@gmail.com"/>
    <s v="Kovács Magdolna"/>
    <n v="2"/>
    <s v="Aktív"/>
    <n v="2"/>
    <n v="2"/>
    <s v="magyar"/>
    <m/>
  </r>
  <r>
    <s v="Pintér Géza"/>
    <s v="EET064"/>
    <s v="Aktív"/>
    <s v="tanári [4 félév [földrajztanár]]"/>
    <x v="12"/>
    <s v="tanárképzés"/>
    <s v="TKK-RTAK-LMHU"/>
    <s v="Szombathely"/>
    <s v="Vas"/>
    <s v="Pintér Géza"/>
    <s v="Magyarország"/>
    <d v="1992-07-25T00:00:00"/>
    <s v="T171264/FI80798"/>
    <x v="4"/>
    <s v="Önköltséges"/>
    <s v="2020/21/1"/>
    <s v="Levelező"/>
    <n v="1"/>
    <n v="1"/>
    <s v="2021/22/1"/>
    <n v="2"/>
    <s v="71479584371"/>
    <n v="4"/>
    <x v="3"/>
    <s v="a központi eljárásban magyarországi képzésre"/>
    <n v="90"/>
    <m/>
    <m/>
    <s v="Felvétel"/>
    <d v="2020-09-01T00:00:00"/>
    <s v="310904053546"/>
    <s v="BDPK-SEK"/>
    <s v="Neubauer Nikoletta"/>
    <d v="2020-08-27T00:00:00"/>
    <d v="2022-07-15T00:00:00"/>
    <n v="400000"/>
    <m/>
    <n v="1"/>
    <s v="Férfi"/>
    <n v="400000"/>
    <s v="geza92@hotmail.com"/>
    <s v="Tóth Ildikó"/>
    <n v="4"/>
    <s v="Aktív"/>
    <n v="1"/>
    <n v="4"/>
    <s v="magyar"/>
    <n v="400000"/>
  </r>
  <r>
    <s v="Tibolt Zoltán"/>
    <s v="B0TFVD"/>
    <s v="Passzív"/>
    <s v="tanári [4 félév [földrajztanár]]"/>
    <x v="12"/>
    <s v="tanárképzés"/>
    <s v="TKK-RTAK-LMHU"/>
    <s v="Sümeg"/>
    <s v="Veszprém"/>
    <s v="Tibolt Zoltán"/>
    <s v="Magyarország"/>
    <d v="1978-05-08T00:00:00"/>
    <s v="T142830/FI80798"/>
    <x v="4"/>
    <s v="Állami ösztöndíjas"/>
    <s v="2018/19/1"/>
    <s v="Levelező"/>
    <n v="2"/>
    <n v="1"/>
    <s v="2021/22/1"/>
    <n v="2"/>
    <s v="74088436864"/>
    <n v="4"/>
    <x v="3"/>
    <s v="a központi eljárásban magyarországi képzésre"/>
    <n v="85"/>
    <m/>
    <m/>
    <s v="Felvétel"/>
    <d v="2018-09-01T00:00:00"/>
    <s v="310882431987"/>
    <s v="BDPK-SEK"/>
    <s v="Neubauer Nikoletta"/>
    <d v="2018-07-25T00:00:00"/>
    <d v="2023-07-15T00:00:00"/>
    <n v="400000"/>
    <m/>
    <n v="3"/>
    <s v="Férfi"/>
    <n v="400000"/>
    <s v="zeleke@gmail.hu"/>
    <s v="Szabó Edit"/>
    <n v="3"/>
    <s v="Passzív"/>
    <m/>
    <n v="3"/>
    <s v="magyar"/>
    <m/>
  </r>
  <r>
    <s v="Mijó Szabina"/>
    <s v="YHKJJV"/>
    <s v="Aktív"/>
    <s v="tanári [4 félév [földrajztanár]]"/>
    <x v="12"/>
    <s v="tanárképzés"/>
    <s v="TKK-RTAK-LMHU"/>
    <s v="Zalaegerszeg"/>
    <s v="Zala"/>
    <s v="Mijó Szabina"/>
    <s v="Magyarország"/>
    <d v="1976-02-11T00:00:00"/>
    <s v="T172479/FI80798"/>
    <x v="4"/>
    <s v="Önköltséges"/>
    <s v="2020/21/1"/>
    <s v="Levelező"/>
    <n v="12"/>
    <m/>
    <m/>
    <n v="2"/>
    <s v="71591317783"/>
    <n v="4"/>
    <x v="3"/>
    <s v="a központi eljárásban magyarországi képzésre"/>
    <n v="85"/>
    <m/>
    <m/>
    <s v="Felvétel"/>
    <d v="2020-09-03T00:00:00"/>
    <s v="310904066084"/>
    <s v="BDPK-SEK"/>
    <s v="Neubauer Nikoletta"/>
    <d v="2020-08-27T00:00:00"/>
    <d v="2022-07-15T00:00:00"/>
    <m/>
    <m/>
    <n v="0"/>
    <s v="Nő"/>
    <m/>
    <s v="mijoszabina@gmail.com"/>
    <s v="Dömők Katalin"/>
    <n v="4"/>
    <s v="Aktív"/>
    <n v="0"/>
    <n v="4"/>
    <s v="magyar"/>
    <n v="400000"/>
  </r>
  <r>
    <s v="Makáriné Horváth Erzsébet"/>
    <s v="DK9ZM5"/>
    <s v="Aktív"/>
    <s v="tanári [4 félév [földrajztanár]]"/>
    <x v="12"/>
    <s v="tanárképzés"/>
    <s v="TKK-RTAK-LMHU"/>
    <s v="Kapuvár"/>
    <s v="Győr-Moson-Sopron"/>
    <s v="Horváth Erzsébet"/>
    <s v="Magyarország"/>
    <d v="1979-12-19T00:00:00"/>
    <s v="T189165/FI80798"/>
    <x v="4"/>
    <s v="Állami ösztöndíjas"/>
    <s v="2021/22/1"/>
    <s v="Levelező"/>
    <n v="11"/>
    <n v="1"/>
    <s v="2021/22/2"/>
    <n v="2"/>
    <s v="71666352660"/>
    <n v="4"/>
    <x v="3"/>
    <s v="a központi eljárásban magyarországi képzésre"/>
    <n v="80"/>
    <m/>
    <m/>
    <s v="Felvétel"/>
    <d v="2021-09-01T00:00:00"/>
    <s v="310814759992"/>
    <s v="BDPK-SEK"/>
    <s v="Neubauer Nikoletta"/>
    <d v="2021-07-23T00:00:00"/>
    <d v="2023-07-15T00:00:00"/>
    <n v="400000"/>
    <m/>
    <n v="1"/>
    <s v="Nő"/>
    <n v="400000"/>
    <s v="bobe79.h@gmail.com"/>
    <s v="Zsirai Erzsébet"/>
    <n v="2"/>
    <s v="Aktív"/>
    <n v="2"/>
    <n v="2"/>
    <s v="magyar"/>
    <m/>
  </r>
  <r>
    <s v="Főző Tamás"/>
    <s v="HDI9HF"/>
    <s v="Aktív"/>
    <s v="tanári [4 félév [kémiatanár]]"/>
    <x v="13"/>
    <s v="tanárképzés"/>
    <s v="TKK-RTAK-LMHU"/>
    <s v="Budapest"/>
    <s v="Budapest"/>
    <s v="Főző Tamás"/>
    <s v="Magyarország"/>
    <d v="1985-04-23T00:00:00"/>
    <s v="T190545/FI80798"/>
    <x v="4"/>
    <s v="Önköltséges"/>
    <s v="2021/22/1"/>
    <s v="Levelező"/>
    <n v="2"/>
    <n v="1"/>
    <s v="2008/09/2"/>
    <n v="2"/>
    <s v="74090140071"/>
    <n v="4"/>
    <x v="3"/>
    <s v="a központi eljárásban magyarországi képzésre"/>
    <n v="88"/>
    <m/>
    <m/>
    <s v="Felvétel"/>
    <d v="2021-09-01T00:00:00"/>
    <s v="310914003994"/>
    <s v="BDPK-SEK"/>
    <s v="Neubauer Nikoletta"/>
    <d v="2021-08-27T00:00:00"/>
    <d v="2023-07-15T00:00:00"/>
    <m/>
    <m/>
    <n v="0"/>
    <s v="Férfi"/>
    <m/>
    <s v="foezoetamas@gmail.com"/>
    <s v="Várhelyi Márta Katalin"/>
    <n v="2"/>
    <s v="Aktív"/>
    <n v="0"/>
    <n v="2"/>
    <s v="magyar"/>
    <n v="400000"/>
  </r>
  <r>
    <s v="Kiss Klaudia"/>
    <s v="SX9JAZ"/>
    <s v="Aktív"/>
    <s v="tanári [4 félév [kémiatanár]]"/>
    <x v="13"/>
    <s v="tanárképzés"/>
    <s v="TKK-RTAK-LMHU"/>
    <s v="Budapest"/>
    <s v="Budapest"/>
    <s v="Kiss Klaudia"/>
    <s v="Magyarország"/>
    <d v="1983-07-08T00:00:00"/>
    <s v="T170169/FI80798"/>
    <x v="4"/>
    <s v="Önköltséges"/>
    <s v="2020/21/1"/>
    <s v="Levelező"/>
    <n v="1"/>
    <n v="1"/>
    <s v="2020/21/2"/>
    <n v="2"/>
    <s v="71396088006"/>
    <n v="4"/>
    <x v="3"/>
    <s v="a központi eljárásban magyarországi képzésre"/>
    <n v="90"/>
    <m/>
    <m/>
    <s v="Felvétel"/>
    <d v="2020-09-01T00:00:00"/>
    <s v="310804815283"/>
    <s v="BDPK-SEK"/>
    <s v="Neubauer Nikoletta"/>
    <d v="2020-07-23T00:00:00"/>
    <d v="2023-07-15T00:00:00"/>
    <n v="400000"/>
    <m/>
    <n v="2"/>
    <s v="Nő"/>
    <n v="400000"/>
    <s v="kissklau7@gmail.com"/>
    <s v="Bánlaki Éva"/>
    <n v="3"/>
    <s v="Aktív"/>
    <n v="2"/>
    <n v="3"/>
    <s v="magyar"/>
    <n v="400000"/>
  </r>
  <r>
    <s v="Nagy Gábor"/>
    <s v="QFN1TX"/>
    <s v="Aktív"/>
    <s v="tanári [4 félév [kémiatanár]]"/>
    <x v="13"/>
    <s v="tanárképzés"/>
    <s v="TKK-RTAK-LMHU"/>
    <s v="Komló"/>
    <s v="Baranya"/>
    <s v="Nagy Gábor"/>
    <s v="Magyarország"/>
    <d v="1993-10-14T00:00:00"/>
    <s v="T190640/FI80798"/>
    <x v="4"/>
    <s v="Önköltséges"/>
    <s v="2021/22/1"/>
    <s v="Levelező"/>
    <n v="1"/>
    <n v="1"/>
    <s v="2018/19/2"/>
    <n v="2"/>
    <s v="74754789194"/>
    <n v="4"/>
    <x v="3"/>
    <s v="a központi eljárásban magyarországi képzésre"/>
    <n v="85"/>
    <m/>
    <m/>
    <s v="Felvétel"/>
    <d v="2021-09-01T00:00:00"/>
    <s v="310914089688"/>
    <s v="BDPK-SEK"/>
    <s v="Neubauer Nikoletta"/>
    <d v="2021-08-27T00:00:00"/>
    <d v="2023-07-15T00:00:00"/>
    <m/>
    <m/>
    <n v="0"/>
    <s v="Férfi"/>
    <m/>
    <s v="gabor.nagypte@gmail.com"/>
    <s v="Geresdi Gyöngyi"/>
    <n v="2"/>
    <s v="Aktív"/>
    <n v="0"/>
    <n v="2"/>
    <s v="magyar"/>
    <n v="400000"/>
  </r>
  <r>
    <s v="Zelkó Réka"/>
    <s v="GYE7PS"/>
    <s v="Aktív"/>
    <s v="tanári [4 félév [magyartanár]]"/>
    <x v="14"/>
    <s v="tanárképzés"/>
    <s v="TKK-RTAK-LMHU"/>
    <s v="Zalaegerszeg"/>
    <s v="Zala"/>
    <s v="Zelkó Réka"/>
    <s v="Magyarország"/>
    <d v="1998-01-15T00:00:00"/>
    <s v="T184476/FI80798"/>
    <x v="4"/>
    <s v="Állami ösztöndíjas"/>
    <s v="2021/22/1"/>
    <s v="Levelező"/>
    <n v="3"/>
    <n v="1"/>
    <s v="2021/22/2"/>
    <n v="2"/>
    <s v="73478617758"/>
    <n v="4"/>
    <x v="3"/>
    <s v="a központi eljárásban magyarországi képzésre"/>
    <n v="85"/>
    <m/>
    <m/>
    <s v="Felvétel"/>
    <d v="2021-09-01T00:00:00"/>
    <s v="310814411735"/>
    <s v="BDPK-SEK"/>
    <s v="Neubauer Nikoletta"/>
    <d v="2021-07-23T00:00:00"/>
    <d v="2023-07-15T00:00:00"/>
    <n v="400000"/>
    <m/>
    <n v="1"/>
    <s v="Nő"/>
    <n v="400000"/>
    <s v="zelkoreka@gmail.com"/>
    <s v="Keresztes Mónika"/>
    <n v="2"/>
    <s v="Aktív"/>
    <n v="2"/>
    <n v="2"/>
    <s v="magyar"/>
    <m/>
  </r>
  <r>
    <s v="Vincze Izabella"/>
    <s v="D8KSDQ"/>
    <s v="Aktív"/>
    <s v="tanári [4 félév [magyartanár]]"/>
    <x v="14"/>
    <s v="tanárképzés"/>
    <s v="TKK-RTAK-LMHU"/>
    <s v="Brasov"/>
    <m/>
    <s v="Vincze Izabella"/>
    <s v="Románia"/>
    <d v="1997-10-01T00:00:00"/>
    <s v="T163231/FI80798"/>
    <x v="4"/>
    <s v="Állami ösztöndíjas"/>
    <s v="2020/21/1"/>
    <s v="Levelező"/>
    <n v="1"/>
    <n v="1"/>
    <s v="2021/22/2"/>
    <n v="2"/>
    <s v="73255034849"/>
    <n v="4"/>
    <x v="3"/>
    <s v="a központi eljárásban magyarországi képzésre"/>
    <n v="88"/>
    <m/>
    <m/>
    <s v="Felvétel"/>
    <d v="2020-09-01T00:00:00"/>
    <s v="310804812181"/>
    <s v="BDPK-SEK"/>
    <s v="Neubauer Nikoletta"/>
    <d v="2020-07-23T00:00:00"/>
    <d v="2022-07-15T00:00:00"/>
    <n v="400000"/>
    <m/>
    <n v="3"/>
    <s v="Nő"/>
    <n v="400000"/>
    <s v="izabellavincze97@gmail.com"/>
    <s v="Pap Enikő"/>
    <n v="4"/>
    <s v="Aktív"/>
    <n v="4"/>
    <n v="4"/>
    <s v="magyar"/>
    <m/>
  </r>
  <r>
    <s v="Fürjné Nyeste Edit"/>
    <s v="GKE33F"/>
    <s v="Aktív"/>
    <s v="tanári [4 félév [magyartanár]]"/>
    <x v="14"/>
    <s v="tanárképzés"/>
    <s v="TKK-RTAK-LMHU"/>
    <s v="Debrecen"/>
    <s v="Hajdú-Bihar"/>
    <s v="Nyeste Edit"/>
    <s v="Magyarország"/>
    <d v="1976-07-19T00:00:00"/>
    <s v="T182438/FI80798"/>
    <x v="4"/>
    <s v="Önköltséges"/>
    <s v="2021/22/1"/>
    <s v="Levelező"/>
    <n v="1"/>
    <n v="1"/>
    <s v="2021/22/1"/>
    <n v="2"/>
    <s v="72989731126"/>
    <n v="4"/>
    <x v="3"/>
    <s v="a központi eljárásban magyarországi képzésre"/>
    <n v="85"/>
    <m/>
    <m/>
    <s v="Felvétel"/>
    <d v="2021-09-01T00:00:00"/>
    <s v="310814037746"/>
    <s v="BDPK-SEK"/>
    <s v="Neubauer Nikoletta"/>
    <d v="2021-07-23T00:00:00"/>
    <d v="2023-07-15T00:00:00"/>
    <n v="400000"/>
    <m/>
    <n v="1"/>
    <s v="Nő"/>
    <n v="400000"/>
    <s v="edit_nyeste@yahoo.com"/>
    <s v="Bajzát Erzsébet"/>
    <n v="2"/>
    <s v="Aktív"/>
    <n v="1"/>
    <n v="2"/>
    <s v="magyar"/>
    <n v="400000"/>
  </r>
  <r>
    <s v="Nagy Emőke Enikő"/>
    <s v="A4ZYWR"/>
    <s v="Aktív"/>
    <s v="tanári [4 félév [magyartanár]]"/>
    <x v="14"/>
    <s v="tanárképzés"/>
    <s v="TKK-RTAK-LMHU"/>
    <s v="Sopron"/>
    <s v="Győr-Moson-Sopron"/>
    <s v="Nagy Emőke Enikő"/>
    <s v="Magyarország"/>
    <d v="1995-01-16T00:00:00"/>
    <s v="T166652/FI80798"/>
    <x v="4"/>
    <s v="Önköltséges"/>
    <s v="2020/21/1"/>
    <s v="Levelező"/>
    <n v="1"/>
    <n v="1"/>
    <s v="2020/21/2"/>
    <n v="2"/>
    <s v="79698281106"/>
    <n v="4"/>
    <x v="3"/>
    <s v="a központi eljárásban magyarországi képzésre"/>
    <n v="83"/>
    <m/>
    <m/>
    <s v="Felvétel"/>
    <d v="2020-09-01T00:00:00"/>
    <s v="310804618018"/>
    <s v="BDPK-SEK"/>
    <s v="Neubauer Nikoletta"/>
    <d v="2020-07-23T00:00:00"/>
    <d v="2022-07-15T00:00:00"/>
    <n v="400000"/>
    <m/>
    <n v="2"/>
    <s v="Nő"/>
    <n v="400000"/>
    <s v="emieni@freemail.hu"/>
    <s v="Bedőcs Emőke"/>
    <n v="4"/>
    <s v="Aktív"/>
    <n v="2"/>
    <n v="4"/>
    <s v="magyar"/>
    <n v="400000"/>
  </r>
  <r>
    <s v="Csollány Boglárka"/>
    <s v="PMK19R"/>
    <s v="Aktív"/>
    <s v="tanári [4 félév [matematikatanár]]"/>
    <x v="7"/>
    <s v="tanárképzés"/>
    <s v="TKK-RTAK-LMHU"/>
    <s v="Szombathely"/>
    <s v="Vas"/>
    <s v="Csollány Boglárka"/>
    <s v="Magyarország"/>
    <d v="1993-12-09T00:00:00"/>
    <s v="T169816/FI80798"/>
    <x v="4"/>
    <s v="Önköltséges"/>
    <s v="2020/21/1"/>
    <s v="Levelező"/>
    <n v="1"/>
    <n v="1"/>
    <s v="2017/18/2"/>
    <n v="2"/>
    <s v="72443201957"/>
    <n v="4"/>
    <x v="3"/>
    <s v="a központi eljárásban magyarországi képzésre"/>
    <n v="87"/>
    <m/>
    <m/>
    <s v="Felvétel"/>
    <d v="2020-09-01T00:00:00"/>
    <s v="310804407776"/>
    <s v="BDPK-SEK"/>
    <s v="Neubauer Nikoletta"/>
    <d v="2020-07-23T00:00:00"/>
    <d v="2023-07-15T00:00:00"/>
    <m/>
    <m/>
    <n v="0"/>
    <s v="Nő"/>
    <m/>
    <s v="boglarkac@gmail.com"/>
    <s v="Horváth Krisztina"/>
    <n v="3"/>
    <s v="Aktív"/>
    <n v="0"/>
    <n v="3"/>
    <s v="magyar"/>
    <n v="400000"/>
  </r>
  <r>
    <s v="Halászné Gats Mária"/>
    <s v="IRADZC"/>
    <s v="Aktív"/>
    <s v="tanári [4 félév [matematikatanár]]"/>
    <x v="7"/>
    <s v="tanárképzés"/>
    <s v="TKK-RTAK-LMHU"/>
    <s v="Kapuvár"/>
    <s v="Győr-Moson-Sopron"/>
    <s v="Gats Mária"/>
    <s v="Magyarország"/>
    <d v="1978-03-10T00:00:00"/>
    <s v="T183784/FI80798"/>
    <x v="4"/>
    <s v="Állami ösztöndíjas"/>
    <s v="2021/22/1"/>
    <s v="Levelező"/>
    <n v="4"/>
    <n v="1"/>
    <s v="2021/22/2"/>
    <n v="2"/>
    <s v="72946205873"/>
    <n v="4"/>
    <x v="3"/>
    <s v="a központi eljárásban magyarországi képzésre"/>
    <n v="77"/>
    <m/>
    <m/>
    <s v="Felvétel"/>
    <d v="2021-09-01T00:00:00"/>
    <s v="310814709856"/>
    <s v="BDPK-SEK"/>
    <s v="Neubauer Nikoletta"/>
    <d v="2021-07-23T00:00:00"/>
    <d v="2023-07-15T00:00:00"/>
    <n v="400000"/>
    <m/>
    <n v="2"/>
    <s v="Nő"/>
    <n v="400000"/>
    <s v="gatsmary@freemail.hu"/>
    <s v="Takács Mária Erzsébet"/>
    <n v="2"/>
    <s v="Aktív"/>
    <n v="2"/>
    <n v="2"/>
    <s v="magyar"/>
    <m/>
  </r>
  <r>
    <s v="Kiss Katalin"/>
    <s v="D3M5W4"/>
    <s v="Aktív"/>
    <s v="tanári [4 félév [matematikatanár]]"/>
    <x v="7"/>
    <s v="tanárképzés"/>
    <s v="TKK-RTAK-LMHU"/>
    <s v="Sümeg"/>
    <s v="Veszprém"/>
    <s v="Kiss Katalin"/>
    <s v="Magyarország"/>
    <d v="1975-04-20T00:00:00"/>
    <s v="T169258/FI80798"/>
    <x v="4"/>
    <s v="Állami ösztöndíjas"/>
    <s v="2020/21/1"/>
    <s v="Levelező"/>
    <m/>
    <m/>
    <m/>
    <n v="2"/>
    <s v="78970873351"/>
    <n v="4"/>
    <x v="3"/>
    <s v="a központi eljárásban magyarországi képzésre"/>
    <n v="75"/>
    <m/>
    <m/>
    <s v="Felvétel"/>
    <d v="2020-09-01T00:00:00"/>
    <s v="310804284274"/>
    <s v="BDPK-SEK"/>
    <s v="Neubauer Nikoletta"/>
    <d v="2020-07-23T00:00:00"/>
    <d v="2022-07-15T00:00:00"/>
    <n v="400000"/>
    <m/>
    <n v="4"/>
    <s v="Nő"/>
    <n v="400000"/>
    <s v="kiss.kisske@gmail.com"/>
    <s v="Németh Valéria"/>
    <n v="4"/>
    <s v="Aktív"/>
    <n v="4"/>
    <n v="4"/>
    <s v="magyar"/>
    <m/>
  </r>
  <r>
    <s v="Rostás Antal"/>
    <s v="FB7IJC"/>
    <s v="Passzív"/>
    <s v="tanári [4 félév [matematikatanár]]"/>
    <x v="7"/>
    <s v="tanárképzés"/>
    <s v="TKK-RTAK-LMHU"/>
    <s v="Dány"/>
    <s v="Pest"/>
    <s v="Rostás Antal"/>
    <s v="Magyarország"/>
    <d v="1986-03-16T00:00:00"/>
    <s v="T184668/FI80798"/>
    <x v="4"/>
    <s v="Önköltséges"/>
    <s v="2021/22/1"/>
    <s v="Levelező"/>
    <m/>
    <m/>
    <m/>
    <n v="2"/>
    <s v="73048287454"/>
    <n v="4"/>
    <x v="3"/>
    <s v="a központi eljárásban magyarországi képzésre"/>
    <n v="74"/>
    <m/>
    <m/>
    <s v="Felvétel"/>
    <d v="2021-09-01T00:00:00"/>
    <s v="310815065845"/>
    <s v="BDPK-SEK"/>
    <s v="Neubauer Nikoletta"/>
    <d v="2021-07-23T00:00:00"/>
    <d v="2024-07-15T00:00:00"/>
    <m/>
    <m/>
    <m/>
    <s v="Férfi"/>
    <m/>
    <s v="anti.rostas@gmail.com"/>
    <s v="Kanalas Veronika"/>
    <n v="0"/>
    <s v="Passzív"/>
    <n v="0"/>
    <n v="0"/>
    <s v="magyar"/>
    <m/>
  </r>
  <r>
    <s v="Krompaczky Eszter"/>
    <s v="OW4KSZ"/>
    <s v="Aktív"/>
    <s v="tanári [4 félév [matematikatanár]]"/>
    <x v="7"/>
    <s v="tanárképzés"/>
    <s v="TKK-RTAK-LMHU"/>
    <s v="Szombathely"/>
    <s v="Vas"/>
    <s v="Krompaczky Eszter"/>
    <s v="Magyarország"/>
    <d v="1980-04-11T00:00:00"/>
    <s v="T190375/FI80798"/>
    <x v="4"/>
    <s v="Önköltséges"/>
    <s v="2021/22/1"/>
    <s v="Levelező"/>
    <n v="12"/>
    <m/>
    <m/>
    <n v="2"/>
    <s v="71739301999"/>
    <n v="2"/>
    <x v="3"/>
    <m/>
    <m/>
    <m/>
    <m/>
    <s v="Képzésváltás intézményen belül"/>
    <d v="2021-09-15T00:00:00"/>
    <m/>
    <s v="BDPK-SEK"/>
    <s v="Neubauer Nikoletta"/>
    <d v="2021-08-27T00:00:00"/>
    <d v="2023-07-15T00:00:00"/>
    <m/>
    <m/>
    <n v="0"/>
    <s v="Nő"/>
    <m/>
    <s v="kreszti11@caesar.elte.hu"/>
    <s v="Zséder Erzsébet"/>
    <n v="2"/>
    <s v="Aktív"/>
    <n v="0"/>
    <n v="2"/>
    <s v="magyar"/>
    <n v="400000"/>
  </r>
  <r>
    <s v="Budai Zsanett Eszter"/>
    <s v="C94U8J"/>
    <s v="Aktív"/>
    <s v="tanári [4 félév [matematikatanár]]"/>
    <x v="7"/>
    <s v="tanárképzés"/>
    <s v="TKK-RTAK-LMHU"/>
    <s v="Szombathely"/>
    <s v="Vas"/>
    <s v="Lőrincz Zsanett Eszter"/>
    <s v="Magyarország"/>
    <d v="1981-05-08T00:00:00"/>
    <s v="T165219/FI80798"/>
    <x v="4"/>
    <s v="Állami ösztöndíjas"/>
    <s v="2020/21/1"/>
    <s v="Levelező"/>
    <n v="9"/>
    <n v="1"/>
    <s v="2021/22/2"/>
    <n v="2"/>
    <s v="72532090988"/>
    <n v="4"/>
    <x v="3"/>
    <s v="a központi eljárásban magyarországi képzésre"/>
    <n v="91"/>
    <m/>
    <m/>
    <s v="Felvétel"/>
    <d v="2020-09-01T00:00:00"/>
    <s v="310804490665"/>
    <s v="BDPK-SEK"/>
    <s v="Neubauer Nikoletta"/>
    <d v="2020-07-23T00:00:00"/>
    <d v="2022-07-15T00:00:00"/>
    <n v="400000"/>
    <m/>
    <n v="3"/>
    <s v="Nő"/>
    <n v="400000"/>
    <s v="budaizsanett@gothardiskola.hu"/>
    <s v="Hodvogner Erzsébet"/>
    <n v="4"/>
    <s v="Aktív"/>
    <n v="4"/>
    <n v="4"/>
    <s v="magyar"/>
    <m/>
  </r>
  <r>
    <s v="Csunyi Dóra Judit"/>
    <s v="F966ZT"/>
    <s v="Aktív"/>
    <s v="tanári [4 félév [matematikatanár]]"/>
    <x v="7"/>
    <s v="tanárképzés"/>
    <s v="TKK-RTAK-LMHU"/>
    <s v="Veszprém"/>
    <s v="Veszprém"/>
    <s v="Csunyi Dóra Judit"/>
    <s v="Magyarország"/>
    <d v="1996-07-29T00:00:00"/>
    <s v="T182170/FI80798"/>
    <x v="4"/>
    <s v="Állami ösztöndíjas"/>
    <s v="2021/22/1"/>
    <s v="Levelező"/>
    <n v="1"/>
    <n v="1"/>
    <s v="2021/22/2"/>
    <n v="2"/>
    <s v="71941385703"/>
    <n v="4"/>
    <x v="3"/>
    <s v="a központi eljárásban magyarországi képzésre"/>
    <n v="73"/>
    <m/>
    <m/>
    <s v="Felvétel"/>
    <d v="2021-09-01T00:00:00"/>
    <s v="310814608892"/>
    <s v="BDPK-SEK"/>
    <s v="Neubauer Nikoletta"/>
    <d v="2021-07-23T00:00:00"/>
    <d v="2023-07-15T00:00:00"/>
    <n v="400000"/>
    <m/>
    <n v="2"/>
    <s v="Nő"/>
    <n v="400000"/>
    <s v="csunyi.dora.judit@gmail.com"/>
    <s v="László Judit"/>
    <n v="2"/>
    <s v="Aktív"/>
    <n v="2"/>
    <n v="2"/>
    <s v="magyar"/>
    <m/>
  </r>
  <r>
    <s v="Boncz Dorottya"/>
    <s v="EVJ9IP"/>
    <s v="Aktív"/>
    <s v="tanári [4 félév [matematikatanár]]"/>
    <x v="7"/>
    <s v="tanárképzés"/>
    <s v="TKK-RTAK-LMHU"/>
    <s v="Zalaegerszeg"/>
    <s v="Zala"/>
    <s v="Boncz Dorottya"/>
    <s v="Magyarország"/>
    <d v="1998-09-05T00:00:00"/>
    <s v="T183984/FI80798"/>
    <x v="4"/>
    <s v="Állami ösztöndíjas"/>
    <s v="2021/22/1"/>
    <s v="Levelező"/>
    <n v="3"/>
    <n v="1"/>
    <s v="2021/22/2"/>
    <n v="2"/>
    <s v="77479546531"/>
    <n v="4"/>
    <x v="3"/>
    <s v="a központi eljárásban magyarországi képzésre"/>
    <n v="73"/>
    <m/>
    <m/>
    <s v="Felvétel"/>
    <d v="2021-09-01T00:00:00"/>
    <s v="310814812098"/>
    <s v="BDPK-SEK"/>
    <s v="Neubauer Nikoletta"/>
    <d v="2021-07-23T00:00:00"/>
    <d v="2023-07-15T00:00:00"/>
    <n v="400000"/>
    <m/>
    <n v="1"/>
    <s v="Nő"/>
    <n v="400000"/>
    <s v="bo.dorottya2@gmail.com"/>
    <s v="Molnár Katalin"/>
    <n v="2"/>
    <s v="Aktív"/>
    <n v="2"/>
    <n v="2"/>
    <s v="magyar"/>
    <m/>
  </r>
  <r>
    <s v="Sümeg Andrea Beáta"/>
    <s v="YXKS0V"/>
    <s v="Aktív"/>
    <s v="tanári [4 félév [matematikatanár]]"/>
    <x v="7"/>
    <s v="tanárképzés"/>
    <s v="TKK-RTAK-LMHU"/>
    <s v="Szombathely"/>
    <s v="Vas"/>
    <s v="Sümeg Andrea Beáta"/>
    <s v="Magyarország"/>
    <d v="1980-04-20T00:00:00"/>
    <s v="T190047/FI80798"/>
    <x v="4"/>
    <s v="Önköltséges"/>
    <s v="2021/22/1"/>
    <s v="Levelező"/>
    <n v="9"/>
    <n v="1"/>
    <s v="2020/21/1"/>
    <n v="2"/>
    <s v="72513835056"/>
    <n v="4"/>
    <x v="3"/>
    <s v="a központi eljárásban magyarországi képzésre"/>
    <n v="76"/>
    <m/>
    <m/>
    <s v="Felvétel"/>
    <d v="2021-09-01T00:00:00"/>
    <s v="310914044816"/>
    <s v="BDPK-SEK"/>
    <s v="Neubauer Nikoletta"/>
    <d v="2021-08-27T00:00:00"/>
    <d v="2023-07-15T00:00:00"/>
    <m/>
    <m/>
    <n v="0"/>
    <s v="Nő"/>
    <m/>
    <s v="Andkauj@freemail.hu"/>
    <s v="Németh Erika"/>
    <n v="2"/>
    <s v="Aktív"/>
    <n v="0"/>
    <n v="2"/>
    <s v="magyar"/>
    <n v="400000"/>
  </r>
  <r>
    <s v="Kristóf Konstantina Mercédesz"/>
    <s v="SANR9A"/>
    <s v="Passzív"/>
    <s v="tanári [4 félév [matematikatanár]]"/>
    <x v="7"/>
    <s v="tanárképzés"/>
    <s v="TKK-RTAK-LMHU"/>
    <s v="Tapolca"/>
    <s v="Veszprém"/>
    <s v="Kristóf Konstantina Mercédesz"/>
    <s v="Magyarország"/>
    <d v="1981-09-12T00:00:00"/>
    <s v="T183429/FI80798"/>
    <x v="4"/>
    <s v="Önköltséges"/>
    <s v="2021/22/1"/>
    <s v="Levelező"/>
    <n v="2"/>
    <n v="1"/>
    <s v="2007/08/1"/>
    <n v="2"/>
    <s v="71724964037"/>
    <n v="4"/>
    <x v="3"/>
    <s v="a központi eljárásban magyarországi képzésre"/>
    <n v="69"/>
    <m/>
    <m/>
    <s v="Felvétel"/>
    <d v="2021-09-01T00:00:00"/>
    <s v="310814250653"/>
    <s v="BDPK-SEK"/>
    <s v="Neubauer Nikoletta"/>
    <d v="2021-07-23T00:00:00"/>
    <d v="2024-07-15T00:00:00"/>
    <m/>
    <m/>
    <m/>
    <s v="Nő"/>
    <m/>
    <s v="mercedeskristof@yahoo.it"/>
    <s v="Ráfli Ágnes Gertrúd"/>
    <n v="0"/>
    <s v="Passzív"/>
    <m/>
    <n v="0"/>
    <s v="magyar"/>
    <m/>
  </r>
  <r>
    <s v="Benis-Morvai Anita"/>
    <s v="SWLNUI"/>
    <s v="Aktív"/>
    <s v="tanári [4 félév [matematikatanár]]"/>
    <x v="7"/>
    <s v="tanárképzés"/>
    <s v="TKK-RTAK-LMHU"/>
    <s v="Veszprém"/>
    <s v="Veszprém"/>
    <s v="Morvai Anita"/>
    <s v="Magyarország"/>
    <d v="1986-12-04T00:00:00"/>
    <s v="T171156/FI80798"/>
    <x v="4"/>
    <s v="Önköltséges"/>
    <s v="2020/21/1"/>
    <s v="Levelező"/>
    <n v="3"/>
    <n v="1"/>
    <s v="2013/14/1"/>
    <n v="2"/>
    <s v="77690565207"/>
    <n v="4"/>
    <x v="3"/>
    <s v="a központi eljárásban magyarországi képzésre"/>
    <n v="85"/>
    <m/>
    <m/>
    <s v="Felvétel"/>
    <d v="2020-09-01T00:00:00"/>
    <s v="310904077792"/>
    <s v="BDPK-SEK"/>
    <s v="Neubauer Nikoletta"/>
    <d v="2020-08-27T00:00:00"/>
    <d v="2022-07-15T00:00:00"/>
    <m/>
    <m/>
    <n v="0"/>
    <s v="Nő"/>
    <m/>
    <s v="anita.morvai86@gmail.com"/>
    <s v="Kőszeghy Zsuzsanna"/>
    <n v="4"/>
    <s v="Aktív"/>
    <n v="0"/>
    <n v="4"/>
    <s v="magyar"/>
    <n v="400000"/>
  </r>
  <r>
    <s v="Lang József Zoltánné"/>
    <s v="NI6WDO"/>
    <s v="Aktív"/>
    <s v="tanári [4 félév [matematikatanár]]"/>
    <x v="7"/>
    <s v="tanárképzés"/>
    <s v="TKK-RTAK-LMHU"/>
    <s v="Kaposvár"/>
    <s v="Somogy"/>
    <s v="Pásztor Lívia"/>
    <s v="Magyarország"/>
    <d v="1968-12-13T00:00:00"/>
    <s v="T189589/FI80798"/>
    <x v="4"/>
    <s v="Állami ösztöndíjas"/>
    <s v="2021/22/1"/>
    <s v="Levelező"/>
    <n v="2"/>
    <n v="1"/>
    <s v="2021/22/2"/>
    <n v="2"/>
    <s v="71707159521"/>
    <n v="4"/>
    <x v="3"/>
    <s v="a központi eljárásban magyarországi képzésre"/>
    <n v="77"/>
    <m/>
    <m/>
    <s v="Felvétel"/>
    <d v="2021-09-01T00:00:00"/>
    <s v="310815074979"/>
    <s v="BDPK-SEK"/>
    <s v="Neubauer Nikoletta"/>
    <d v="2021-07-23T00:00:00"/>
    <d v="2023-07-15T00:00:00"/>
    <n v="400000"/>
    <m/>
    <n v="1"/>
    <s v="Nő"/>
    <n v="400000"/>
    <s v="langfarm.kony@gmail.com"/>
    <s v="Keresztes Anna Irén"/>
    <n v="2"/>
    <s v="Aktív"/>
    <n v="2"/>
    <n v="2"/>
    <s v="magyar"/>
    <m/>
  </r>
  <r>
    <s v="Baloghné Gáspár Veronika"/>
    <s v="VZJHY0"/>
    <s v="Aktív"/>
    <s v="tanári [4 félév [matematikatanár]]"/>
    <x v="7"/>
    <s v="tanárképzés"/>
    <s v="TKK-RTAK-LMHU"/>
    <s v="Kaposvár"/>
    <s v="Somogy"/>
    <s v="Gáspár Veronika"/>
    <s v="Magyarország"/>
    <d v="1979-02-12T00:00:00"/>
    <s v="T167470/FI80798"/>
    <x v="4"/>
    <s v="Állami ösztöndíjas"/>
    <s v="2020/21/1"/>
    <s v="Levelező"/>
    <n v="2"/>
    <n v="1"/>
    <s v="2021/22/2"/>
    <n v="2"/>
    <s v="73601441939"/>
    <n v="4"/>
    <x v="3"/>
    <s v="a központi eljárásban magyarországi képzésre"/>
    <n v="90"/>
    <m/>
    <m/>
    <s v="Felvétel"/>
    <d v="2020-09-01T00:00:00"/>
    <s v="310804563404"/>
    <s v="BDPK-SEK"/>
    <s v="Neubauer Nikoletta"/>
    <d v="2020-07-23T00:00:00"/>
    <d v="2022-07-15T00:00:00"/>
    <n v="400000"/>
    <m/>
    <n v="3"/>
    <s v="Nő"/>
    <n v="400000"/>
    <s v="baloghnegasparveronika@gmail.com"/>
    <s v="Lukács Piroska Anna"/>
    <n v="4"/>
    <s v="Aktív"/>
    <n v="4"/>
    <n v="4"/>
    <s v="magyar"/>
    <m/>
  </r>
  <r>
    <s v="Nagyné Gájer Orsolya Klára"/>
    <s v="H1NPO5"/>
    <s v="Aktív"/>
    <s v="tanári [4 félév [matematikatanár]]"/>
    <x v="7"/>
    <s v="tanárképzés"/>
    <s v="TKK-RTAK-LMHU"/>
    <s v="Budapest"/>
    <s v="Budapest"/>
    <s v="Gájer Orsolya Klára"/>
    <s v="Magyarország"/>
    <d v="1977-11-20T00:00:00"/>
    <s v="T162298/FI80798"/>
    <x v="4"/>
    <s v="Önköltséges"/>
    <s v="2020/21/1"/>
    <s v="Levelező"/>
    <n v="1"/>
    <n v="1"/>
    <s v="2018/19/1"/>
    <n v="2"/>
    <s v="75544417585"/>
    <n v="4"/>
    <x v="3"/>
    <s v="a központi eljárásban magyarországi képzésre"/>
    <n v="75"/>
    <m/>
    <m/>
    <s v="Felvétel"/>
    <d v="2020-09-01T00:00:00"/>
    <s v="310804025719"/>
    <s v="BDPK-SEK"/>
    <s v="Neubauer Nikoletta"/>
    <d v="2020-07-23T00:00:00"/>
    <d v="2022-07-15T00:00:00"/>
    <m/>
    <m/>
    <n v="0"/>
    <s v="Nő"/>
    <m/>
    <s v="gajer.orsolya@gmail.com"/>
    <s v="Varga Klára"/>
    <n v="4"/>
    <s v="Aktív"/>
    <n v="0"/>
    <n v="4"/>
    <s v="magyar"/>
    <n v="400000"/>
  </r>
  <r>
    <s v="Kiss Zoltánné Tikász Eszter"/>
    <s v="TF45GV"/>
    <s v="Aktív"/>
    <s v="tanári [4 félév [matematikatanár]]"/>
    <x v="7"/>
    <s v="tanárképzés"/>
    <s v="TKK-RTAK-LMHU"/>
    <s v="Nagykanizsa"/>
    <s v="Zala"/>
    <s v="Tikász Eszter"/>
    <s v="Magyarország"/>
    <d v="1984-02-20T00:00:00"/>
    <s v="T171679/FI80798"/>
    <x v="4"/>
    <s v="Önköltséges"/>
    <s v="2020/21/1"/>
    <s v="Levelező"/>
    <n v="4"/>
    <n v="1"/>
    <s v="2006/07/2"/>
    <n v="2"/>
    <s v="72909779452"/>
    <n v="4"/>
    <x v="3"/>
    <s v="a központi eljárásban magyarországi képzésre"/>
    <n v="75"/>
    <m/>
    <m/>
    <s v="Felvétel"/>
    <d v="2020-09-01T00:00:00"/>
    <s v="310904114801"/>
    <s v="BDPK-SEK"/>
    <s v="Neubauer Nikoletta"/>
    <d v="2020-08-27T00:00:00"/>
    <d v="2022-07-15T00:00:00"/>
    <m/>
    <m/>
    <n v="0"/>
    <s v="Nő"/>
    <m/>
    <s v="tikasz.eszter@gmail.com"/>
    <s v="Tolnai Mária"/>
    <n v="4"/>
    <s v="Aktív"/>
    <n v="0"/>
    <n v="4"/>
    <s v="magyar"/>
    <n v="400000"/>
  </r>
  <r>
    <s v="Rasek Anita"/>
    <s v="I2G3AN"/>
    <s v="Aktív"/>
    <s v="tanári [4 félév [matematikatanár]]"/>
    <x v="7"/>
    <s v="tanárképzés"/>
    <s v="TKK-RTAK-LMHU"/>
    <s v="Pápa"/>
    <s v="Veszprém"/>
    <s v="Rasek Anita"/>
    <s v="Magyarország"/>
    <d v="1975-01-18T00:00:00"/>
    <s v="T169189/FI80798"/>
    <x v="4"/>
    <s v="Állami ösztöndíjas"/>
    <s v="2020/21/1"/>
    <s v="Levelező"/>
    <n v="2"/>
    <n v="1"/>
    <s v="2021/22/2"/>
    <n v="2"/>
    <s v="76830731426"/>
    <n v="4"/>
    <x v="3"/>
    <s v="a központi eljárásban magyarországi képzésre"/>
    <n v="80"/>
    <m/>
    <m/>
    <s v="Felvétel"/>
    <d v="2020-09-01T00:00:00"/>
    <s v="310804169608"/>
    <s v="BDPK-SEK"/>
    <s v="Neubauer Nikoletta"/>
    <d v="2020-07-23T00:00:00"/>
    <d v="2022-07-15T00:00:00"/>
    <n v="400000"/>
    <m/>
    <n v="3"/>
    <s v="Nő"/>
    <n v="400000"/>
    <s v="anitarasek@gmail.com"/>
    <s v="Szalai Margit Erzsébet"/>
    <n v="4"/>
    <s v="Aktív"/>
    <n v="4"/>
    <n v="4"/>
    <s v="magyar"/>
    <m/>
  </r>
  <r>
    <s v="Szládovics Bálint"/>
    <s v="BPLUPA"/>
    <s v="Aktív"/>
    <s v="tanári [4 félév [matematikatanár]]"/>
    <x v="7"/>
    <s v="tanárképzés"/>
    <s v="TKK-RTAK-LMHU"/>
    <s v="Keszthely"/>
    <s v="Zala"/>
    <s v="Szládovics Bálint"/>
    <s v="Magyarország"/>
    <d v="1983-04-27T00:00:00"/>
    <s v="T161450/FI80798"/>
    <x v="4"/>
    <s v="Önköltséges"/>
    <s v="2020/21/1"/>
    <s v="Levelező"/>
    <n v="2"/>
    <n v="1"/>
    <s v="2006/07/2"/>
    <n v="2"/>
    <s v="71470771471"/>
    <n v="4"/>
    <x v="3"/>
    <s v="a központi eljárásban magyarországi képzésre"/>
    <n v="90"/>
    <m/>
    <m/>
    <s v="Felvétel"/>
    <d v="2020-09-01T00:00:00"/>
    <s v="310804051657"/>
    <s v="BDPK-SEK"/>
    <s v="Neubauer Nikoletta"/>
    <d v="2020-07-23T00:00:00"/>
    <d v="2022-07-15T00:00:00"/>
    <m/>
    <m/>
    <n v="0"/>
    <s v="Férfi"/>
    <m/>
    <s v="szladinho2@gmail.com"/>
    <s v="Szabó Judit"/>
    <n v="4"/>
    <s v="Aktív"/>
    <n v="0"/>
    <n v="4"/>
    <s v="magyar"/>
    <n v="400000"/>
  </r>
  <r>
    <s v="Kovács Nikolett"/>
    <s v="EO9O7B"/>
    <s v="Aktív"/>
    <s v="tanári [4 félév [matematikatanár]]"/>
    <x v="7"/>
    <s v="tanárképzés"/>
    <s v="TKK-RTAK-LMHU"/>
    <s v="Tata"/>
    <s v="Komárom-Esztergom"/>
    <s v="Kovács Nikolett"/>
    <s v="Magyarország"/>
    <d v="1995-10-24T00:00:00"/>
    <s v="T187483/FI80798"/>
    <x v="4"/>
    <s v="Állami ösztöndíjas"/>
    <s v="2021/22/1"/>
    <s v="Levelező"/>
    <n v="3"/>
    <n v="1"/>
    <s v="2021/22/2"/>
    <n v="2"/>
    <s v="76367525650"/>
    <n v="4"/>
    <x v="3"/>
    <s v="a központi eljárásban magyarországi képzésre"/>
    <n v="75"/>
    <m/>
    <m/>
    <s v="Felvétel"/>
    <d v="2021-09-01T00:00:00"/>
    <s v="310815134716"/>
    <s v="BDPK-SEK"/>
    <s v="Neubauer Nikoletta"/>
    <d v="2021-07-23T00:00:00"/>
    <d v="2023-07-15T00:00:00"/>
    <n v="400000"/>
    <m/>
    <n v="1"/>
    <s v="Nő"/>
    <n v="400000"/>
    <s v="kovacs.nikolett555@gmail.com"/>
    <s v="Kollár Mária Magdolna"/>
    <n v="2"/>
    <s v="Aktív"/>
    <n v="2"/>
    <n v="2"/>
    <s v="magyar"/>
    <m/>
  </r>
  <r>
    <s v="Kissné Zsoldos Eszter"/>
    <s v="G4LHMA"/>
    <s v="Aktív"/>
    <s v="tanári [4 félév [matematikatanár]]"/>
    <x v="7"/>
    <s v="tanárképzés"/>
    <s v="TKK-RTAK-LMHU"/>
    <s v="Sopron"/>
    <s v="Győr-Moson-Sopron"/>
    <s v="Zsoldos Eszter"/>
    <s v="Magyarország"/>
    <d v="1974-08-31T00:00:00"/>
    <s v="T185802/FI80798"/>
    <x v="4"/>
    <s v="Önköltséges"/>
    <s v="2021/22/1"/>
    <s v="Levelező"/>
    <n v="2"/>
    <n v="1"/>
    <s v="2020/21/2"/>
    <n v="2"/>
    <s v="73485201175"/>
    <n v="4"/>
    <x v="3"/>
    <s v="a központi eljárásban magyarországi képzésre"/>
    <n v="70"/>
    <m/>
    <m/>
    <s v="Felvétel"/>
    <d v="2021-09-01T00:00:00"/>
    <s v="310814479682"/>
    <s v="BDPK-SEK"/>
    <s v="Neubauer Nikoletta"/>
    <d v="2021-07-23T00:00:00"/>
    <d v="2023-07-15T00:00:00"/>
    <m/>
    <m/>
    <n v="0"/>
    <s v="Nő"/>
    <m/>
    <s v="eszter.kissnezsoldos@gmail.com"/>
    <s v="Farkas Mária"/>
    <n v="2"/>
    <s v="Aktív"/>
    <n v="0"/>
    <n v="2"/>
    <s v="magyar"/>
    <n v="400000"/>
  </r>
  <r>
    <s v="Gombárné Kelemen Krisztina"/>
    <s v="GFOOXI"/>
    <s v="Aktív"/>
    <s v="tanári [4 félév [matematikatanár]]"/>
    <x v="7"/>
    <s v="tanárképzés"/>
    <s v="TKK-RTAK-LMHU"/>
    <s v="Tatabánya"/>
    <s v="Komárom-Esztergom"/>
    <s v="Kelemen Krisztina"/>
    <s v="Magyarország"/>
    <d v="1980-01-02T00:00:00"/>
    <s v="T182166/FI80798"/>
    <x v="4"/>
    <s v="Állami ösztöndíjas"/>
    <s v="2021/22/1"/>
    <s v="Levelező"/>
    <n v="4"/>
    <n v="1"/>
    <s v="2021/22/2"/>
    <n v="2"/>
    <s v="71425963143"/>
    <n v="4"/>
    <x v="3"/>
    <s v="a központi eljárásban magyarországi képzésre"/>
    <n v="76"/>
    <m/>
    <m/>
    <s v="Felvétel"/>
    <d v="2021-09-01T00:00:00"/>
    <s v="310814548700"/>
    <s v="BDPK-SEK"/>
    <s v="Neubauer Nikoletta"/>
    <d v="2021-07-23T00:00:00"/>
    <d v="2023-07-15T00:00:00"/>
    <n v="400000"/>
    <m/>
    <n v="1"/>
    <s v="Nő"/>
    <n v="400000"/>
    <s v="kelemenk@sze.hu"/>
    <s v="Biró Zsuzsanna Erzsébet"/>
    <n v="2"/>
    <s v="Aktív"/>
    <n v="2"/>
    <n v="2"/>
    <s v="magyar"/>
    <m/>
  </r>
  <r>
    <s v="Makovényi-Frigy Andrea"/>
    <s v="B3QP4O"/>
    <s v="Aktív"/>
    <s v="tanári [4 félév [matematikatanár]]"/>
    <x v="7"/>
    <s v="tanárképzés"/>
    <s v="TKK-RTAK-LMHU"/>
    <s v="Szombathely"/>
    <s v="Vas"/>
    <s v="Frigy Andrea"/>
    <s v="Magyarország"/>
    <d v="1991-01-24T00:00:00"/>
    <s v="T188690/FI80798"/>
    <x v="4"/>
    <s v="Önköltséges"/>
    <s v="2021/22/1"/>
    <s v="Levelező"/>
    <n v="5"/>
    <n v="1"/>
    <s v="2013/14/2"/>
    <n v="2"/>
    <s v="73728938600"/>
    <n v="4"/>
    <x v="3"/>
    <s v="a központi eljárásban magyarországi képzésre"/>
    <n v="70"/>
    <m/>
    <m/>
    <s v="Felvétel"/>
    <d v="2021-09-01T00:00:00"/>
    <s v="310814381532"/>
    <s v="BDPK-SEK"/>
    <s v="Neubauer Nikoletta"/>
    <d v="2021-07-23T00:00:00"/>
    <d v="2023-07-15T00:00:00"/>
    <m/>
    <m/>
    <n v="0"/>
    <s v="Nő"/>
    <m/>
    <s v="frigyandrea@gmail.com"/>
    <s v="Farkas Mónika"/>
    <n v="2"/>
    <s v="Aktív"/>
    <n v="0"/>
    <n v="2"/>
    <s v="magyar"/>
    <n v="400000"/>
  </r>
  <r>
    <s v="Kudler Szilvia Erzsébet"/>
    <s v="BJUC3Z"/>
    <s v="Aktív"/>
    <s v="tanári [4 félév [német nyelv és kultúra tanára]]"/>
    <x v="4"/>
    <s v="tanárképzés"/>
    <s v="TKK-RTAK-LMHU"/>
    <s v="Szombathely"/>
    <s v="Vas"/>
    <s v="Kudler Szilvia Erzsébet"/>
    <s v="Magyarország"/>
    <d v="1998-07-20T00:00:00"/>
    <s v="T179479/FI80798"/>
    <x v="4"/>
    <s v="Állami ösztöndíjas"/>
    <s v="2021/22/1"/>
    <s v="Levelező"/>
    <n v="3"/>
    <n v="1"/>
    <s v="2021/22/2"/>
    <n v="2"/>
    <s v="76181389203"/>
    <n v="4"/>
    <x v="3"/>
    <s v="a központi eljárásban magyarországi képzésre"/>
    <n v="80"/>
    <m/>
    <m/>
    <s v="Felvétel"/>
    <d v="2021-09-01T00:00:00"/>
    <s v="310814010438"/>
    <s v="BDPK-SEK"/>
    <s v="Neubauer Nikoletta"/>
    <d v="2021-07-23T00:00:00"/>
    <d v="2023-07-15T00:00:00"/>
    <n v="400000"/>
    <m/>
    <n v="2"/>
    <s v="Nő"/>
    <n v="400000"/>
    <s v="szilviakudler0@gmail.com"/>
    <s v="Balogh Éva Bernadett"/>
    <n v="2"/>
    <s v="Aktív"/>
    <n v="2"/>
    <n v="2"/>
    <s v="magyar"/>
    <m/>
  </r>
  <r>
    <s v="Antalovics Éva Andrea"/>
    <s v="HBZ40T"/>
    <s v="Aktív"/>
    <s v="tanári [4 félév [német nyelv és kultúra tanára]]"/>
    <x v="4"/>
    <s v="tanárképzés"/>
    <s v="TKK-RTAK-LMHU"/>
    <s v="Kőszeg"/>
    <s v="Vas"/>
    <s v="Antalovics Éva Andrea"/>
    <s v="Magyarország"/>
    <d v="1968-05-28T00:00:00"/>
    <s v="T188290/FI80798"/>
    <x v="4"/>
    <s v="Állami ösztöndíjas"/>
    <s v="2021/22/1"/>
    <s v="Levelező"/>
    <n v="2"/>
    <n v="1"/>
    <s v="2021/22/2"/>
    <n v="2"/>
    <s v="71724109917"/>
    <n v="4"/>
    <x v="3"/>
    <s v="a központi eljárásban magyarországi képzésre"/>
    <n v="76"/>
    <m/>
    <m/>
    <s v="Felvétel"/>
    <d v="2021-09-01T00:00:00"/>
    <s v="310814578483"/>
    <s v="BDPK-SEK"/>
    <s v="Neubauer Nikoletta"/>
    <d v="2021-07-23T00:00:00"/>
    <d v="2023-07-15T00:00:00"/>
    <n v="400000"/>
    <m/>
    <n v="2"/>
    <s v="Nő"/>
    <n v="400000"/>
    <s v="vantalovics@gmail.com"/>
    <s v="Hajtó Ilona"/>
    <n v="2"/>
    <s v="Aktív"/>
    <n v="2"/>
    <n v="2"/>
    <s v="magyar"/>
    <m/>
  </r>
  <r>
    <s v="Koncz Zsuzsánna Judit"/>
    <s v="YAGHB1"/>
    <s v="Aktív"/>
    <s v="tanári [4 félév [német nyelv és kultúra tanára]]"/>
    <x v="4"/>
    <s v="tanárképzés"/>
    <s v="TKK-RTAK-LMHU"/>
    <s v="Miskolc"/>
    <s v="Borsod-Abaúj-Zemplén"/>
    <s v="Koncz Zsuzsánna Judit"/>
    <s v="Magyarország"/>
    <d v="1967-08-12T00:00:00"/>
    <s v="T180725/FI80798"/>
    <x v="4"/>
    <s v="Állami ösztöndíjas"/>
    <s v="2021/22/1"/>
    <s v="Levelező"/>
    <n v="4"/>
    <n v="1"/>
    <s v="2021/22/2"/>
    <n v="2"/>
    <s v="73669651273"/>
    <n v="4"/>
    <x v="3"/>
    <s v="a központi eljárásban magyarországi képzésre"/>
    <n v="74"/>
    <m/>
    <m/>
    <s v="Felvétel"/>
    <d v="2021-09-01T00:00:00"/>
    <s v="310814835214"/>
    <s v="BDPK-SEK"/>
    <s v="Neubauer Nikoletta"/>
    <d v="2021-07-23T00:00:00"/>
    <d v="2023-07-15T00:00:00"/>
    <n v="400000"/>
    <m/>
    <n v="2"/>
    <s v="Nő"/>
    <n v="400000"/>
    <s v="koncz.zsuzsanna.judit@gmail.com"/>
    <s v="Valasek Ilona"/>
    <n v="2"/>
    <s v="Aktív"/>
    <n v="2"/>
    <n v="2"/>
    <s v="magyar"/>
    <m/>
  </r>
  <r>
    <s v="Szabó-Darida Ágnes"/>
    <s v="WMKEBH"/>
    <s v="Aktív"/>
    <s v="tanári [4 félév [rajz- és vizuáliskultúra-tanár]]"/>
    <x v="5"/>
    <s v="tanárképzés"/>
    <s v="TKK-RTAK-LMHU"/>
    <s v="Budapest"/>
    <s v="Budapest"/>
    <s v="Darida Ágnes"/>
    <s v="Magyarország"/>
    <d v="1981-07-30T00:00:00"/>
    <s v="T188166/FI80798"/>
    <x v="4"/>
    <s v="Állami ösztöndíjas"/>
    <s v="2021/22/1"/>
    <s v="Levelező"/>
    <n v="4"/>
    <n v="1"/>
    <s v="2021/22/2"/>
    <n v="2"/>
    <s v="73473243305"/>
    <n v="4"/>
    <x v="3"/>
    <s v="a központi eljárásban magyarországi képzésre"/>
    <n v="88"/>
    <m/>
    <m/>
    <s v="Felvétel"/>
    <d v="2021-09-01T00:00:00"/>
    <s v="310814738368"/>
    <s v="BDPK-SEK"/>
    <s v="Neubauer Nikoletta"/>
    <d v="2021-07-23T00:00:00"/>
    <d v="2023-07-15T00:00:00"/>
    <n v="400000"/>
    <m/>
    <n v="1"/>
    <s v="Nő"/>
    <n v="400000"/>
    <s v="daridagi@gmail.com"/>
    <s v="Lipták Piroska"/>
    <n v="2"/>
    <s v="Aktív"/>
    <n v="2"/>
    <n v="2"/>
    <s v="magyar"/>
    <m/>
  </r>
  <r>
    <s v="Bognár Zsuzsanna Eszter"/>
    <s v="OUKM30"/>
    <s v="Aktív"/>
    <s v="tanári [4 félév [rajz- és vizuáliskultúra-tanár]]"/>
    <x v="5"/>
    <s v="tanárképzés"/>
    <s v="TKK-RTAK-LMHU"/>
    <s v="Budapest"/>
    <s v="Budapest"/>
    <s v="Bognár Zsuzsanna Eszter"/>
    <s v="Magyarország"/>
    <d v="1971-08-03T00:00:00"/>
    <s v="T170080/FI80798"/>
    <x v="4"/>
    <s v="Állami ösztöndíjas"/>
    <s v="2020/21/1"/>
    <s v="Levelező"/>
    <n v="1"/>
    <n v="1"/>
    <s v="2021/22/2"/>
    <n v="2"/>
    <s v="73161164345"/>
    <n v="4"/>
    <x v="3"/>
    <s v="a központi eljárásban magyarországi képzésre"/>
    <n v="88"/>
    <m/>
    <m/>
    <s v="Felvétel"/>
    <d v="2020-09-01T00:00:00"/>
    <s v="310804683970"/>
    <s v="BDPK-SEK"/>
    <s v="Neubauer Nikoletta"/>
    <d v="2020-07-23T00:00:00"/>
    <d v="2022-07-15T00:00:00"/>
    <n v="400000"/>
    <m/>
    <n v="3"/>
    <s v="Nő"/>
    <n v="400000"/>
    <s v="szazsa8@gmail.com"/>
    <s v="Szanyi Anikó"/>
    <n v="4"/>
    <s v="Aktív"/>
    <n v="4"/>
    <n v="4"/>
    <s v="magyar"/>
    <m/>
  </r>
  <r>
    <s v="Morvainé Hipszki Erika Ilona"/>
    <s v="B8JFJG"/>
    <s v="Aktív"/>
    <s v="tanári [4 félév [rajz- és vizuáliskultúra-tanár]]"/>
    <x v="5"/>
    <s v="tanárképzés"/>
    <s v="TKK-RTAK-LMHU"/>
    <s v="Nyíregyháza"/>
    <s v="Szabolcs-Szatmár-Bereg"/>
    <s v="Hipszki Erika Ilona"/>
    <s v="Magyarország"/>
    <d v="1974-08-02T00:00:00"/>
    <s v="T172125/FI80798"/>
    <x v="4"/>
    <s v="Önköltséges"/>
    <s v="2020/21/1"/>
    <s v="Levelező"/>
    <n v="6"/>
    <n v="1"/>
    <s v="2015/16/2"/>
    <n v="2"/>
    <s v="71700811005"/>
    <n v="4"/>
    <x v="3"/>
    <s v="a központi eljárásban magyarországi képzésre"/>
    <n v="88"/>
    <m/>
    <m/>
    <s v="Felvétel"/>
    <d v="2020-09-02T00:00:00"/>
    <s v="310904034298"/>
    <s v="BDPK-SEK"/>
    <s v="Neubauer Nikoletta"/>
    <d v="2020-08-27T00:00:00"/>
    <d v="2022-07-15T00:00:00"/>
    <m/>
    <m/>
    <n v="0"/>
    <s v="Nő"/>
    <m/>
    <s v="morvaine.era@gmail.com"/>
    <s v="Gyetvai Mária"/>
    <n v="4"/>
    <s v="Aktív"/>
    <n v="0"/>
    <n v="4"/>
    <s v="magyar"/>
    <n v="400000"/>
  </r>
  <r>
    <s v="Horváth Cintia"/>
    <s v="NRNV2V"/>
    <s v="Aktív"/>
    <s v="tanári [4 félév [rajz- és vizuáliskultúra-tanár]]"/>
    <x v="5"/>
    <s v="tanárképzés"/>
    <s v="TKK-RTAK-LMHU"/>
    <s v="Komárom"/>
    <s v="Komárom-Esztergom"/>
    <s v="Horváth Cintia"/>
    <s v="Magyarország"/>
    <d v="1995-11-12T00:00:00"/>
    <s v="T161983/FI80798"/>
    <x v="4"/>
    <s v="Önköltséges"/>
    <s v="2020/21/1"/>
    <s v="Levelező"/>
    <n v="1"/>
    <n v="1"/>
    <s v="2020/21/2"/>
    <n v="2"/>
    <s v="74877958755"/>
    <n v="4"/>
    <x v="3"/>
    <s v="a központi eljárásban magyarországi képzésre"/>
    <n v="86"/>
    <m/>
    <m/>
    <s v="Felvétel"/>
    <d v="2020-09-01T00:00:00"/>
    <s v="310804342312"/>
    <s v="BDPK-SEK"/>
    <s v="Neubauer Nikoletta"/>
    <d v="2020-07-23T00:00:00"/>
    <d v="2022-07-15T00:00:00"/>
    <n v="400000"/>
    <m/>
    <n v="2"/>
    <s v="Nő"/>
    <n v="400000"/>
    <s v="h.cintia95@gmail.com"/>
    <s v="Nagy Tímea"/>
    <n v="4"/>
    <s v="Aktív"/>
    <n v="2"/>
    <n v="4"/>
    <s v="magyar"/>
    <n v="400000"/>
  </r>
  <r>
    <s v="Várszegi Balázs"/>
    <s v="MRHH48"/>
    <s v="Aktív"/>
    <s v="tanári [4 félév [rajz- és vizuáliskultúra-tanár]]"/>
    <x v="5"/>
    <s v="tanárképzés"/>
    <s v="TKK-RTAK-LMHU"/>
    <s v="Kőszeg"/>
    <s v="Vas"/>
    <s v="Várszegi Balázs"/>
    <s v="Magyarország"/>
    <d v="1974-08-28T00:00:00"/>
    <s v="T187944/FI80798"/>
    <x v="4"/>
    <s v="Állami ösztöndíjas"/>
    <s v="2021/22/1"/>
    <s v="Levelező"/>
    <n v="3"/>
    <n v="1"/>
    <s v="2021/22/2"/>
    <n v="2"/>
    <s v="75743214903"/>
    <n v="4"/>
    <x v="3"/>
    <s v="a központi eljárásban magyarországi képzésre"/>
    <n v="87"/>
    <m/>
    <m/>
    <s v="Felvétel"/>
    <d v="2021-09-01T00:00:00"/>
    <s v="310814508936"/>
    <s v="BDPK-SEK"/>
    <s v="Neubauer Nikoletta"/>
    <d v="2021-07-23T00:00:00"/>
    <d v="2023-07-15T00:00:00"/>
    <n v="400000"/>
    <m/>
    <n v="1"/>
    <s v="Férfi"/>
    <n v="400000"/>
    <s v="varszegib@gmail.com"/>
    <s v="Tarr Ilona"/>
    <n v="2"/>
    <s v="Aktív"/>
    <n v="2"/>
    <n v="2"/>
    <s v="magyar"/>
    <m/>
  </r>
  <r>
    <s v="Péchy Zoltán Péter"/>
    <s v="LNBMC7"/>
    <s v="Aktív"/>
    <s v="tanári [4 félév [technika-, életvitel- és gyakorlat-tanár]]"/>
    <x v="15"/>
    <s v="tanárképzés"/>
    <s v="TKK-RTAK-LMHU"/>
    <s v="Miskolc"/>
    <s v="Borsod-Abaúj-Zemplén"/>
    <s v="Péchy Zoltán Péter"/>
    <s v="Magyarország"/>
    <d v="1972-02-13T00:00:00"/>
    <s v="T139476/FI80798"/>
    <x v="4"/>
    <s v="Önköltséges"/>
    <s v="2021/22/1"/>
    <s v="Levelező"/>
    <n v="-15"/>
    <n v="1"/>
    <s v="2013/14/2"/>
    <n v="2"/>
    <s v="71397074293"/>
    <n v="4"/>
    <x v="3"/>
    <s v="a központi eljárásban magyarországi képzésre"/>
    <n v="78"/>
    <m/>
    <m/>
    <s v="Felvétel"/>
    <d v="2021-09-01T00:00:00"/>
    <s v="310814742154"/>
    <s v="BDPK-SEK"/>
    <s v="Neubauer Nikoletta"/>
    <d v="2021-07-23T00:00:00"/>
    <d v="2023-07-15T00:00:00"/>
    <m/>
    <m/>
    <n v="0"/>
    <s v="Férfi"/>
    <m/>
    <s v="matfiz127@gmail.com"/>
    <s v="Cserháti Edit Szilvia"/>
    <n v="2"/>
    <s v="Aktív"/>
    <n v="0"/>
    <n v="2"/>
    <s v="magyar"/>
    <n v="400000"/>
  </r>
  <r>
    <s v="Szakács Orsolya"/>
    <s v="KJ114J"/>
    <s v="Aktív"/>
    <s v="tanári [4 félév [technika-, életvitel- és gyakorlat-tanár]]"/>
    <x v="15"/>
    <s v="tanárképzés"/>
    <s v="TKK-RTAK-LMHU"/>
    <s v="Budapest"/>
    <s v="Budapest"/>
    <s v="Szakács Orsolya"/>
    <s v="Magyarország"/>
    <d v="1983-08-11T00:00:00"/>
    <s v="T190987/FI80798"/>
    <x v="4"/>
    <s v="Önköltséges"/>
    <s v="2021/22/1"/>
    <s v="Levelező"/>
    <n v="12"/>
    <m/>
    <m/>
    <n v="2"/>
    <s v="71696782831"/>
    <n v="4"/>
    <x v="3"/>
    <s v="a központi eljárásban magyarországi képzésre"/>
    <n v="84"/>
    <m/>
    <m/>
    <s v="Felvétel"/>
    <d v="2021-09-01T00:00:00"/>
    <s v="310914089902"/>
    <s v="BDPK-SEK"/>
    <s v="Neubauer Nikoletta"/>
    <d v="2021-08-27T00:00:00"/>
    <d v="2023-07-15T00:00:00"/>
    <m/>
    <m/>
    <n v="0"/>
    <s v="Nő"/>
    <m/>
    <s v="szakacs.orsi@gmail.com"/>
    <s v="Dreysier Edit Gertrúd"/>
    <n v="2"/>
    <s v="Aktív"/>
    <n v="0"/>
    <n v="2"/>
    <s v="magyar"/>
    <n v="400000"/>
  </r>
  <r>
    <s v="Joó Andrea"/>
    <s v="IWYBK2"/>
    <s v="Aktív"/>
    <s v="tanári [4 félév [technika-, életvitel- és gyakorlat-tanár]]"/>
    <x v="15"/>
    <s v="tanárképzés"/>
    <s v="TKK-RTAK-LMHU"/>
    <s v="Debrecen"/>
    <s v="Hajdú-Bihar"/>
    <s v="Rajhóczki Andrea"/>
    <s v="Magyarország"/>
    <d v="1974-11-16T00:00:00"/>
    <s v="T163564/FI80798"/>
    <x v="4"/>
    <s v="Állami ösztöndíjas"/>
    <s v="2020/21/1"/>
    <s v="Levelező"/>
    <n v="6"/>
    <n v="1"/>
    <s v="2021/22/2"/>
    <n v="2"/>
    <s v="72992761252"/>
    <n v="4"/>
    <x v="3"/>
    <s v="a központi eljárásban magyarországi képzésre"/>
    <n v="92"/>
    <m/>
    <m/>
    <s v="Felvétel"/>
    <d v="2020-09-01T00:00:00"/>
    <s v="310804706045"/>
    <s v="BDPK-SEK"/>
    <s v="Neubauer Nikoletta"/>
    <d v="2020-07-23T00:00:00"/>
    <d v="2022-07-15T00:00:00"/>
    <n v="400000"/>
    <m/>
    <n v="3"/>
    <s v="Nő"/>
    <n v="400000"/>
    <s v="joo.andrea.elte@gmail.com"/>
    <s v="Gerőcs Margit"/>
    <n v="4"/>
    <s v="Aktív"/>
    <n v="4"/>
    <n v="4"/>
    <s v="magyar"/>
    <m/>
  </r>
  <r>
    <s v="Bárczay Eszter Ágnes"/>
    <s v="GATD0K"/>
    <s v="Aktív"/>
    <s v="tanári [4 félév [technika-, életvitel- és gyakorlat-tanár]]"/>
    <x v="15"/>
    <s v="tanárképzés"/>
    <s v="TKK-RTAK-LMHU"/>
    <s v="Budapest"/>
    <s v="Budapest"/>
    <s v="Bárczay Eszter Ágnes"/>
    <s v="Magyarország"/>
    <d v="1979-11-05T00:00:00"/>
    <s v="T170984/FI80798"/>
    <x v="4"/>
    <s v="Állami ösztöndíjas"/>
    <s v="2020/21/1"/>
    <s v="Levelező"/>
    <n v="9"/>
    <n v="1"/>
    <s v="2021/22/2"/>
    <n v="2"/>
    <s v="73397013934"/>
    <n v="4"/>
    <x v="3"/>
    <s v="a központi eljárásban magyarországi képzésre"/>
    <n v="85"/>
    <m/>
    <m/>
    <s v="Felvétel"/>
    <d v="2020-09-01T00:00:00"/>
    <s v="310804209693"/>
    <s v="BDPK-SEK"/>
    <s v="Neubauer Nikoletta"/>
    <d v="2020-07-23T00:00:00"/>
    <d v="2022-07-15T00:00:00"/>
    <n v="400000"/>
    <m/>
    <n v="3"/>
    <s v="Nő"/>
    <n v="400000"/>
    <s v="csiki.rajz@gmail.com"/>
    <s v="Kaveczki Eszter"/>
    <n v="4"/>
    <s v="Aktív"/>
    <n v="4"/>
    <n v="4"/>
    <s v="magyar"/>
    <m/>
  </r>
  <r>
    <s v="Gregovszkiné Dobó Melinda"/>
    <s v="W5EX0X"/>
    <s v="Aktív"/>
    <s v="tanári [4 félév [technika-, életvitel- és gyakorlat-tanár]]"/>
    <x v="15"/>
    <s v="tanárképzés"/>
    <s v="TKK-RTAK-LMHU"/>
    <s v="Mezőkövesd"/>
    <s v="Borsod-Abaúj-Zemplén"/>
    <s v="Dobó Melinda"/>
    <s v="Magyarország"/>
    <d v="1981-05-06T00:00:00"/>
    <s v="T173708/FI80798"/>
    <x v="4"/>
    <s v="Állami ösztöndíjas"/>
    <s v="2020/21/1"/>
    <s v="Levelező"/>
    <n v="11"/>
    <n v="1"/>
    <s v="2021/22/2"/>
    <n v="2"/>
    <s v="73441773482"/>
    <n v="4"/>
    <x v="3"/>
    <s v="a központi eljárásban magyarországi képzésre"/>
    <m/>
    <m/>
    <m/>
    <s v="Felvétel"/>
    <d v="2020-09-08T00:00:00"/>
    <s v="310904099598"/>
    <s v="BDPK-SEK"/>
    <s v="Neubauer Nikoletta"/>
    <d v="2020-09-08T00:00:00"/>
    <d v="2022-07-15T00:00:00"/>
    <n v="400000"/>
    <m/>
    <n v="2"/>
    <s v="Nő"/>
    <n v="400000"/>
    <s v="sztistvan.dobom@gmail.com"/>
    <s v="Baranyi Mária"/>
    <n v="4"/>
    <s v="Aktív"/>
    <n v="2"/>
    <n v="4"/>
    <s v="magyar"/>
    <m/>
  </r>
  <r>
    <s v="Hrabovská Edita"/>
    <s v="FRLBGG"/>
    <s v="Aktív"/>
    <s v="tanári [4 félév [technika-, életvitel- és gyakorlat-tanár]]"/>
    <x v="15"/>
    <s v="tanárképzés"/>
    <s v="TKK-RTAK-LMHU"/>
    <s v="Komárno"/>
    <m/>
    <s v="Tóthová Edita"/>
    <s v="Csehszlovákia"/>
    <d v="1986-06-13T00:00:00"/>
    <s v="T180341/FI80798"/>
    <x v="4"/>
    <s v="Állami ösztöndíjas"/>
    <s v="2021/22/1"/>
    <s v="Levelező"/>
    <n v="11"/>
    <n v="1"/>
    <s v="2021/22/2"/>
    <n v="2"/>
    <s v="73402804758"/>
    <n v="4"/>
    <x v="3"/>
    <s v="a központi eljárásban magyarországi képzésre"/>
    <n v="84"/>
    <m/>
    <m/>
    <s v="Felvétel"/>
    <d v="2021-09-01T00:00:00"/>
    <s v="310814000140"/>
    <s v="BDPK-SEK"/>
    <s v="Neubauer Nikoletta"/>
    <d v="2021-07-23T00:00:00"/>
    <d v="2023-07-15T00:00:00"/>
    <n v="400000"/>
    <m/>
    <n v="2"/>
    <s v="Nő"/>
    <n v="400000"/>
    <s v="tothovaedita@hotmail.com"/>
    <s v="Fodorová Monika"/>
    <n v="2"/>
    <s v="Aktív"/>
    <n v="2"/>
    <n v="2"/>
    <s v="szlovák"/>
    <m/>
  </r>
  <r>
    <s v="Visy Norbert"/>
    <s v="DZCXS4"/>
    <s v="Aktív"/>
    <s v="tanári [4 félév [technika-, életvitel- és gyakorlat-tanár]]"/>
    <x v="15"/>
    <s v="tanárképzés"/>
    <s v="TKK-RTAK-LMHU"/>
    <s v="Szeged"/>
    <s v="Csongrád"/>
    <s v="Visy Norbert"/>
    <s v="Magyarország"/>
    <d v="1983-02-13T00:00:00"/>
    <s v="T190733/FI80798"/>
    <x v="4"/>
    <s v="Önköltséges"/>
    <s v="2021/22/1"/>
    <s v="Levelező"/>
    <n v="5"/>
    <m/>
    <m/>
    <n v="2"/>
    <s v="72274770746"/>
    <n v="4"/>
    <x v="3"/>
    <s v="a központi eljárásban magyarországi képzésre"/>
    <n v="85"/>
    <m/>
    <m/>
    <s v="Felvétel"/>
    <d v="2021-09-01T00:00:00"/>
    <s v="310914056901"/>
    <s v="BDPK-SEK"/>
    <s v="Neubauer Nikoletta"/>
    <d v="2021-08-27T00:00:00"/>
    <d v="2023-07-15T00:00:00"/>
    <m/>
    <m/>
    <n v="0"/>
    <s v="Férfi"/>
    <m/>
    <s v="visynorbert@gmail.com"/>
    <s v="Visy Melinda"/>
    <n v="2"/>
    <s v="Aktív"/>
    <n v="0"/>
    <n v="2"/>
    <s v="osztrák"/>
    <n v="400000"/>
  </r>
  <r>
    <s v="Mészáros László"/>
    <s v="P9RDB1"/>
    <s v="Passzív"/>
    <s v="tanári [4 félév [technika-, életvitel- és gyakorlat-tanár]]"/>
    <x v="15"/>
    <s v="tanárképzés"/>
    <s v="TKK-RTAK-LMHU"/>
    <s v="Győr"/>
    <s v="Győr-Moson-Sopron"/>
    <s v="Mészáros László"/>
    <s v="Magyarország"/>
    <d v="1965-03-02T00:00:00"/>
    <s v="T191946/FI80798"/>
    <x v="4"/>
    <s v="Állami ösztöndíjas"/>
    <s v="2021/22/1"/>
    <s v="Levelező"/>
    <n v="5"/>
    <m/>
    <m/>
    <n v="2"/>
    <s v="79469969206"/>
    <n v="4"/>
    <x v="3"/>
    <s v="a központi eljárásban magyarországi képzésre"/>
    <n v="88"/>
    <m/>
    <m/>
    <s v="Felvétel"/>
    <d v="2021-09-01T00:00:00"/>
    <s v="310814860295"/>
    <s v="BDPK-SEK"/>
    <s v="Neubauer Nikoletta"/>
    <d v="2021-07-23T00:00:00"/>
    <d v="2024-07-15T00:00:00"/>
    <n v="400000"/>
    <m/>
    <m/>
    <s v="Férfi"/>
    <n v="400000"/>
    <s v="meszaroslaszlo65@gmail.com"/>
    <s v="Kovács Klára"/>
    <n v="0"/>
    <s v="Passzív"/>
    <m/>
    <n v="0"/>
    <s v="magyar"/>
    <m/>
  </r>
  <r>
    <s v="Mészáros Dominika"/>
    <s v="B716QK"/>
    <s v="Aktív"/>
    <s v="tanári [4 félév [természetismeret-környezettan tanár (természettudományi gyakorlatok)]]"/>
    <x v="13"/>
    <s v="tanárképzés"/>
    <s v="TKK-RTAK-LMHU"/>
    <s v="Pécs"/>
    <s v="Baranya"/>
    <s v="Mészáros Dominika"/>
    <s v="Magyarország"/>
    <d v="1984-11-28T00:00:00"/>
    <s v="T191162/FI80798"/>
    <x v="4"/>
    <s v="Önköltséges"/>
    <s v="2021/22/1"/>
    <s v="Levelező"/>
    <n v="2"/>
    <n v="1"/>
    <s v="2011/12/1"/>
    <n v="2"/>
    <s v="72288828220"/>
    <n v="4"/>
    <x v="3"/>
    <s v="a központi eljárásban magyarországi képzésre"/>
    <n v="81"/>
    <m/>
    <m/>
    <s v="Felvétel"/>
    <d v="2021-09-01T00:00:00"/>
    <s v="310914029122"/>
    <s v="BDPK-SEK"/>
    <s v="Neubauer Nikoletta"/>
    <d v="2021-08-27T00:00:00"/>
    <d v="2023-07-15T00:00:00"/>
    <m/>
    <m/>
    <n v="0"/>
    <s v="Nő"/>
    <m/>
    <s v="mdominika841128@gmail.com"/>
    <s v="Krénusza Mónika"/>
    <n v="2"/>
    <s v="Aktív"/>
    <n v="0"/>
    <n v="2"/>
    <s v="magyar"/>
    <n v="400000"/>
  </r>
  <r>
    <s v="Tuboly-Bakács Veronika Mária"/>
    <s v="G1R58E"/>
    <s v="Aktív"/>
    <s v="tanári [4 félév [testnevelő tanár]]"/>
    <x v="8"/>
    <s v="tanárképzés"/>
    <s v="TKK-RTAK-LMHU"/>
    <s v="Budapest"/>
    <s v="Budapest"/>
    <s v="Bakács Veronika Mária"/>
    <s v="Magyarország"/>
    <d v="1975-08-04T00:00:00"/>
    <s v="T168065/FI80798"/>
    <x v="4"/>
    <s v="Állami ösztöndíjas"/>
    <s v="2020/21/1"/>
    <s v="Levelező"/>
    <m/>
    <m/>
    <m/>
    <n v="2"/>
    <s v="71700372030"/>
    <n v="4"/>
    <x v="3"/>
    <s v="a központi eljárásban magyarországi képzésre"/>
    <n v="90"/>
    <m/>
    <m/>
    <s v="Felvétel"/>
    <d v="2020-09-01T00:00:00"/>
    <s v="310804445008"/>
    <s v="BDPK-SEK"/>
    <s v="Neubauer Nikoletta"/>
    <d v="2020-07-23T00:00:00"/>
    <d v="2022-07-15T00:00:00"/>
    <n v="400000"/>
    <m/>
    <n v="3"/>
    <s v="Nő"/>
    <n v="400000"/>
    <s v="veronika.bakacs@gmail.com"/>
    <s v="Gyomina Natalia"/>
    <n v="4"/>
    <s v="Aktív"/>
    <n v="4"/>
    <n v="4"/>
    <s v="magyar"/>
    <m/>
  </r>
  <r>
    <s v="Balogh Rajmund"/>
    <s v="J88OU7"/>
    <s v="Aktív"/>
    <s v="tanári [4 félév [testnevelő tanár]]"/>
    <x v="8"/>
    <s v="tanárképzés"/>
    <s v="TKK-RTAK-LMHU"/>
    <s v="Pécs"/>
    <s v="Baranya"/>
    <s v="Balogh Rajmund"/>
    <s v="Magyarország"/>
    <d v="1991-11-17T00:00:00"/>
    <s v="T184701/FI80798"/>
    <x v="4"/>
    <s v="Állami ösztöndíjas"/>
    <s v="2021/22/1"/>
    <s v="Levelező"/>
    <n v="6"/>
    <n v="1"/>
    <s v="2021/22/2"/>
    <n v="2"/>
    <s v="77111467511"/>
    <n v="4"/>
    <x v="3"/>
    <s v="a központi eljárásban magyarországi képzésre"/>
    <n v="85"/>
    <m/>
    <m/>
    <s v="Felvétel"/>
    <d v="2021-09-01T00:00:00"/>
    <s v="310814939016"/>
    <s v="BDPK-SEK"/>
    <s v="Neubauer Nikoletta"/>
    <d v="2021-07-23T00:00:00"/>
    <d v="2023-07-15T00:00:00"/>
    <n v="400000"/>
    <m/>
    <n v="1"/>
    <s v="Férfi"/>
    <n v="400000"/>
    <s v="baloghrajmi@gmail.com"/>
    <s v="Druzsin Beatrix"/>
    <n v="2"/>
    <s v="Aktív"/>
    <n v="2"/>
    <n v="2"/>
    <s v="magyar"/>
    <m/>
  </r>
  <r>
    <s v="Ihász László"/>
    <s v="XDDTUM"/>
    <s v="Aktív"/>
    <s v="tanári [4 félév [testnevelő tanár]]"/>
    <x v="8"/>
    <s v="tanárképzés"/>
    <s v="TKK-RTAK-LMHU"/>
    <s v="Pápa"/>
    <s v="Veszprém"/>
    <s v="Ihász László"/>
    <s v="Magyarország"/>
    <d v="1978-05-20T00:00:00"/>
    <s v="T170367/FI80798"/>
    <x v="4"/>
    <s v="Állami ösztöndíjas"/>
    <s v="2020/21/1"/>
    <s v="Levelező"/>
    <n v="9"/>
    <n v="1"/>
    <s v="2021/22/2"/>
    <n v="2"/>
    <s v="79448828725"/>
    <n v="4"/>
    <x v="3"/>
    <s v="a központi eljárásban magyarországi képzésre"/>
    <n v="72"/>
    <m/>
    <m/>
    <s v="Felvétel"/>
    <d v="2020-09-01T00:00:00"/>
    <s v="310804823899"/>
    <s v="BDPK-SEK"/>
    <s v="Neubauer Nikoletta"/>
    <d v="2020-07-23T00:00:00"/>
    <d v="2022-07-15T00:00:00"/>
    <n v="400000"/>
    <m/>
    <n v="3"/>
    <s v="Férfi"/>
    <n v="400000"/>
    <s v="ihilaci@gmail.com"/>
    <s v="Dülk Éva"/>
    <n v="4"/>
    <s v="Aktív"/>
    <n v="4"/>
    <n v="4"/>
    <s v="magyar"/>
    <m/>
  </r>
  <r>
    <s v="Katona-Kerekes Réka"/>
    <s v="EMR536"/>
    <s v="Aktív"/>
    <s v="tanári [4 félév [testnevelő tanár]]"/>
    <x v="8"/>
    <s v="tanárképzés"/>
    <s v="TKK-RTAK-LMHU"/>
    <s v="Tiszafüred"/>
    <s v="Jász-Nagykun-Szolnok"/>
    <s v="Kerekes Réka"/>
    <s v="Magyarország"/>
    <d v="1975-06-11T00:00:00"/>
    <s v="T169457/FI80798"/>
    <x v="4"/>
    <s v="Állami ösztöndíjas"/>
    <s v="2020/21/1"/>
    <s v="Levelező"/>
    <n v="2"/>
    <n v="1"/>
    <s v="2021/22/2"/>
    <n v="2"/>
    <s v="76275454381"/>
    <n v="4"/>
    <x v="3"/>
    <s v="a központi eljárásban magyarországi képzésre"/>
    <n v="80"/>
    <m/>
    <m/>
    <s v="Felvétel"/>
    <d v="2020-09-01T00:00:00"/>
    <s v="310804959909"/>
    <s v="BDPK-SEK"/>
    <s v="Neubauer Nikoletta"/>
    <d v="2020-07-23T00:00:00"/>
    <d v="2022-07-15T00:00:00"/>
    <n v="400000"/>
    <m/>
    <n v="4"/>
    <s v="Nő"/>
    <n v="400000"/>
    <s v="bubarek11@gmail.com"/>
    <s v="Kontra Ibolya Margit"/>
    <n v="4"/>
    <s v="Aktív"/>
    <n v="4"/>
    <n v="4"/>
    <s v="magyar"/>
    <m/>
  </r>
  <r>
    <s v="Farkas Attila"/>
    <s v="CGMP8R"/>
    <s v="Aktív"/>
    <s v="tanári [4 félév [testnevelő tanár]]"/>
    <x v="8"/>
    <s v="tanárképzés"/>
    <s v="TKK-RTAK-LMHU"/>
    <s v="Pápa"/>
    <s v="Veszprém"/>
    <s v="Farkas Attila"/>
    <s v="Magyarország"/>
    <d v="1975-05-02T00:00:00"/>
    <s v="T183372/FI80798"/>
    <x v="4"/>
    <s v="Állami ösztöndíjas"/>
    <s v="2021/22/1"/>
    <s v="Levelező"/>
    <n v="8"/>
    <n v="1"/>
    <s v="2021/22/2"/>
    <n v="2"/>
    <s v="71391683396"/>
    <n v="4"/>
    <x v="3"/>
    <s v="a központi eljárásban magyarországi képzésre"/>
    <n v="80"/>
    <m/>
    <m/>
    <s v="Felvétel"/>
    <d v="2021-09-01T00:00:00"/>
    <s v="310814090042"/>
    <s v="BDPK-SEK"/>
    <s v="Neubauer Nikoletta"/>
    <d v="2021-07-23T00:00:00"/>
    <d v="2023-07-15T00:00:00"/>
    <n v="400000"/>
    <m/>
    <n v="1"/>
    <s v="Férfi"/>
    <n v="400000"/>
    <s v="djdugo@gmail.com"/>
    <s v="Kasza Valéria"/>
    <n v="2"/>
    <s v="Aktív"/>
    <n v="2"/>
    <n v="2"/>
    <s v="magyar"/>
    <m/>
  </r>
  <r>
    <s v="Góth Gábor"/>
    <s v="ATRW37"/>
    <s v="Aktív"/>
    <s v="tanári [4 félév [testnevelő tanár]]"/>
    <x v="8"/>
    <s v="tanárképzés"/>
    <s v="TKK-RTAK-LMHU"/>
    <s v="Keszthely"/>
    <s v="Zala"/>
    <s v="Góth Gábor"/>
    <s v="Magyarország"/>
    <d v="1977-02-12T00:00:00"/>
    <s v="T186489/FI80798"/>
    <x v="4"/>
    <s v="Állami ösztöndíjas"/>
    <s v="2021/22/1"/>
    <s v="Levelező"/>
    <n v="5"/>
    <n v="1"/>
    <s v="2021/22/2"/>
    <n v="2"/>
    <s v="72937049134"/>
    <n v="4"/>
    <x v="3"/>
    <s v="a központi eljárásban magyarországi képzésre"/>
    <n v="75"/>
    <m/>
    <m/>
    <s v="Felvétel"/>
    <d v="2021-09-01T00:00:00"/>
    <s v="310814915313"/>
    <s v="BDPK-SEK"/>
    <s v="Neubauer Nikoletta"/>
    <d v="2021-07-23T00:00:00"/>
    <d v="2023-07-15T00:00:00"/>
    <n v="400000"/>
    <m/>
    <n v="1"/>
    <s v="Férfi"/>
    <n v="400000"/>
    <s v="goth.gabor@gmail.com"/>
    <s v="Bagoly Mária"/>
    <n v="2"/>
    <s v="Aktív"/>
    <n v="2"/>
    <n v="2"/>
    <s v="magyar"/>
    <m/>
  </r>
  <r>
    <s v="Halász Noémi"/>
    <s v="B49Q89"/>
    <s v="Aktív"/>
    <s v="tanári [4 félév [testnevelő tanár]]"/>
    <x v="8"/>
    <s v="tanárképzés"/>
    <s v="TKK-RTAK-LMHU"/>
    <s v="Győr"/>
    <s v="Győr-Moson-Sopron"/>
    <s v="Leimeiszter Noémi"/>
    <s v="Magyarország"/>
    <d v="1986-12-04T00:00:00"/>
    <s v="T193010/FI80798"/>
    <x v="4"/>
    <s v="Állami ösztöndíjas"/>
    <s v="2021/22/1"/>
    <s v="Levelező"/>
    <n v="7"/>
    <n v="1"/>
    <s v="2021/22/2"/>
    <n v="2"/>
    <s v="72110613456"/>
    <n v="4"/>
    <x v="3"/>
    <m/>
    <m/>
    <m/>
    <m/>
    <s v="Átvétel kérelemre más magyarországi intézményből"/>
    <d v="2022-02-01T00:00:00"/>
    <m/>
    <s v="BDPK-SEK"/>
    <s v="Neubauer Nikoletta"/>
    <d v="2021-07-23T00:00:00"/>
    <d v="2023-07-15T00:00:00"/>
    <m/>
    <m/>
    <m/>
    <s v="Nő"/>
    <n v="300000"/>
    <s v="l.noni8604@gmail.com"/>
    <s v="Huszár Zsuzsanna"/>
    <n v="1"/>
    <s v="Aktív"/>
    <n v="1"/>
    <n v="2"/>
    <s v="magyar"/>
    <m/>
  </r>
  <r>
    <s v="Szőke Dávid"/>
    <s v="WHR0MC"/>
    <s v="Aktív"/>
    <s v="tanári [4 félév [testnevelő tanár]]"/>
    <x v="8"/>
    <s v="tanárképzés"/>
    <s v="TKK-RTAK-LMHU"/>
    <s v="Veszprém"/>
    <s v="Veszprém"/>
    <s v="Szőke Dávid"/>
    <s v="Magyarország"/>
    <d v="1990-04-03T00:00:00"/>
    <s v="T182198/FI80798"/>
    <x v="4"/>
    <s v="Állami ösztöndíjas"/>
    <s v="2021/22/1"/>
    <s v="Levelező"/>
    <n v="3"/>
    <n v="1"/>
    <s v="2021/22/2"/>
    <n v="2"/>
    <s v="77663038330"/>
    <n v="4"/>
    <x v="3"/>
    <s v="a központi eljárásban magyarországi képzésre"/>
    <n v="90"/>
    <m/>
    <m/>
    <s v="Felvétel"/>
    <d v="2021-09-01T00:00:00"/>
    <s v="310814681451"/>
    <s v="BDPK-SEK"/>
    <s v="Neubauer Nikoletta"/>
    <d v="2021-07-23T00:00:00"/>
    <d v="2023-07-15T00:00:00"/>
    <n v="400000"/>
    <m/>
    <n v="2"/>
    <s v="Férfi"/>
    <n v="400000"/>
    <s v="szok3david@gmail.com"/>
    <s v="Szlávik Szilvia"/>
    <n v="2"/>
    <s v="Aktív"/>
    <n v="2"/>
    <n v="2"/>
    <s v="magyar"/>
    <m/>
  </r>
  <r>
    <s v="Varga-Turi Katalin"/>
    <s v="JBYDF0"/>
    <s v="Aktív"/>
    <s v="tanári [4 félév [testnevelő tanár]]"/>
    <x v="8"/>
    <s v="tanárképzés"/>
    <s v="TKK-RTAK-LMHU"/>
    <s v="Nagykanizsa"/>
    <s v="Zala"/>
    <s v="Turi Katalin"/>
    <s v="Magyarország"/>
    <d v="1982-10-27T00:00:00"/>
    <s v="T182738/FI80798"/>
    <x v="4"/>
    <s v="Állami ösztöndíjas"/>
    <s v="2021/22/1"/>
    <s v="Levelező"/>
    <n v="4"/>
    <n v="1"/>
    <s v="2021/22/2"/>
    <n v="2"/>
    <s v="72116138885"/>
    <n v="4"/>
    <x v="3"/>
    <s v="a központi eljárásban magyarországi képzésre"/>
    <n v="85"/>
    <m/>
    <m/>
    <s v="Felvétel"/>
    <d v="2021-09-01T00:00:00"/>
    <s v="310814156629"/>
    <s v="BDPK-SEK"/>
    <s v="Neubauer Nikoletta"/>
    <d v="2021-07-23T00:00:00"/>
    <d v="2023-07-15T00:00:00"/>
    <n v="400000"/>
    <m/>
    <n v="1"/>
    <s v="Nő"/>
    <n v="400000"/>
    <s v="katalin.turi@gmail.com"/>
    <s v="Ferincz Ágnes Mária"/>
    <n v="2"/>
    <s v="Aktív"/>
    <n v="2"/>
    <n v="2"/>
    <s v="magyar"/>
    <m/>
  </r>
  <r>
    <s v="Dinnyei Béla"/>
    <s v="QENZSN"/>
    <s v="Aktív"/>
    <s v="tanári [4 félév [történelemtanár és állampolgári ismeretek tanára]]"/>
    <x v="9"/>
    <s v="tanárképzés"/>
    <s v="TKK-RTAK-LMHU"/>
    <s v="Budapest"/>
    <s v="Budapest"/>
    <s v="Dinnyei Béla"/>
    <s v="Magyarország"/>
    <d v="1975-11-06T00:00:00"/>
    <s v="T183669/FI80798"/>
    <x v="4"/>
    <s v="Állami ösztöndíjas"/>
    <s v="2021/22/1"/>
    <s v="Levelező"/>
    <n v="4"/>
    <n v="1"/>
    <s v="2021/22/2"/>
    <n v="2"/>
    <s v="74447914525"/>
    <n v="4"/>
    <x v="3"/>
    <s v="a központi eljárásban magyarországi képzésre"/>
    <n v="90"/>
    <m/>
    <m/>
    <s v="Felvétel"/>
    <d v="2021-09-01T00:00:00"/>
    <s v="310814248277"/>
    <s v="BDPK-SEK"/>
    <s v="Neubauer Nikoletta"/>
    <d v="2021-07-23T00:00:00"/>
    <d v="2023-07-15T00:00:00"/>
    <n v="400000"/>
    <m/>
    <n v="1"/>
    <s v="Férfi"/>
    <n v="400000"/>
    <s v="bdinnyei@gmail.com"/>
    <s v="Gyollai Eszter"/>
    <n v="2"/>
    <s v="Aktív"/>
    <n v="2"/>
    <n v="2"/>
    <s v="magyar"/>
    <m/>
  </r>
  <r>
    <s v="Handler András Dr."/>
    <s v="GJUVR2"/>
    <s v="Aktív"/>
    <s v="tanári [4 félév [történelemtanár és állampolgári ismeretek tanára]]"/>
    <x v="9"/>
    <s v="tanárképzés"/>
    <s v="TKK-RTAK-LMHU"/>
    <s v="Szombathely"/>
    <s v="Vas"/>
    <s v="Handler András"/>
    <s v="Magyarország"/>
    <d v="1974-01-15T00:00:00"/>
    <s v="T188892/FI80798"/>
    <x v="4"/>
    <s v="Állami ösztöndíjas"/>
    <s v="2021/22/1"/>
    <s v="Levelező"/>
    <n v="11"/>
    <n v="1"/>
    <s v="2021/22/2"/>
    <n v="2"/>
    <s v="72263351366"/>
    <n v="4"/>
    <x v="3"/>
    <s v="a központi eljárásban magyarországi képzésre"/>
    <n v="89"/>
    <m/>
    <m/>
    <s v="Felvétel"/>
    <d v="2021-09-01T00:00:00"/>
    <s v="310814729185"/>
    <s v="BDPK-SEK"/>
    <s v="Neubauer Nikoletta"/>
    <d v="2021-07-23T00:00:00"/>
    <d v="2023-07-15T00:00:00"/>
    <n v="400000"/>
    <m/>
    <n v="1"/>
    <s v="Férfi"/>
    <n v="400000"/>
    <s v="handlera@gmail.com"/>
    <s v="Németh Judit"/>
    <n v="2"/>
    <s v="Aktív"/>
    <n v="2"/>
    <n v="2"/>
    <s v="magyar"/>
    <m/>
  </r>
  <r>
    <s v="Szabó Krisztián"/>
    <s v="ZHPFQH"/>
    <s v="Aktív"/>
    <s v="tanári [4 félév [történelemtanár és állampolgári ismeretek tanára]]"/>
    <x v="9"/>
    <s v="tanárképzés"/>
    <s v="TKK-RTAK-LMHU"/>
    <s v="Dunaújváros"/>
    <s v="Fejér"/>
    <s v="Szabó Krisztián"/>
    <s v="Magyarország"/>
    <d v="1972-09-25T00:00:00"/>
    <s v="T185403/FI80798"/>
    <x v="4"/>
    <s v="Állami ösztöndíjas"/>
    <s v="2021/22/1"/>
    <s v="Levelező"/>
    <n v="4"/>
    <n v="1"/>
    <s v="2021/22/2"/>
    <n v="2"/>
    <s v="71397128699"/>
    <n v="4"/>
    <x v="3"/>
    <s v="a központi eljárásban magyarországi képzésre"/>
    <n v="78"/>
    <m/>
    <m/>
    <s v="Felvétel"/>
    <d v="2021-09-01T00:00:00"/>
    <s v="310814392364"/>
    <s v="BDPK-SEK"/>
    <s v="Neubauer Nikoletta"/>
    <d v="2021-07-23T00:00:00"/>
    <d v="2023-07-15T00:00:00"/>
    <n v="400000"/>
    <m/>
    <n v="1"/>
    <s v="Férfi"/>
    <n v="400000"/>
    <s v="akriszc72@freemail.hu"/>
    <s v="Horváth Ilona"/>
    <n v="2"/>
    <s v="Aktív"/>
    <n v="2"/>
    <n v="2"/>
    <s v="magyar"/>
    <m/>
  </r>
  <r>
    <s v="Filipovits Rajmund"/>
    <s v="LL8PPH"/>
    <s v="Aktív"/>
    <s v="tanári [4 félév [történelemtanár és állampolgári ismeretek tanára]]"/>
    <x v="9"/>
    <s v="tanárképzés"/>
    <s v="TKK-RTAK-LMHU"/>
    <s v="Szombathely"/>
    <s v="Vas"/>
    <s v="Filipovits Rajmund"/>
    <s v="Magyarország"/>
    <d v="1979-08-06T00:00:00"/>
    <s v="T170935/FI80798"/>
    <x v="4"/>
    <s v="Állami ösztöndíjas"/>
    <s v="2020/21/1"/>
    <s v="Levelező"/>
    <n v="6"/>
    <n v="1"/>
    <s v="2021/22/2"/>
    <n v="2"/>
    <s v="71759323400"/>
    <n v="4"/>
    <x v="3"/>
    <s v="a központi eljárásban magyarországi képzésre"/>
    <n v="84"/>
    <m/>
    <m/>
    <s v="Felvétel"/>
    <d v="2020-09-01T00:00:00"/>
    <s v="310804890260"/>
    <s v="BDPK-SEK"/>
    <s v="Neubauer Nikoletta"/>
    <d v="2020-07-23T00:00:00"/>
    <d v="2022-07-15T00:00:00"/>
    <n v="400000"/>
    <m/>
    <n v="3"/>
    <s v="Férfi"/>
    <n v="400000"/>
    <s v="filipovitsfam@gmail.com"/>
    <s v="Barilovits Magdolna"/>
    <n v="4"/>
    <s v="Aktív"/>
    <n v="4"/>
    <n v="4"/>
    <s v="magyar"/>
    <m/>
  </r>
  <r>
    <s v="Herczeg Balázs"/>
    <s v="RHTJLQ"/>
    <s v="Aktív"/>
    <s v="tanári [4 félév [történelemtanár és állampolgári ismeretek tanára]]"/>
    <x v="9"/>
    <s v="tanárképzés"/>
    <s v="TKK-RTAK-LMHU"/>
    <s v="Veszprém"/>
    <s v="Veszprém"/>
    <s v="Herczeg Balázs"/>
    <s v="Magyarország"/>
    <d v="1995-12-04T00:00:00"/>
    <s v="T170505/FI80798"/>
    <x v="4"/>
    <s v="Önköltséges"/>
    <s v="2020/21/1"/>
    <s v="Levelező"/>
    <n v="1"/>
    <n v="1"/>
    <s v="2020/21/2"/>
    <n v="2"/>
    <s v="72607188424"/>
    <n v="4"/>
    <x v="3"/>
    <s v="a központi eljárásban magyarországi képzésre"/>
    <n v="81"/>
    <m/>
    <m/>
    <s v="Felvétel"/>
    <d v="2020-09-01T00:00:00"/>
    <s v="310804947102"/>
    <s v="BDPK-SEK"/>
    <s v="Neubauer Nikoletta"/>
    <d v="2020-07-23T00:00:00"/>
    <d v="2022-07-15T00:00:00"/>
    <n v="400000"/>
    <m/>
    <n v="2"/>
    <s v="Férfi"/>
    <n v="400000"/>
    <s v="balazs951204@freemail.hu"/>
    <s v="Földes Andrea"/>
    <n v="4"/>
    <s v="Aktív"/>
    <n v="2"/>
    <n v="4"/>
    <s v="magyar"/>
    <n v="400000"/>
  </r>
  <r>
    <s v="Pecsenka Dávid"/>
    <s v="OVP1BR"/>
    <s v="Aktív"/>
    <s v="tanári [4 félév [történelemtanár és állampolgári ismeretek tanára]]"/>
    <x v="9"/>
    <s v="tanárképzés"/>
    <s v="TKK-RTAK-LMHU"/>
    <s v="Győr"/>
    <s v="Győr-Moson-Sopron"/>
    <s v="Pecsenka Dávid"/>
    <s v="Magyarország"/>
    <d v="1994-11-26T00:00:00"/>
    <s v="T164853/FI80798"/>
    <x v="4"/>
    <s v="Állami ösztöndíjas"/>
    <s v="2020/21/1"/>
    <s v="Levelező"/>
    <n v="1"/>
    <n v="1"/>
    <s v="2021/22/2"/>
    <n v="2"/>
    <s v="73912972438"/>
    <n v="4"/>
    <x v="3"/>
    <s v="a központi eljárásban magyarországi képzésre"/>
    <n v="88"/>
    <m/>
    <m/>
    <s v="Felvétel"/>
    <d v="2020-09-01T00:00:00"/>
    <s v="310804962432"/>
    <s v="BDPK-SEK"/>
    <s v="Neubauer Nikoletta"/>
    <d v="2020-07-23T00:00:00"/>
    <d v="2022-07-15T00:00:00"/>
    <n v="400000"/>
    <m/>
    <n v="3"/>
    <s v="Férfi"/>
    <n v="400000"/>
    <s v="knoxville94@gmail.com"/>
    <s v="Szluka Tünde"/>
    <n v="4"/>
    <s v="Aktív"/>
    <n v="4"/>
    <n v="4"/>
    <s v="magyar"/>
    <m/>
  </r>
  <r>
    <s v="Nyitrainé Alagi Renáta"/>
    <s v="T19FGT"/>
    <s v="Aktív"/>
    <s v="tanári [4 félév [történelemtanár és állampolgári ismeretek tanára]]"/>
    <x v="9"/>
    <s v="tanárképzés"/>
    <s v="TKK-RTAK-LMHU"/>
    <s v="Ajka"/>
    <s v="Veszprém"/>
    <s v="Alagi Renáta"/>
    <s v="Magyarország"/>
    <d v="1986-03-29T00:00:00"/>
    <s v="T166300/FI80798"/>
    <x v="4"/>
    <s v="Önköltséges"/>
    <s v="2020/21/1"/>
    <s v="Levelező"/>
    <n v="1"/>
    <n v="1"/>
    <s v="2010/11/1"/>
    <n v="2"/>
    <s v="72822726890"/>
    <n v="4"/>
    <x v="3"/>
    <s v="a központi eljárásban magyarországi képzésre"/>
    <n v="84"/>
    <m/>
    <m/>
    <s v="Felvétel"/>
    <d v="2020-09-01T00:00:00"/>
    <s v="310804256553"/>
    <s v="BDPK-SEK"/>
    <s v="Neubauer Nikoletta"/>
    <d v="2020-07-23T00:00:00"/>
    <d v="2022-07-15T00:00:00"/>
    <m/>
    <m/>
    <n v="0"/>
    <s v="Nő"/>
    <m/>
    <s v="alagi.reni@gmail.com"/>
    <s v="Fülöp Anna"/>
    <n v="4"/>
    <s v="Aktív"/>
    <n v="0"/>
    <n v="4"/>
    <s v="magyar"/>
    <n v="400000"/>
  </r>
  <r>
    <s v="Csanádi Eszter"/>
    <s v="XNVW3V"/>
    <s v="Passzív"/>
    <s v="tanári [4 félév [történelemtanár és állampolgári ismeretek tanára]]"/>
    <x v="9"/>
    <s v="tanárképzés"/>
    <s v="TKK-RTAK-LMHU"/>
    <s v="Tatabánya"/>
    <s v="Komárom-Esztergom"/>
    <s v="Csanádi Eszter"/>
    <s v="Magyarország"/>
    <d v="1974-01-02T00:00:00"/>
    <s v="T188973/FI80798"/>
    <x v="4"/>
    <s v="Önköltséges"/>
    <s v="2021/22/1"/>
    <s v="Levelező"/>
    <n v="-9"/>
    <m/>
    <m/>
    <n v="2"/>
    <s v="72030198020"/>
    <n v="4"/>
    <x v="3"/>
    <s v="a központi eljárásban magyarországi képzésre"/>
    <n v="84"/>
    <m/>
    <m/>
    <s v="Felvétel"/>
    <d v="2021-09-01T00:00:00"/>
    <s v="310814358498"/>
    <s v="BDPK-SEK"/>
    <s v="Neubauer Nikoletta"/>
    <d v="2021-07-23T00:00:00"/>
    <d v="2024-07-15T00:00:00"/>
    <m/>
    <m/>
    <n v="0"/>
    <s v="Nő"/>
    <m/>
    <s v="eszter.csanadi@yahoo.com"/>
    <s v="Tikos Katalin"/>
    <n v="1"/>
    <s v="Passzív"/>
    <n v="0"/>
    <n v="1"/>
    <s v="magyar"/>
    <m/>
  </r>
  <r>
    <s v="Szabó Ágnes"/>
    <s v="MFHS56"/>
    <s v="Aktív"/>
    <s v="tanító"/>
    <x v="16"/>
    <s v="tanító"/>
    <s v="TÓK-TAN-NBHU"/>
    <s v="Keszthely"/>
    <s v="Zala"/>
    <s v="Szabó Ágnes"/>
    <s v="Magyarország"/>
    <d v="1981-09-08T00:00:00"/>
    <s v="T172900/FI80798"/>
    <x v="0"/>
    <s v="Önköltséges"/>
    <s v="2020/21/1"/>
    <s v="Nappali"/>
    <n v="5"/>
    <n v="1"/>
    <s v="2006/07/2"/>
    <n v="8"/>
    <s v="72601308338"/>
    <n v="8"/>
    <x v="3"/>
    <s v="a központi eljárásban magyarországi képzésre"/>
    <n v="320"/>
    <m/>
    <m/>
    <s v="Felvétel"/>
    <d v="2020-09-10T00:00:00"/>
    <s v="310904103523"/>
    <s v="BDPK-SEK"/>
    <s v="Neubauer Nikoletta"/>
    <d v="2020-08-27T00:00:00"/>
    <d v="2025-07-15T00:00:00"/>
    <m/>
    <m/>
    <n v="0"/>
    <s v="Nő"/>
    <m/>
    <s v="szomorce@gmail.com"/>
    <s v="Siszler Katalin"/>
    <n v="3"/>
    <s v="Aktív"/>
    <n v="0"/>
    <n v="3"/>
    <s v="magyar"/>
    <n v="200000"/>
  </r>
  <r>
    <s v="Horvat-Macoun Andrea"/>
    <s v="VOYOZK"/>
    <s v="Aktív"/>
    <s v="tanító"/>
    <x v="16"/>
    <s v="tanító"/>
    <s v="TÓK-TAN-LBHU"/>
    <s v="Szombathely"/>
    <s v="Vas"/>
    <s v="Macoun Andrea"/>
    <s v="Magyarország"/>
    <d v="1982-02-19T00:00:00"/>
    <s v="T189082/FI80798"/>
    <x v="0"/>
    <s v="Önköltséges"/>
    <s v="2021/22/1"/>
    <s v="Levelező"/>
    <n v="1"/>
    <n v="1"/>
    <s v="2012/13/2"/>
    <n v="8"/>
    <s v="72300944020"/>
    <n v="8"/>
    <x v="3"/>
    <s v="a központi eljárásban magyarországi képzésre"/>
    <n v="440"/>
    <m/>
    <m/>
    <s v="Felvétel"/>
    <d v="2021-09-01T00:00:00"/>
    <s v="310814236819"/>
    <s v="BDPK-SEK"/>
    <s v="Neubauer Nikoletta"/>
    <d v="2021-07-23T00:00:00"/>
    <d v="2025-07-15T00:00:00"/>
    <m/>
    <m/>
    <n v="0"/>
    <s v="Nő"/>
    <m/>
    <s v="andrea.macoun5@gmail.com"/>
    <s v="Macoun Márta Mária"/>
    <n v="2"/>
    <s v="Aktív"/>
    <n v="0"/>
    <n v="2"/>
    <s v="magyar"/>
    <n v="200000"/>
  </r>
  <r>
    <s v="Horváth Zoltán Ferenc"/>
    <s v="QYMSFF"/>
    <s v="Aktív"/>
    <s v="tanító"/>
    <x v="16"/>
    <s v="tanító"/>
    <s v="TÓK-TAN-LBHU"/>
    <s v="Szombathely"/>
    <s v="Vas"/>
    <s v="Horváth Zoltán Ferenc"/>
    <s v="Magyarország"/>
    <d v="1972-08-17T00:00:00"/>
    <s v="T141897/FI80798"/>
    <x v="0"/>
    <s v="Állami ösztöndíjas"/>
    <s v="2018/19/1"/>
    <s v="Levelező"/>
    <n v="7"/>
    <n v="1"/>
    <s v="2021/22/2"/>
    <n v="8"/>
    <s v="71739713875"/>
    <n v="8"/>
    <x v="3"/>
    <s v="a központi eljárásban magyarországi képzésre"/>
    <n v="360"/>
    <m/>
    <m/>
    <s v="Felvétel"/>
    <d v="2018-09-01T00:00:00"/>
    <s v="310892087746"/>
    <s v="BDPK-SEK"/>
    <s v="Neubauer Nikoletta"/>
    <d v="2018-08-24T00:00:00"/>
    <d v="2022-06-30T00:00:00"/>
    <n v="200000"/>
    <m/>
    <n v="5"/>
    <s v="Férfi"/>
    <n v="200000"/>
    <s v="gazdaderko@gmail.com"/>
    <s v="Zarka Katalin"/>
    <n v="8"/>
    <s v="Aktív"/>
    <n v="6"/>
    <n v="8"/>
    <s v="magyar"/>
    <m/>
  </r>
  <r>
    <s v="Unger Zsuzsanna Tünde"/>
    <s v="N8PR28"/>
    <s v="Aktív"/>
    <s v="tanító"/>
    <x v="16"/>
    <s v="tanító"/>
    <s v="TÓK-TAN-LBHU"/>
    <s v="Debrecen"/>
    <s v="Hajdú-Bihar"/>
    <s v="Török Zsuzsanna Tünde"/>
    <s v="Magyarország"/>
    <d v="1967-03-20T00:00:00"/>
    <s v="T171783/FI80798"/>
    <x v="0"/>
    <s v="Önköltséges"/>
    <s v="2020/21/1"/>
    <s v="Levelező"/>
    <n v="-1"/>
    <n v="1"/>
    <s v="2017/18/2"/>
    <n v="8"/>
    <s v="71713318679"/>
    <n v="8"/>
    <x v="3"/>
    <s v="a központi eljárásban magyarországi képzésre"/>
    <n v="432"/>
    <m/>
    <m/>
    <s v="Felvétel"/>
    <d v="2020-09-01T00:00:00"/>
    <s v="310904022863"/>
    <s v="BDPK-SEK"/>
    <s v="Neubauer Nikoletta"/>
    <d v="2020-08-27T00:00:00"/>
    <d v="2024-07-15T00:00:00"/>
    <m/>
    <m/>
    <n v="0"/>
    <s v="Nő"/>
    <m/>
    <s v="zsuunger@gmail.com"/>
    <s v="Nagy Katalin"/>
    <n v="4"/>
    <s v="Aktív"/>
    <n v="12"/>
    <n v="4"/>
    <s v="magyar"/>
    <n v="200000"/>
  </r>
  <r>
    <s v="Baján Tamás Bence"/>
    <s v="DX8BR6"/>
    <s v="Aktív"/>
    <s v="tanító"/>
    <x v="16"/>
    <s v="tanító"/>
    <s v="TÓK-TAN-LBHU"/>
    <s v="Szombathely"/>
    <s v="Vas"/>
    <s v="Baján Tamás Bence"/>
    <s v="Magyarország"/>
    <d v="1994-12-01T00:00:00"/>
    <s v="T191367/FI80798"/>
    <x v="0"/>
    <s v="Állami ösztöndíjas"/>
    <s v="2021/22/1"/>
    <s v="Levelező"/>
    <n v="3"/>
    <n v="1"/>
    <s v="2021/22/2"/>
    <n v="8"/>
    <s v="72307947786"/>
    <n v="8"/>
    <x v="3"/>
    <s v="a központi eljárásban magyarországi képzésre"/>
    <n v="398"/>
    <m/>
    <m/>
    <s v="Felvétel"/>
    <d v="2021-09-01T00:00:00"/>
    <s v="310914072569"/>
    <s v="BDPK-SEK"/>
    <s v="Neubauer Nikoletta"/>
    <d v="2021-08-27T00:00:00"/>
    <d v="2025-07-15T00:00:00"/>
    <n v="200000"/>
    <m/>
    <n v="1"/>
    <s v="Férfi"/>
    <n v="200000"/>
    <s v="bthb94@gmail.com"/>
    <s v="Kereszti Judit Mária"/>
    <n v="2"/>
    <s v="Aktív"/>
    <n v="2"/>
    <n v="2"/>
    <s v="magyar"/>
    <m/>
  </r>
  <r>
    <s v="Belloni Ágnes"/>
    <s v="KHC55B"/>
    <s v="Passzív"/>
    <s v="tanító"/>
    <x v="16"/>
    <s v="tanító"/>
    <s v="TÓK-TAN-LBHU"/>
    <s v="Zalaegerszeg"/>
    <s v="Zala"/>
    <s v="Belloni Ágnes"/>
    <s v="Magyarország"/>
    <d v="1985-10-05T00:00:00"/>
    <s v="T184125/FI80798"/>
    <x v="0"/>
    <s v="Önköltséges"/>
    <s v="2021/22/1"/>
    <s v="Levelező"/>
    <n v="2"/>
    <n v="1"/>
    <s v="2009/10/1"/>
    <n v="8"/>
    <s v="71739268043"/>
    <n v="8"/>
    <x v="3"/>
    <s v="a központi eljárásban magyarországi képzésre"/>
    <n v="340"/>
    <m/>
    <m/>
    <s v="Felvétel"/>
    <d v="2021-09-01T00:00:00"/>
    <s v="310814413806"/>
    <s v="BDPK-SEK"/>
    <s v="Neubauer Nikoletta"/>
    <d v="2021-07-23T00:00:00"/>
    <d v="2026-07-15T00:00:00"/>
    <m/>
    <m/>
    <m/>
    <s v="Nő"/>
    <m/>
    <s v="belloniagnes@gmail.com"/>
    <s v="Szőke Erzsébet"/>
    <n v="0"/>
    <s v="Passzív"/>
    <m/>
    <n v="0"/>
    <s v="magyar"/>
    <m/>
  </r>
  <r>
    <s v="Friedrich Róbertné"/>
    <s v="GZGAQ8"/>
    <s v="Aktív"/>
    <s v="tanító"/>
    <x v="16"/>
    <s v="tanító"/>
    <s v="TÓK-TAN-LBHU"/>
    <s v="Baja"/>
    <s v="Bács-Kiskun"/>
    <s v="Farkas Henrietta"/>
    <s v="Magyarország"/>
    <d v="1991-10-29T00:00:00"/>
    <s v="T179928/FI80798"/>
    <x v="0"/>
    <s v="Állami ösztöndíjas"/>
    <s v="2021/22/1"/>
    <s v="Levelező"/>
    <n v="10"/>
    <n v="1"/>
    <s v="2021/22/2"/>
    <n v="8"/>
    <s v="78798016420"/>
    <n v="8"/>
    <x v="3"/>
    <s v="a központi eljárásban magyarországi képzésre"/>
    <n v="383"/>
    <m/>
    <m/>
    <s v="Felvétel"/>
    <d v="2021-09-01T00:00:00"/>
    <s v="310815093474"/>
    <s v="BDPK-SEK"/>
    <s v="Neubauer Nikoletta"/>
    <d v="2021-07-23T00:00:00"/>
    <d v="2025-07-15T00:00:00"/>
    <n v="200000"/>
    <m/>
    <n v="2"/>
    <s v="Nő"/>
    <n v="200000"/>
    <s v="henrietta.wolf@gmail.com"/>
    <s v="Frányó Katalin"/>
    <n v="2"/>
    <s v="Aktív"/>
    <n v="2"/>
    <n v="2"/>
    <s v="magyar"/>
    <m/>
  </r>
  <r>
    <s v="Fodor Zsolt"/>
    <s v="UJOVX9"/>
    <s v="Aktív"/>
    <s v="tanító"/>
    <x v="16"/>
    <s v="tanító"/>
    <s v="TÓK-TAN-LBHU"/>
    <s v="Nyíregyháza"/>
    <s v="Szabolcs-Szatmár-Bereg"/>
    <s v="Fodor Zsolt"/>
    <s v="Magyarország"/>
    <d v="1988-09-21T00:00:00"/>
    <s v="T170990/FI80798"/>
    <x v="0"/>
    <s v="Önköltséges"/>
    <s v="2020/21/1"/>
    <s v="Levelező"/>
    <n v="0"/>
    <n v="1"/>
    <s v="2013/14/1"/>
    <n v="8"/>
    <s v="71749101786"/>
    <n v="8"/>
    <x v="3"/>
    <s v="a központi eljárásban magyarországi képzésre"/>
    <n v="392"/>
    <m/>
    <m/>
    <s v="Felvétel"/>
    <d v="2020-09-01T00:00:00"/>
    <s v="310804108630"/>
    <s v="BDPK-SEK"/>
    <s v="Neubauer Nikoletta"/>
    <d v="2020-07-23T00:00:00"/>
    <d v="2024-07-15T00:00:00"/>
    <m/>
    <m/>
    <n v="0"/>
    <s v="Férfi"/>
    <m/>
    <s v="fodorzsolt921@gmail.com"/>
    <s v="Szikszai Ilona"/>
    <n v="4"/>
    <s v="Aktív"/>
    <n v="0"/>
    <n v="4"/>
    <s v="magyar"/>
    <n v="200000"/>
  </r>
  <r>
    <s v="Wágner-Kapitár Szabina"/>
    <s v="K7ZIAF"/>
    <s v="Aktív"/>
    <s v="tanító"/>
    <x v="16"/>
    <s v="tanító"/>
    <s v="TÓK-TAN-LBHU"/>
    <s v="Szombathely"/>
    <s v="Vas"/>
    <s v="Kapitár Szabina"/>
    <s v="Magyarország"/>
    <d v="1985-01-31T00:00:00"/>
    <s v="T135801/FI80798"/>
    <x v="0"/>
    <s v="Állami ösztöndíjas"/>
    <s v="2018/19/1"/>
    <s v="Levelező"/>
    <n v="4"/>
    <n v="1"/>
    <s v="2021/22/2"/>
    <n v="8"/>
    <s v="71971273593"/>
    <n v="8"/>
    <x v="3"/>
    <s v="a központi eljárásban magyarországi képzésre"/>
    <n v="426"/>
    <m/>
    <m/>
    <s v="Felvétel"/>
    <d v="2018-09-01T00:00:00"/>
    <s v="310882999918"/>
    <s v="BDPK-SEK"/>
    <s v="Neubauer Nikoletta"/>
    <d v="2018-07-25T00:00:00"/>
    <d v="2022-06-30T00:00:00"/>
    <n v="200000"/>
    <m/>
    <n v="7"/>
    <s v="Nő"/>
    <n v="200000"/>
    <s v="kapitar.szabina@gmail.com"/>
    <s v="Pataki Gyöngyi Mária"/>
    <n v="8"/>
    <s v="Aktív"/>
    <n v="8"/>
    <n v="8"/>
    <s v="magyar"/>
    <m/>
  </r>
  <r>
    <s v="Fukcius Réka"/>
    <s v="KVHA6X"/>
    <s v="Aktív"/>
    <s v="tanító"/>
    <x v="16"/>
    <s v="tanító"/>
    <s v="TÓK-TAN-LBHU"/>
    <s v="Szombathely"/>
    <s v="Vas"/>
    <s v="Fukcius Réka"/>
    <s v="Magyarország"/>
    <d v="1998-01-10T00:00:00"/>
    <s v="T138072/FI80798"/>
    <x v="0"/>
    <s v="Állami ösztöndíjas"/>
    <s v="2018/19/1"/>
    <s v="Levelező"/>
    <n v="4"/>
    <n v="1"/>
    <s v="2021/22/2"/>
    <n v="8"/>
    <s v="73118893901"/>
    <n v="8"/>
    <x v="3"/>
    <s v="a központi eljárásban magyarországi képzésre"/>
    <n v="426"/>
    <m/>
    <m/>
    <s v="Felvétel"/>
    <d v="2018-09-01T00:00:00"/>
    <s v="310882306189"/>
    <s v="BDPK-SEK"/>
    <s v="Neubauer Nikoletta"/>
    <d v="2018-07-25T00:00:00"/>
    <d v="2022-06-30T00:00:00"/>
    <n v="200000"/>
    <m/>
    <n v="7"/>
    <s v="Nő"/>
    <n v="200000"/>
    <s v="fukciusr@gmail.com"/>
    <s v="Farkas Mária Terézia"/>
    <n v="8"/>
    <s v="Aktív"/>
    <n v="8"/>
    <n v="8"/>
    <s v="magyar"/>
    <m/>
  </r>
  <r>
    <s v="Weilandné Novák Borbála"/>
    <s v="VK9A3T"/>
    <s v="Aktív"/>
    <s v="tanító"/>
    <x v="16"/>
    <s v="tanító"/>
    <s v="TÓK-TAN-LBHU"/>
    <s v="Zalaegerszeg"/>
    <s v="Zala"/>
    <s v="Novák Borbála"/>
    <s v="Magyarország"/>
    <d v="1991-05-24T00:00:00"/>
    <s v="T123880/FI80798"/>
    <x v="0"/>
    <s v="Állami ösztöndíjas"/>
    <s v="2017/18/1"/>
    <s v="Levelező"/>
    <n v="1"/>
    <n v="1"/>
    <s v="2021/22/2"/>
    <n v="8"/>
    <s v="75306028020"/>
    <n v="8"/>
    <x v="3"/>
    <s v="a központi eljárásban magyarországi képzésre"/>
    <n v="365"/>
    <m/>
    <m/>
    <s v="Felvétel"/>
    <d v="2017-09-01T00:00:00"/>
    <s v="310782608916"/>
    <s v="BDPK-SEK"/>
    <s v="Neubauer Nikoletta"/>
    <d v="2017-07-27T00:00:00"/>
    <d v="2022-06-30T00:00:00"/>
    <n v="200000"/>
    <m/>
    <n v="7"/>
    <s v="Nő"/>
    <n v="200000"/>
    <s v="w.n.borbala@gmail.com"/>
    <s v="Bödör Éva"/>
    <n v="8"/>
    <s v="Aktív"/>
    <n v="8"/>
    <n v="8"/>
    <s v="magyar"/>
    <m/>
  </r>
  <r>
    <s v="Molnár Istvánné"/>
    <s v="J8HBGI"/>
    <s v="Aktív"/>
    <s v="tanító"/>
    <x v="16"/>
    <s v="tanító"/>
    <s v="TÓK-TAN-LBHU"/>
    <s v="Sárvár"/>
    <s v="Vas"/>
    <s v="Horváth Hajnalka Tímea"/>
    <s v="Magyarország"/>
    <d v="1984-05-05T00:00:00"/>
    <s v="T155257/FI80798"/>
    <x v="0"/>
    <s v="Állami ösztöndíjas"/>
    <s v="2019/20/1"/>
    <s v="Levelező"/>
    <m/>
    <m/>
    <m/>
    <n v="8"/>
    <s v="73159714723"/>
    <n v="8"/>
    <x v="3"/>
    <s v="a központi eljárásban magyarországi képzésre"/>
    <n v="348"/>
    <m/>
    <m/>
    <s v="Felvétel"/>
    <d v="2019-09-01T00:00:00"/>
    <s v="310982442058"/>
    <s v="BDPK-SEK"/>
    <s v="Neubauer Nikoletta"/>
    <d v="2019-07-24T00:00:00"/>
    <d v="2023-07-15T00:00:00"/>
    <n v="200000"/>
    <m/>
    <n v="5"/>
    <s v="Nő"/>
    <n v="200000"/>
    <s v="hhajni0505@gmail.com"/>
    <s v="Török Ildikó Tímea"/>
    <n v="6"/>
    <s v="Aktív"/>
    <n v="6"/>
    <n v="6"/>
    <s v="magyar"/>
    <m/>
  </r>
  <r>
    <s v="Andáné Medvenics Petra"/>
    <s v="D10KYN"/>
    <s v="Aktív"/>
    <s v="tanító"/>
    <x v="16"/>
    <s v="tanító"/>
    <s v="TÓK-TAN-LBHU"/>
    <s v="Nagykanizsa"/>
    <s v="Zala"/>
    <s v="Medvenics Petra"/>
    <s v="Magyarország"/>
    <d v="1992-05-27T00:00:00"/>
    <s v="T154930/FI80798"/>
    <x v="0"/>
    <s v="Állami ösztöndíjas"/>
    <s v="2019/20/1"/>
    <s v="Levelező"/>
    <n v="7"/>
    <n v="1"/>
    <s v="2021/22/2"/>
    <n v="8"/>
    <s v="72681684291"/>
    <n v="8"/>
    <x v="3"/>
    <s v="a központi eljárásban magyarországi képzésre"/>
    <n v="345"/>
    <m/>
    <m/>
    <s v="Felvétel"/>
    <d v="2019-09-01T00:00:00"/>
    <s v="310982846555"/>
    <s v="BDPK-SEK"/>
    <s v="Neubauer Nikoletta"/>
    <d v="2019-07-24T00:00:00"/>
    <d v="2023-07-15T00:00:00"/>
    <n v="200000"/>
    <m/>
    <n v="5"/>
    <s v="Nő"/>
    <n v="200000"/>
    <s v="petra9292@gmail.com"/>
    <s v="Bedő Anita"/>
    <n v="6"/>
    <s v="Aktív"/>
    <n v="6"/>
    <n v="6"/>
    <s v="magyar"/>
    <m/>
  </r>
  <r>
    <s v="Németh Anita"/>
    <s v="FUW2Y6"/>
    <s v="Aktív"/>
    <s v="tanító"/>
    <x v="16"/>
    <s v="tanító"/>
    <s v="TÓK-TAN-LBHU"/>
    <s v="Szombathely"/>
    <s v="Vas"/>
    <s v="Hajszán Anita"/>
    <s v="Magyarország"/>
    <d v="1978-11-02T00:00:00"/>
    <s v="T165259/FI80798"/>
    <x v="0"/>
    <s v="Állami ösztöndíjas"/>
    <s v="2020/21/1"/>
    <s v="Levelező"/>
    <n v="9"/>
    <n v="1"/>
    <s v="2021/22/2"/>
    <n v="8"/>
    <s v="73589106604"/>
    <n v="8"/>
    <x v="3"/>
    <s v="a központi eljárásban magyarországi képzésre"/>
    <n v="398"/>
    <m/>
    <m/>
    <s v="Felvétel"/>
    <d v="2020-09-01T00:00:00"/>
    <s v="310804457755"/>
    <s v="BDPK-SEK"/>
    <s v="Neubauer Nikoletta"/>
    <d v="2020-07-23T00:00:00"/>
    <d v="2024-07-15T00:00:00"/>
    <n v="200000"/>
    <m/>
    <n v="3"/>
    <s v="Nő"/>
    <n v="200000"/>
    <s v="hajsziani@gmail.com"/>
    <s v="Kappel Zsuzsanna"/>
    <n v="4"/>
    <s v="Aktív"/>
    <n v="4"/>
    <n v="4"/>
    <s v="magyar"/>
    <m/>
  </r>
  <r>
    <s v="Csepeli Angéla"/>
    <s v="J4P7T6"/>
    <s v="Aktív"/>
    <s v="tanító"/>
    <x v="16"/>
    <s v="tanító"/>
    <s v="TÓK-TAN-LBHU"/>
    <s v="Kaposvár"/>
    <s v="Somogy"/>
    <s v="Csepeli Angéla"/>
    <s v="Magyarország"/>
    <d v="2000-05-02T00:00:00"/>
    <s v="T139626/FI80798"/>
    <x v="0"/>
    <s v="Állami ösztöndíjas"/>
    <s v="2019/20/1"/>
    <s v="Levelező"/>
    <n v="1"/>
    <n v="1"/>
    <s v="2021/22/2"/>
    <n v="8"/>
    <s v="73360008762"/>
    <n v="8"/>
    <x v="3"/>
    <s v="a központi eljárásban magyarországi képzésre"/>
    <n v="341"/>
    <m/>
    <m/>
    <s v="Felvétel"/>
    <d v="2019-09-01T00:00:00"/>
    <s v="310982817879"/>
    <s v="BDPK-SEK"/>
    <s v="Neubauer Nikoletta"/>
    <d v="2019-07-24T00:00:00"/>
    <d v="2023-07-15T00:00:00"/>
    <n v="200000"/>
    <m/>
    <n v="6"/>
    <s v="Nő"/>
    <n v="200000"/>
    <s v="csepeli.angela@gmail.com"/>
    <s v="Kovács Andrea"/>
    <n v="6"/>
    <s v="Aktív"/>
    <n v="6"/>
    <n v="6"/>
    <s v="magyar"/>
    <m/>
  </r>
  <r>
    <s v="Antolovics Máté"/>
    <s v="HU8IQA"/>
    <s v="Aktív"/>
    <s v="tanító"/>
    <x v="16"/>
    <s v="tanító"/>
    <s v="TÓK-TAN-LBHU"/>
    <s v="Zalaegerszeg"/>
    <s v="Zala"/>
    <s v="Antolovics Máté"/>
    <s v="Magyarország"/>
    <d v="1994-08-21T00:00:00"/>
    <s v="T139096/FI80798"/>
    <x v="0"/>
    <s v="Önköltséges"/>
    <s v="2018/19/1"/>
    <s v="Levelező"/>
    <n v="1"/>
    <n v="1"/>
    <s v="2020/21/1"/>
    <n v="8"/>
    <s v="74979657539"/>
    <n v="8"/>
    <x v="3"/>
    <s v="a központi eljárásban magyarországi képzésre"/>
    <n v="303"/>
    <m/>
    <m/>
    <s v="Felvétel"/>
    <d v="2018-09-01T00:00:00"/>
    <s v="310883125299"/>
    <s v="BDPK-SEK"/>
    <s v="Neubauer Nikoletta"/>
    <d v="2018-07-25T00:00:00"/>
    <d v="2022-06-30T00:00:00"/>
    <n v="200000"/>
    <m/>
    <n v="5"/>
    <s v="Férfi"/>
    <n v="200000"/>
    <s v="antolovics.mate@gmail.com"/>
    <s v="Molnár Andrea"/>
    <n v="8"/>
    <s v="Aktív"/>
    <n v="5"/>
    <n v="8"/>
    <s v="magyar"/>
    <n v="200000"/>
  </r>
  <r>
    <s v="Cester Amália"/>
    <s v="GFK1B6"/>
    <s v="Aktív"/>
    <s v="tanító"/>
    <x v="16"/>
    <s v="tanító"/>
    <s v="TÓK-TAN-NBHU"/>
    <s v="Szombathely"/>
    <s v="Vas"/>
    <s v="Cester Amália"/>
    <s v="Magyarország"/>
    <d v="1999-04-10T00:00:00"/>
    <s v="T135945/FI80798"/>
    <x v="0"/>
    <s v="Állami ösztöndíjas"/>
    <s v="2018/19/1"/>
    <s v="Nappali"/>
    <n v="5"/>
    <n v="1"/>
    <s v="2021/22/2"/>
    <n v="8"/>
    <s v="74258945640"/>
    <n v="8"/>
    <x v="3"/>
    <s v="a központi eljárásban magyarországi képzésre"/>
    <n v="320"/>
    <m/>
    <m/>
    <s v="Felvétel"/>
    <d v="2018-09-01T00:00:00"/>
    <s v="310882630513"/>
    <s v="BDPK-SEK"/>
    <s v="Neubauer Nikoletta"/>
    <d v="2018-07-25T00:00:00"/>
    <d v="2022-06-30T00:00:00"/>
    <n v="200000"/>
    <m/>
    <n v="7"/>
    <s v="Nő"/>
    <n v="200000"/>
    <s v="amalia.cester@gmail.com"/>
    <s v="Horváth Erzsébet"/>
    <n v="8"/>
    <s v="Aktív"/>
    <n v="8"/>
    <n v="8"/>
    <s v="magyar"/>
    <m/>
  </r>
  <r>
    <s v="Mesterházi Dóra Erzsébet"/>
    <s v="WKBRNJ"/>
    <s v="Aktív"/>
    <s v="tanító"/>
    <x v="16"/>
    <s v="tanító"/>
    <s v="TÓK-TAN-NBHU"/>
    <s v="Kőszeg"/>
    <s v="Vas"/>
    <s v="Mesterházi Dóra Erzsébet"/>
    <s v="Magyarország"/>
    <d v="1999-07-20T00:00:00"/>
    <s v="T136320/FI80798"/>
    <x v="0"/>
    <s v="Állami ösztöndíjas"/>
    <s v="2018/19/1"/>
    <s v="Nappali"/>
    <n v="5"/>
    <n v="1"/>
    <s v="2021/22/2"/>
    <n v="8"/>
    <s v="76146116278"/>
    <n v="8"/>
    <x v="3"/>
    <s v="a központi eljárásban magyarországi képzésre"/>
    <n v="372"/>
    <m/>
    <m/>
    <s v="Felvétel"/>
    <d v="2018-09-01T00:00:00"/>
    <s v="310882276200"/>
    <s v="BDPK-SEK"/>
    <s v="Neubauer Nikoletta"/>
    <d v="2018-07-25T00:00:00"/>
    <d v="2022-06-30T00:00:00"/>
    <n v="200000"/>
    <m/>
    <n v="7"/>
    <s v="Nő"/>
    <n v="200000"/>
    <s v="mesterhazidori@gmail.com"/>
    <s v="Petrovics Éva Erzsébet"/>
    <n v="8"/>
    <s v="Aktív"/>
    <n v="8"/>
    <n v="8"/>
    <s v="magyar"/>
    <m/>
  </r>
  <r>
    <s v="Nagy Ákos"/>
    <s v="NZ6MXP"/>
    <s v="Aktív"/>
    <s v="tanító"/>
    <x v="16"/>
    <s v="tanító"/>
    <s v="TÓK-TAN-NBHU"/>
    <s v="Sopron"/>
    <s v="Győr-Moson-Sopron"/>
    <s v="Nagy Ákos"/>
    <s v="Magyarország"/>
    <d v="1999-11-06T00:00:00"/>
    <s v="T138315/FI80798"/>
    <x v="0"/>
    <s v="Állami ösztöndíjas"/>
    <s v="2018/19/1"/>
    <s v="Nappali"/>
    <n v="5"/>
    <n v="1"/>
    <s v="2021/22/2"/>
    <n v="8"/>
    <s v="71371426195"/>
    <n v="8"/>
    <x v="3"/>
    <s v="a központi eljárásban magyarországi képzésre"/>
    <n v="329"/>
    <m/>
    <m/>
    <s v="Felvétel"/>
    <d v="2018-09-01T00:00:00"/>
    <s v="310882925632"/>
    <s v="BDPK-SEK"/>
    <s v="Neubauer Nikoletta"/>
    <d v="2018-07-25T00:00:00"/>
    <d v="2022-06-30T00:00:00"/>
    <n v="200000"/>
    <m/>
    <n v="7"/>
    <s v="Férfi"/>
    <n v="200000"/>
    <s v="nagyakoss99@gmail.com"/>
    <s v="Papp Mária"/>
    <n v="8"/>
    <s v="Aktív"/>
    <n v="8"/>
    <n v="8"/>
    <s v="magyar"/>
    <m/>
  </r>
  <r>
    <s v="Orbán Dóra"/>
    <s v="GBX204"/>
    <s v="Aktív"/>
    <s v="tanító"/>
    <x v="16"/>
    <s v="tanító"/>
    <s v="TÓK-TAN-LBHU"/>
    <s v="Szombathely"/>
    <s v="Vas"/>
    <s v="Orbán Dóra"/>
    <s v="Magyarország"/>
    <d v="1993-07-06T00:00:00"/>
    <s v="T137404/FI80798"/>
    <x v="0"/>
    <s v="Állami ösztöndíjas"/>
    <s v="2018/19/1"/>
    <s v="Levelező"/>
    <n v="5"/>
    <n v="1"/>
    <s v="2021/22/2"/>
    <n v="8"/>
    <s v="78583846495"/>
    <n v="8"/>
    <x v="3"/>
    <s v="a központi eljárásban magyarországi képzésre"/>
    <n v="366"/>
    <m/>
    <m/>
    <s v="Felvétel"/>
    <d v="2018-09-01T00:00:00"/>
    <s v="310882232732"/>
    <s v="BDPK-SEK"/>
    <s v="Neubauer Nikoletta"/>
    <d v="2018-07-25T00:00:00"/>
    <d v="2022-06-30T00:00:00"/>
    <n v="200000"/>
    <m/>
    <n v="7"/>
    <s v="Nő"/>
    <n v="200000"/>
    <s v="orbidori@citromail.hu"/>
    <s v="Hajdú Mariann"/>
    <n v="8"/>
    <s v="Aktív"/>
    <n v="8"/>
    <n v="8"/>
    <s v="magyar"/>
    <m/>
  </r>
  <r>
    <s v="Baráth Kata"/>
    <s v="FPOHY5"/>
    <s v="Aktív"/>
    <s v="tanító"/>
    <x v="16"/>
    <s v="tanító"/>
    <s v="TÓK-TAN-LBHU"/>
    <s v="Sárvár"/>
    <s v="Vas"/>
    <s v="Baráth Kata"/>
    <s v="Magyarország"/>
    <d v="1999-05-01T00:00:00"/>
    <s v="T135816/FI80798"/>
    <x v="0"/>
    <s v="Állami ösztöndíjas"/>
    <s v="2018/19/1"/>
    <s v="Levelező"/>
    <n v="3"/>
    <n v="1"/>
    <s v="2021/22/2"/>
    <n v="8"/>
    <s v="72955346997"/>
    <n v="8"/>
    <x v="3"/>
    <m/>
    <m/>
    <m/>
    <m/>
    <s v="Képzésváltás intézményen belül"/>
    <d v="2021-09-01T00:00:00"/>
    <m/>
    <s v="BDPK-SEK"/>
    <s v="Neubauer Nikoletta"/>
    <d v="2018-07-25T00:00:00"/>
    <d v="2022-06-30T00:00:00"/>
    <n v="200000"/>
    <m/>
    <n v="1"/>
    <s v="Nő"/>
    <n v="200000"/>
    <s v="barka0501@gmail.com"/>
    <s v="Kálmán Erika"/>
    <n v="2"/>
    <s v="Aktív"/>
    <n v="2"/>
    <n v="8"/>
    <s v="magyar"/>
    <m/>
  </r>
  <r>
    <s v="Zsiray Barbara Renáta"/>
    <s v="L8CW8M"/>
    <s v="Aktív"/>
    <s v="tanító"/>
    <x v="16"/>
    <s v="tanító"/>
    <s v="TÓK-TAN-NBHU"/>
    <s v="Szombathely"/>
    <s v="Vas"/>
    <s v="Zsiray Barbara Renáta"/>
    <s v="Magyarország"/>
    <d v="1998-12-21T00:00:00"/>
    <s v="T137615/FI80798"/>
    <x v="0"/>
    <s v="Állami ösztöndíjas"/>
    <s v="2018/19/1"/>
    <s v="Nappali"/>
    <n v="5"/>
    <n v="1"/>
    <s v="2021/22/2"/>
    <n v="8"/>
    <s v="74851542481"/>
    <n v="8"/>
    <x v="3"/>
    <s v="a központi eljárásban magyarországi képzésre"/>
    <n v="470"/>
    <m/>
    <m/>
    <s v="Felvétel"/>
    <d v="2018-09-01T00:00:00"/>
    <s v="310882473534"/>
    <s v="BDPK-SEK"/>
    <s v="Neubauer Nikoletta"/>
    <d v="2018-07-25T00:00:00"/>
    <d v="2022-06-30T00:00:00"/>
    <n v="200000"/>
    <m/>
    <n v="7"/>
    <s v="Nő"/>
    <n v="200000"/>
    <s v="zsiraybarbi@gmail.com"/>
    <s v="Rózsa Éva"/>
    <n v="8"/>
    <s v="Aktív"/>
    <n v="8"/>
    <n v="8"/>
    <s v="magyar"/>
    <m/>
  </r>
  <r>
    <s v="Baranyai Mercédesz"/>
    <s v="ULSZIU"/>
    <s v="Aktív"/>
    <s v="tanító"/>
    <x v="16"/>
    <s v="tanító"/>
    <s v="TÓK-TAN-NBHU"/>
    <s v="Celldömölk"/>
    <s v="Vas"/>
    <s v="Baranyai Mercédesz"/>
    <s v="Magyarország"/>
    <d v="1999-11-12T00:00:00"/>
    <s v="T136801/FI80798"/>
    <x v="0"/>
    <s v="Állami ösztöndíjas"/>
    <s v="2018/19/1"/>
    <s v="Nappali"/>
    <n v="5"/>
    <n v="1"/>
    <s v="2021/22/2"/>
    <n v="8"/>
    <s v="73485896322"/>
    <n v="8"/>
    <x v="3"/>
    <s v="a központi eljárásban magyarországi képzésre"/>
    <n v="324"/>
    <m/>
    <m/>
    <s v="Felvétel"/>
    <d v="2018-09-01T00:00:00"/>
    <s v="310882348488"/>
    <s v="BDPK-SEK"/>
    <s v="Neubauer Nikoletta"/>
    <d v="2018-07-25T00:00:00"/>
    <d v="2022-06-30T00:00:00"/>
    <n v="200000"/>
    <m/>
    <n v="7"/>
    <s v="Nő"/>
    <n v="200000"/>
    <s v="merci.baranyai@gmail.com"/>
    <s v="Hajba Renáta"/>
    <n v="8"/>
    <s v="Aktív"/>
    <n v="8"/>
    <n v="8"/>
    <s v="magyar"/>
    <m/>
  </r>
  <r>
    <s v="Pozmics Luca"/>
    <s v="WGN3YH"/>
    <s v="Aktív"/>
    <s v="tanító"/>
    <x v="16"/>
    <s v="tanító"/>
    <s v="TÓK-TAN-NBHU"/>
    <s v="Veszprém"/>
    <s v="Veszprém"/>
    <s v="Pozmics Luca"/>
    <s v="Magyarország"/>
    <d v="2000-04-09T00:00:00"/>
    <s v="T135515/FI80798"/>
    <x v="0"/>
    <s v="Állami ösztöndíjas"/>
    <s v="2018/19/1"/>
    <s v="Nappali"/>
    <n v="5"/>
    <n v="1"/>
    <s v="2021/22/2"/>
    <n v="8"/>
    <s v="78349420108"/>
    <n v="8"/>
    <x v="3"/>
    <s v="a központi eljárásban magyarországi képzésre"/>
    <n v="324"/>
    <m/>
    <m/>
    <s v="Felvétel"/>
    <d v="2018-09-01T00:00:00"/>
    <s v="310882509436"/>
    <s v="BDPK-SEK"/>
    <s v="Neubauer Nikoletta"/>
    <d v="2018-07-25T00:00:00"/>
    <d v="2022-06-30T00:00:00"/>
    <n v="200000"/>
    <m/>
    <n v="7"/>
    <s v="Nő"/>
    <n v="200000"/>
    <s v="pluca2000@gmail.com"/>
    <s v="Farkas Mária"/>
    <n v="8"/>
    <s v="Aktív"/>
    <n v="8"/>
    <n v="8"/>
    <s v="magyar"/>
    <m/>
  </r>
  <r>
    <s v="Rátkai Marianna"/>
    <s v="UQV5AN"/>
    <s v="Aktív"/>
    <s v="tanító"/>
    <x v="16"/>
    <s v="tanító"/>
    <s v="TÓK-TAN-NBHU"/>
    <s v="Szombathely"/>
    <s v="Vas"/>
    <s v="Rátkai Marianna"/>
    <s v="Magyarország"/>
    <d v="1999-08-20T00:00:00"/>
    <s v="T135777/FI80798"/>
    <x v="0"/>
    <s v="Állami ösztöndíjas"/>
    <s v="2018/19/1"/>
    <s v="Nappali"/>
    <n v="5"/>
    <n v="1"/>
    <s v="2021/22/2"/>
    <n v="8"/>
    <s v="72231611518"/>
    <n v="8"/>
    <x v="3"/>
    <s v="a központi eljárásban magyarországi képzésre"/>
    <n v="341"/>
    <m/>
    <m/>
    <s v="Felvétel"/>
    <d v="2018-09-01T00:00:00"/>
    <s v="310882345195"/>
    <s v="BDPK-SEK"/>
    <s v="Neubauer Nikoletta"/>
    <d v="2018-07-25T00:00:00"/>
    <d v="2022-06-30T00:00:00"/>
    <n v="200000"/>
    <m/>
    <n v="7"/>
    <s v="Nő"/>
    <n v="200000"/>
    <s v="ratkaimarianna@gmail.com"/>
    <s v="Császár Marianna"/>
    <n v="8"/>
    <s v="Aktív"/>
    <n v="8"/>
    <n v="8"/>
    <s v="magyar"/>
    <m/>
  </r>
  <r>
    <s v="Simon Titanilla"/>
    <s v="BMQ77I"/>
    <s v="Aktív"/>
    <s v="tanító"/>
    <x v="16"/>
    <s v="tanító"/>
    <s v="TÓK-TAN-NBHU"/>
    <s v="Sárvár"/>
    <s v="Vas"/>
    <s v="Simon Titanilla"/>
    <s v="Magyarország"/>
    <d v="1999-12-25T00:00:00"/>
    <s v="T162482/FI80798"/>
    <x v="0"/>
    <s v="Állami ösztöndíjas"/>
    <s v="2020/21/1"/>
    <s v="Nappali"/>
    <n v="6"/>
    <n v="1"/>
    <s v="2021/22/2"/>
    <n v="8"/>
    <s v="78077394217"/>
    <n v="8"/>
    <x v="3"/>
    <s v="a központi eljárásban magyarországi képzésre"/>
    <n v="338"/>
    <m/>
    <m/>
    <s v="Felvétel"/>
    <d v="2020-09-01T00:00:00"/>
    <s v="310804267501"/>
    <s v="BDPK-SEK"/>
    <s v="Neubauer Nikoletta"/>
    <d v="2020-07-23T00:00:00"/>
    <d v="2024-07-15T00:00:00"/>
    <n v="200000"/>
    <m/>
    <n v="3"/>
    <s v="Nő"/>
    <n v="200000"/>
    <s v="simon.titanilla1@gmail.com"/>
    <s v="Lada Gizella"/>
    <n v="4"/>
    <s v="Aktív"/>
    <n v="4"/>
    <n v="4"/>
    <s v="magyar"/>
    <m/>
  </r>
  <r>
    <s v="Boros Alexandra"/>
    <s v="GC9CZI"/>
    <s v="Aktív"/>
    <s v="tanító"/>
    <x v="16"/>
    <s v="tanító"/>
    <s v="TÓK-TAN-NBHU"/>
    <s v="Szombathely"/>
    <s v="Vas"/>
    <s v="Boros Alexandra"/>
    <s v="Magyarország"/>
    <d v="1999-12-13T00:00:00"/>
    <s v="T135981/FI80798"/>
    <x v="0"/>
    <s v="Állami ösztöndíjas"/>
    <s v="2018/19/1"/>
    <s v="Nappali"/>
    <n v="5"/>
    <n v="1"/>
    <s v="2021/22/2"/>
    <n v="8"/>
    <s v="72423249176"/>
    <n v="8"/>
    <x v="3"/>
    <s v="a központi eljárásban magyarországi képzésre"/>
    <n v="283"/>
    <m/>
    <m/>
    <s v="Felvétel"/>
    <d v="2018-09-01T00:00:00"/>
    <s v="310882741187"/>
    <s v="BDPK-SEK"/>
    <s v="Neubauer Nikoletta"/>
    <d v="2018-07-25T00:00:00"/>
    <d v="2022-06-30T00:00:00"/>
    <n v="200000"/>
    <m/>
    <n v="7"/>
    <s v="Nő"/>
    <n v="200000"/>
    <s v="borosalexandra1213@gmail.com"/>
    <s v="Horváth Éva Erzsébet"/>
    <n v="8"/>
    <s v="Aktív"/>
    <n v="8"/>
    <n v="8"/>
    <s v="magyar"/>
    <m/>
  </r>
  <r>
    <s v="Maticskó Rita Anna"/>
    <s v="QATX7H"/>
    <s v="Aktív"/>
    <s v="tanító"/>
    <x v="16"/>
    <s v="tanító"/>
    <s v="TÓK-TAN-NBHU"/>
    <s v="Körmend"/>
    <s v="Vas"/>
    <s v="Maticskó Rita Anna"/>
    <s v="Magyarország"/>
    <d v="1998-12-27T00:00:00"/>
    <s v="T138666/FI80798"/>
    <x v="0"/>
    <s v="Állami ösztöndíjas"/>
    <s v="2018/19/1"/>
    <s v="Nappali"/>
    <n v="5"/>
    <n v="1"/>
    <s v="2021/22/2"/>
    <n v="8"/>
    <s v="77424517065"/>
    <n v="8"/>
    <x v="3"/>
    <s v="a központi eljárásban magyarországi képzésre"/>
    <n v="306"/>
    <m/>
    <m/>
    <s v="Felvétel"/>
    <d v="2018-09-01T00:00:00"/>
    <s v="310882097895"/>
    <s v="BDPK-SEK"/>
    <s v="Neubauer Nikoletta"/>
    <d v="2018-07-25T00:00:00"/>
    <d v="2022-06-30T00:00:00"/>
    <n v="200000"/>
    <m/>
    <n v="7"/>
    <s v="Nő"/>
    <n v="200000"/>
    <s v="maticskorita@gmail.com"/>
    <s v="Vilics Zita"/>
    <n v="8"/>
    <s v="Aktív"/>
    <n v="8"/>
    <n v="8"/>
    <s v="magyar"/>
    <m/>
  </r>
  <r>
    <s v="Mónok Zsuzsanna"/>
    <s v="FNTNST"/>
    <s v="Aktív"/>
    <s v="tanító"/>
    <x v="16"/>
    <s v="tanító"/>
    <s v="TÓK-TAN-LBHU"/>
    <s v="Zalaegerszeg"/>
    <s v="Zala"/>
    <s v="Mónok Zsuzsanna"/>
    <s v="Magyarország"/>
    <d v="1979-06-11T00:00:00"/>
    <s v="T136115/FI80798"/>
    <x v="0"/>
    <s v="Állami ösztöndíjas"/>
    <s v="2018/19/1"/>
    <s v="Levelező"/>
    <n v="5"/>
    <n v="1"/>
    <s v="2021/22/2"/>
    <n v="8"/>
    <s v="72633227561"/>
    <n v="8"/>
    <x v="3"/>
    <s v="a központi eljárásban magyarországi képzésre"/>
    <n v="358"/>
    <m/>
    <m/>
    <s v="Felvétel"/>
    <d v="2018-09-01T00:00:00"/>
    <s v="310882679304"/>
    <s v="BDPK-SEK"/>
    <s v="Neubauer Nikoletta"/>
    <d v="2018-07-25T00:00:00"/>
    <d v="2022-06-30T00:00:00"/>
    <n v="200000"/>
    <m/>
    <n v="7"/>
    <s v="Nő"/>
    <n v="200000"/>
    <s v="mzsobf@gmail.com"/>
    <s v="Lakics Gabriella Anna"/>
    <n v="8"/>
    <s v="Aktív"/>
    <n v="8"/>
    <n v="8"/>
    <s v="magyar"/>
    <m/>
  </r>
  <r>
    <s v="Nagy Norbert János"/>
    <s v="ZB7Y4V"/>
    <s v="Aktív"/>
    <s v="tanító"/>
    <x v="16"/>
    <s v="tanító"/>
    <s v="TÓK-TAN-LBHU"/>
    <s v="Győr"/>
    <s v="Győr-Moson-Sopron"/>
    <s v="Nagy Norbert János"/>
    <s v="Magyarország"/>
    <d v="1999-08-07T00:00:00"/>
    <s v="T137424/FI80798"/>
    <x v="0"/>
    <s v="Állami ösztöndíjas"/>
    <s v="2018/19/1"/>
    <s v="Levelező"/>
    <n v="5"/>
    <n v="1"/>
    <s v="2021/22/2"/>
    <n v="8"/>
    <s v="77084956119"/>
    <n v="8"/>
    <x v="3"/>
    <m/>
    <m/>
    <m/>
    <m/>
    <s v="Képzésváltás intézményen belül"/>
    <d v="2021-02-01T00:00:00"/>
    <m/>
    <s v="BDPK-SEK"/>
    <s v="Neubauer Nikoletta"/>
    <d v="2018-07-25T00:00:00"/>
    <d v="2022-06-30T00:00:00"/>
    <n v="140000"/>
    <m/>
    <n v="2"/>
    <s v="Férfi"/>
    <n v="140000"/>
    <s v="nagy.norbert112@gmail.com"/>
    <s v="Mürkl Bernadett"/>
    <n v="3"/>
    <s v="Aktív"/>
    <n v="3"/>
    <n v="8"/>
    <s v="magyar"/>
    <m/>
  </r>
  <r>
    <s v="Sinka Dóra"/>
    <s v="M3RBJ0"/>
    <s v="Aktív"/>
    <s v="tanító"/>
    <x v="16"/>
    <s v="tanító"/>
    <s v="TÓK-TAN-NBHU"/>
    <s v="Budapest"/>
    <s v="Budapest"/>
    <s v="Sinka Dóra"/>
    <s v="Magyarország"/>
    <d v="2000-03-03T00:00:00"/>
    <s v="T138102/FI80798"/>
    <x v="0"/>
    <s v="Állami ösztöndíjas"/>
    <s v="2018/19/1"/>
    <s v="Nappali"/>
    <n v="5"/>
    <n v="1"/>
    <s v="2021/22/2"/>
    <n v="8"/>
    <s v="78081961716"/>
    <n v="8"/>
    <x v="3"/>
    <s v="a központi eljárásban magyarországi képzésre"/>
    <n v="349"/>
    <m/>
    <m/>
    <s v="Felvétel"/>
    <d v="2018-09-01T00:00:00"/>
    <s v="310882149381"/>
    <s v="BDPK-SEK"/>
    <s v="Neubauer Nikoletta"/>
    <d v="2018-07-25T00:00:00"/>
    <d v="2022-06-30T00:00:00"/>
    <n v="200000"/>
    <m/>
    <n v="7"/>
    <s v="Nő"/>
    <n v="200000"/>
    <s v="dorasinka3@gmail.com"/>
    <s v="Barta-Barát Mónika"/>
    <n v="8"/>
    <s v="Aktív"/>
    <n v="8"/>
    <n v="8"/>
    <s v="magyar"/>
    <m/>
  </r>
  <r>
    <s v="Tóth Boglárka"/>
    <s v="DDIHIZ"/>
    <s v="Aktív"/>
    <s v="tanító"/>
    <x v="16"/>
    <s v="tanító"/>
    <s v="TÓK-TAN-NBHU"/>
    <s v="Szombathely"/>
    <s v="Vas"/>
    <s v="Tóth Boglárka"/>
    <s v="Magyarország"/>
    <d v="1998-05-22T00:00:00"/>
    <s v="T134381/FI80798"/>
    <x v="0"/>
    <s v="Állami ösztöndíjas"/>
    <s v="2018/19/1"/>
    <s v="Nappali"/>
    <n v="5"/>
    <n v="1"/>
    <s v="2021/22/2"/>
    <n v="8"/>
    <s v="72211779989"/>
    <n v="8"/>
    <x v="3"/>
    <s v="a központi eljárásban magyarországi képzésre"/>
    <n v="397"/>
    <m/>
    <m/>
    <s v="Felvétel"/>
    <d v="2018-09-01T00:00:00"/>
    <s v="310882013165"/>
    <s v="BDPK-SEK"/>
    <s v="Neubauer Nikoletta"/>
    <d v="2018-07-25T00:00:00"/>
    <d v="2022-06-30T00:00:00"/>
    <n v="200000"/>
    <m/>
    <n v="7"/>
    <s v="Nő"/>
    <n v="200000"/>
    <s v="tothbogi9805@gmail.com"/>
    <s v="Szekeres Rita Katalin"/>
    <n v="8"/>
    <s v="Aktív"/>
    <n v="8"/>
    <n v="8"/>
    <s v="magyar"/>
    <m/>
  </r>
  <r>
    <s v="Nemes Andrea Eszter"/>
    <s v="GU6CHI"/>
    <s v="Aktív"/>
    <s v="tanító"/>
    <x v="16"/>
    <s v="tanító"/>
    <s v="TÓK-TAN-NBHU"/>
    <s v="Szombathely"/>
    <s v="Vas"/>
    <s v="Nemes Andrea Eszter"/>
    <s v="Magyarország"/>
    <d v="1997-05-06T00:00:00"/>
    <s v="T138920/FI80798"/>
    <x v="0"/>
    <s v="Állami ösztöndíjas"/>
    <s v="2018/19/1"/>
    <s v="Nappali"/>
    <n v="5"/>
    <n v="1"/>
    <s v="2021/22/2"/>
    <n v="8"/>
    <s v="79504293838"/>
    <n v="8"/>
    <x v="3"/>
    <s v="a központi eljárásban magyarországi képzésre"/>
    <n v="292"/>
    <m/>
    <m/>
    <s v="Felvétel"/>
    <d v="2018-09-01T00:00:00"/>
    <s v="310882347241"/>
    <s v="BDPK-SEK"/>
    <s v="Neubauer Nikoletta"/>
    <d v="2018-07-25T00:00:00"/>
    <d v="2022-06-30T00:00:00"/>
    <n v="200000"/>
    <m/>
    <n v="7"/>
    <s v="Nő"/>
    <n v="200000"/>
    <s v="nemes.andrea.1997@gmail.com"/>
    <s v="Bruckner Ildikó"/>
    <n v="8"/>
    <s v="Aktív"/>
    <n v="8"/>
    <n v="8"/>
    <s v="magyar"/>
    <m/>
  </r>
  <r>
    <s v="Szedresi Eszter Kata"/>
    <s v="JMADW2"/>
    <s v="Aktív"/>
    <s v="tanító"/>
    <x v="16"/>
    <s v="tanító"/>
    <s v="TÓK-TAN-NBHU"/>
    <s v="Ajka"/>
    <s v="Veszprém"/>
    <s v="Szedresi Eszter Kata"/>
    <s v="Magyarország"/>
    <d v="1999-07-09T00:00:00"/>
    <s v="T134955/FI80798"/>
    <x v="0"/>
    <s v="Állami ösztöndíjas"/>
    <s v="2018/19/1"/>
    <s v="Nappali"/>
    <n v="5"/>
    <n v="1"/>
    <s v="2021/22/2"/>
    <n v="8"/>
    <s v="79362758350"/>
    <n v="8"/>
    <x v="3"/>
    <s v="a központi eljárásban magyarországi képzésre"/>
    <n v="350"/>
    <m/>
    <m/>
    <s v="Felvétel"/>
    <d v="2018-09-01T00:00:00"/>
    <s v="310882138160"/>
    <s v="BDPK-SEK"/>
    <s v="Neubauer Nikoletta"/>
    <d v="2018-07-25T00:00:00"/>
    <d v="2022-06-30T00:00:00"/>
    <n v="200000"/>
    <m/>
    <n v="7"/>
    <s v="Nő"/>
    <n v="200000"/>
    <s v="esztiszedresi123@gmail.com"/>
    <s v="Kovács Katalin"/>
    <n v="8"/>
    <s v="Aktív"/>
    <n v="8"/>
    <n v="8"/>
    <s v="magyar"/>
    <m/>
  </r>
  <r>
    <s v="Katavics Enikő"/>
    <s v="N2FXRP"/>
    <s v="Aktív"/>
    <s v="tanító"/>
    <x v="16"/>
    <s v="tanító"/>
    <s v="TÓK-TAN-NBHU"/>
    <s v="Szombathely"/>
    <s v="Vas"/>
    <s v="Katavics Enikő"/>
    <s v="Magyarország"/>
    <d v="1999-06-23T00:00:00"/>
    <s v="T138711/FI80798"/>
    <x v="0"/>
    <s v="Állami ösztöndíjas"/>
    <s v="2018/19/1"/>
    <s v="Nappali"/>
    <n v="5"/>
    <n v="1"/>
    <s v="2021/22/2"/>
    <n v="8"/>
    <s v="78654399068"/>
    <n v="8"/>
    <x v="3"/>
    <s v="a központi eljárásban magyarországi képzésre"/>
    <n v="397"/>
    <m/>
    <m/>
    <s v="Felvétel"/>
    <d v="2018-09-01T00:00:00"/>
    <s v="310882330189"/>
    <s v="BDPK-SEK"/>
    <s v="Neubauer Nikoletta"/>
    <d v="2018-07-25T00:00:00"/>
    <d v="2022-06-30T00:00:00"/>
    <n v="200000"/>
    <m/>
    <n v="7"/>
    <s v="Nő"/>
    <n v="200000"/>
    <s v="enii1999.ek@gmail.com"/>
    <s v="Hittér Enikő"/>
    <n v="8"/>
    <s v="Aktív"/>
    <n v="8"/>
    <n v="8"/>
    <s v="magyar"/>
    <m/>
  </r>
  <r>
    <s v="Bódi Regina"/>
    <s v="GO5ZAP"/>
    <s v="Aktív"/>
    <s v="tanító"/>
    <x v="16"/>
    <s v="tanító"/>
    <s v="TÓK-TAN-NBHU"/>
    <s v="Zalaegerszeg"/>
    <s v="Zala"/>
    <s v="Bódi Regina"/>
    <s v="Magyarország"/>
    <d v="2000-05-12T00:00:00"/>
    <s v="T135898/FI80798"/>
    <x v="0"/>
    <s v="Állami ösztöndíjas"/>
    <s v="2018/19/1"/>
    <s v="Nappali"/>
    <n v="5"/>
    <n v="1"/>
    <s v="2021/22/2"/>
    <n v="8"/>
    <s v="76339111820"/>
    <n v="8"/>
    <x v="3"/>
    <s v="a központi eljárásban magyarországi képzésre"/>
    <n v="324"/>
    <m/>
    <m/>
    <s v="Felvétel"/>
    <d v="2018-09-01T00:00:00"/>
    <s v="310882565743"/>
    <s v="BDPK-SEK"/>
    <s v="Neubauer Nikoletta"/>
    <d v="2018-07-25T00:00:00"/>
    <d v="2022-06-30T00:00:00"/>
    <n v="200000"/>
    <m/>
    <n v="7"/>
    <s v="Nő"/>
    <n v="200000"/>
    <s v="reginabodi12@gmail.com"/>
    <s v="Hermán Melinda"/>
    <n v="8"/>
    <s v="Aktív"/>
    <n v="8"/>
    <n v="8"/>
    <s v="magyar"/>
    <m/>
  </r>
  <r>
    <s v="Molnár Dorottya Krisztina"/>
    <s v="CHSNPF"/>
    <s v="Aktív"/>
    <s v="tanító"/>
    <x v="16"/>
    <s v="tanító"/>
    <s v="TÓK-TAN-NBHU"/>
    <s v="Székesfehérvár"/>
    <s v="Fejér"/>
    <s v="Molnár Dorottya Krisztina"/>
    <s v="Magyarország"/>
    <d v="1999-09-19T00:00:00"/>
    <s v="T135382/FI80798"/>
    <x v="0"/>
    <s v="Állami ösztöndíjas"/>
    <s v="2018/19/1"/>
    <s v="Nappali"/>
    <n v="5"/>
    <n v="1"/>
    <s v="2021/22/2"/>
    <n v="8"/>
    <s v="73545431834"/>
    <n v="8"/>
    <x v="3"/>
    <s v="a központi eljárásban magyarországi képzésre"/>
    <n v="368"/>
    <m/>
    <m/>
    <s v="Felvétel"/>
    <d v="2018-09-01T00:00:00"/>
    <s v="310882405528"/>
    <s v="BDPK-SEK"/>
    <s v="Neubauer Nikoletta"/>
    <d v="2018-07-25T00:00:00"/>
    <d v="2022-06-30T00:00:00"/>
    <n v="200000"/>
    <m/>
    <n v="7"/>
    <s v="Nő"/>
    <n v="200000"/>
    <s v="molnar.dorottya99@gmail.com"/>
    <s v="Andrasek Krisztina"/>
    <n v="8"/>
    <s v="Aktív"/>
    <n v="8"/>
    <n v="8"/>
    <s v="magyar"/>
    <m/>
  </r>
  <r>
    <s v="Oláh Vivien"/>
    <s v="JDCKQU"/>
    <s v="Aktív"/>
    <s v="tanító"/>
    <x v="16"/>
    <s v="tanító"/>
    <s v="TÓK-TAN-NBHU"/>
    <s v="Szombathely"/>
    <s v="Vas"/>
    <s v="Oláh Vivien"/>
    <s v="Magyarország"/>
    <d v="1999-08-17T00:00:00"/>
    <s v="T135805/FI80798"/>
    <x v="0"/>
    <s v="Állami ösztöndíjas"/>
    <s v="2018/19/1"/>
    <s v="Nappali"/>
    <n v="5"/>
    <n v="1"/>
    <s v="2021/22/2"/>
    <n v="8"/>
    <s v="76432787241"/>
    <n v="8"/>
    <x v="3"/>
    <s v="a központi eljárásban magyarországi képzésre"/>
    <n v="294"/>
    <m/>
    <m/>
    <s v="Felvétel"/>
    <d v="2018-09-01T00:00:00"/>
    <s v="310882291506"/>
    <s v="BDPK-SEK"/>
    <s v="Neubauer Nikoletta"/>
    <d v="2018-07-25T00:00:00"/>
    <d v="2022-06-30T00:00:00"/>
    <n v="200000"/>
    <m/>
    <n v="7"/>
    <s v="Nő"/>
    <n v="200000"/>
    <s v="ovivi99@gmail.com"/>
    <s v="Biró Zsuzsanna"/>
    <n v="8"/>
    <s v="Aktív"/>
    <n v="8"/>
    <n v="8"/>
    <s v="magyar"/>
    <m/>
  </r>
  <r>
    <s v="Virág Noémi"/>
    <s v="F2MT3G"/>
    <s v="Aktív"/>
    <s v="tanító"/>
    <x v="16"/>
    <s v="tanító"/>
    <s v="TÓK-TAN-NBHU"/>
    <s v="Szombathely"/>
    <s v="Vas"/>
    <s v="Virág Noémi"/>
    <s v="Magyarország"/>
    <d v="1994-04-26T00:00:00"/>
    <s v="T167521/FI80798"/>
    <x v="0"/>
    <s v="Állami ösztöndíjas"/>
    <s v="2020/21/1"/>
    <s v="Nappali"/>
    <n v="6"/>
    <n v="1"/>
    <s v="2021/22/2"/>
    <n v="8"/>
    <s v="77016850857"/>
    <n v="8"/>
    <x v="3"/>
    <s v="a központi eljárásban magyarországi képzésre"/>
    <n v="351"/>
    <m/>
    <m/>
    <s v="Felvétel"/>
    <d v="2020-09-01T00:00:00"/>
    <s v="310804431149"/>
    <s v="BDPK-SEK"/>
    <s v="Neubauer Nikoletta"/>
    <d v="2020-07-23T00:00:00"/>
    <d v="2024-07-15T00:00:00"/>
    <n v="200000"/>
    <m/>
    <n v="3"/>
    <s v="Nő"/>
    <n v="200000"/>
    <s v="viragnoemi94@gmail.com"/>
    <s v="Takács Tímea Margit"/>
    <n v="4"/>
    <s v="Aktív"/>
    <n v="4"/>
    <n v="4"/>
    <s v="magyar"/>
    <m/>
  </r>
  <r>
    <s v="Sebők Zsanett"/>
    <s v="AZ77N1"/>
    <s v="Aktív"/>
    <s v="tanító"/>
    <x v="16"/>
    <s v="tanító"/>
    <s v="TÓK-TAN-NBHU"/>
    <s v="Esztergom"/>
    <s v="Komárom-Esztergom"/>
    <s v="Sebők Zsanett"/>
    <s v="Magyarország"/>
    <d v="2000-05-05T00:00:00"/>
    <s v="T148992/FI80798"/>
    <x v="0"/>
    <s v="Állami ösztöndíjas"/>
    <s v="2018/19/1"/>
    <s v="Nappali"/>
    <n v="5"/>
    <n v="1"/>
    <s v="2021/22/2"/>
    <n v="8"/>
    <s v="74682481582"/>
    <n v="8"/>
    <x v="3"/>
    <m/>
    <m/>
    <m/>
    <m/>
    <s v="Átvétel kérelemre más magyarországi intézményből"/>
    <d v="2019-09-01T00:00:00"/>
    <m/>
    <s v="BDPK-SEK"/>
    <s v="Neubauer Nikoletta"/>
    <d v="2018-07-25T00:00:00"/>
    <d v="2023-01-30T00:00:00"/>
    <n v="200000"/>
    <m/>
    <n v="5"/>
    <s v="Nő"/>
    <n v="200000"/>
    <s v="sebokzsanka@gmail.com"/>
    <s v="Süveg Szilvia"/>
    <n v="6"/>
    <s v="Aktív"/>
    <n v="6"/>
    <n v="8"/>
    <s v="magyar"/>
    <m/>
  </r>
  <r>
    <s v="Csergőffy Péter Krisztián"/>
    <s v="RK2U6T"/>
    <s v="Aktív"/>
    <s v="tanító"/>
    <x v="16"/>
    <s v="tanító"/>
    <s v="TÓK-TAN-LBHU"/>
    <s v="Szombathely"/>
    <s v="Vas"/>
    <s v="Csergőffy Péter Krisztián"/>
    <s v="Magyarország"/>
    <d v="1978-04-04T00:00:00"/>
    <s v="T155920/FI80798"/>
    <x v="0"/>
    <s v="Állami ösztöndíjas"/>
    <s v="2019/20/1"/>
    <s v="Levelező"/>
    <n v="7"/>
    <n v="1"/>
    <s v="2021/22/2"/>
    <n v="8"/>
    <s v="73436809744"/>
    <n v="8"/>
    <x v="3"/>
    <s v="a központi eljárásban magyarországi képzésre"/>
    <n v="358"/>
    <m/>
    <m/>
    <s v="Felvétel"/>
    <d v="2019-09-01T00:00:00"/>
    <s v="310983204432"/>
    <s v="BDPK-SEK"/>
    <s v="Neubauer Nikoletta"/>
    <d v="2019-07-24T00:00:00"/>
    <d v="2023-07-15T00:00:00"/>
    <n v="200000"/>
    <m/>
    <n v="5"/>
    <s v="Férfi"/>
    <n v="200000"/>
    <s v="peter.csergoffy@gmail.com"/>
    <s v="Horváth Erzsébet"/>
    <n v="6"/>
    <s v="Aktív"/>
    <n v="6"/>
    <n v="6"/>
    <s v="magyar"/>
    <m/>
  </r>
  <r>
    <s v="Kovács Viktória Márta"/>
    <s v="RQ88JO"/>
    <s v="Aktív"/>
    <s v="tanító"/>
    <x v="16"/>
    <s v="tanító"/>
    <s v="TÓK-TAN-NBHU"/>
    <s v="Szombathely"/>
    <s v="Vas"/>
    <s v="Kovács Viktória Márta"/>
    <s v="Magyarország"/>
    <d v="2000-05-15T00:00:00"/>
    <s v="T148478/FI80798"/>
    <x v="0"/>
    <s v="Állami ösztöndíjas"/>
    <s v="2019/20/1"/>
    <s v="Nappali"/>
    <n v="7"/>
    <n v="1"/>
    <s v="2021/22/2"/>
    <n v="8"/>
    <s v="71996774471"/>
    <n v="8"/>
    <x v="3"/>
    <s v="a központi eljárásban magyarországi képzésre"/>
    <n v="328"/>
    <m/>
    <m/>
    <s v="Felvétel"/>
    <d v="2019-09-01T00:00:00"/>
    <s v="310982468731"/>
    <s v="BDPK-SEK"/>
    <s v="Neubauer Nikoletta"/>
    <d v="2019-07-24T00:00:00"/>
    <d v="2023-07-15T00:00:00"/>
    <n v="200000"/>
    <m/>
    <n v="5"/>
    <s v="Nő"/>
    <n v="200000"/>
    <s v="viktoria05.15@gmail.com"/>
    <s v="Czvitkovits Márta"/>
    <n v="6"/>
    <s v="Aktív"/>
    <n v="6"/>
    <n v="6"/>
    <s v="magyar"/>
    <m/>
  </r>
  <r>
    <s v="Flamis Laura"/>
    <s v="GSPGSV"/>
    <s v="Aktív"/>
    <s v="tanító"/>
    <x v="16"/>
    <s v="tanító"/>
    <s v="TÓK-TAN-NBHU"/>
    <s v="Tapolca"/>
    <s v="Veszprém"/>
    <s v="Flamis Laura"/>
    <s v="Magyarország"/>
    <d v="2001-01-14T00:00:00"/>
    <s v="T150461/FI80798"/>
    <x v="0"/>
    <s v="Állami ösztöndíjas"/>
    <s v="2019/20/1"/>
    <s v="Nappali"/>
    <n v="7"/>
    <n v="1"/>
    <s v="2021/22/2"/>
    <n v="8"/>
    <s v="76774748049"/>
    <n v="8"/>
    <x v="3"/>
    <s v="a központi eljárásban magyarországi képzésre"/>
    <n v="348"/>
    <m/>
    <m/>
    <s v="Felvétel"/>
    <d v="2019-09-01T00:00:00"/>
    <s v="310982592001"/>
    <s v="BDPK-SEK"/>
    <s v="Neubauer Nikoletta"/>
    <d v="2019-07-24T00:00:00"/>
    <d v="2023-07-15T00:00:00"/>
    <n v="200000"/>
    <m/>
    <n v="5"/>
    <s v="Nő"/>
    <n v="200000"/>
    <s v="flamislaura@gmail.com"/>
    <s v="Tóth Julianna"/>
    <n v="6"/>
    <s v="Aktív"/>
    <n v="6"/>
    <n v="6"/>
    <s v="magyar"/>
    <m/>
  </r>
  <r>
    <s v="Hermán Alexandra"/>
    <s v="A88CMB"/>
    <s v="Aktív"/>
    <s v="tanító"/>
    <x v="16"/>
    <s v="tanító"/>
    <s v="TÓK-TAN-LBHU"/>
    <s v="Zalaegerszeg"/>
    <s v="Zala"/>
    <s v="Hermán Alexandra"/>
    <s v="Magyarország"/>
    <d v="1997-11-12T00:00:00"/>
    <s v="T152726/FI80798"/>
    <x v="0"/>
    <s v="Állami ösztöndíjas"/>
    <s v="2019/20/1"/>
    <s v="Levelező"/>
    <n v="4"/>
    <n v="1"/>
    <s v="2021/22/2"/>
    <n v="8"/>
    <s v="72844933972"/>
    <n v="8"/>
    <x v="3"/>
    <s v="a központi eljárásban magyarországi képzésre"/>
    <n v="381"/>
    <m/>
    <m/>
    <s v="Felvétel"/>
    <d v="2019-09-01T00:00:00"/>
    <s v="310982137633"/>
    <s v="BDPK-SEK"/>
    <s v="Neubauer Nikoletta"/>
    <d v="2019-07-24T00:00:00"/>
    <d v="2023-07-15T00:00:00"/>
    <n v="200000"/>
    <m/>
    <n v="5"/>
    <s v="Nő"/>
    <n v="200000"/>
    <s v="szandra6777@gmail.com"/>
    <s v="Farkas Mária"/>
    <n v="6"/>
    <s v="Aktív"/>
    <n v="6"/>
    <n v="6"/>
    <s v="magyar"/>
    <m/>
  </r>
  <r>
    <s v="Molnár Vivien"/>
    <s v="BM0NRZ"/>
    <s v="Aktív"/>
    <s v="tanító"/>
    <x v="16"/>
    <s v="tanító"/>
    <s v="TÓK-TAN-LBHU"/>
    <s v="Zirc"/>
    <s v="Veszprém"/>
    <s v="Molnár Vivien"/>
    <s v="Magyarország"/>
    <d v="1990-09-12T00:00:00"/>
    <s v="T141211/FI80798"/>
    <x v="0"/>
    <s v="Állami ösztöndíjas"/>
    <s v="2018/19/1"/>
    <s v="Levelező"/>
    <n v="1"/>
    <n v="1"/>
    <s v="2021/22/2"/>
    <n v="8"/>
    <s v="75929644249"/>
    <n v="8"/>
    <x v="3"/>
    <s v="a központi eljárásban magyarországi képzésre"/>
    <n v="300"/>
    <m/>
    <m/>
    <s v="Felvétel"/>
    <d v="2018-09-01T00:00:00"/>
    <s v="310892011241"/>
    <s v="BDPK-SEK"/>
    <s v="Neubauer Nikoletta"/>
    <d v="2018-08-24T00:00:00"/>
    <d v="2022-06-30T00:00:00"/>
    <n v="200000"/>
    <m/>
    <n v="5"/>
    <s v="Nő"/>
    <n v="200000"/>
    <s v="molnarvivy@gmail.com"/>
    <s v="Szabó Andrea"/>
    <n v="8"/>
    <s v="Aktív"/>
    <n v="6"/>
    <n v="8"/>
    <s v="magyar"/>
    <m/>
  </r>
  <r>
    <s v="Ila Zsófia"/>
    <s v="AXXRYV"/>
    <s v="Aktív"/>
    <s v="tanító"/>
    <x v="16"/>
    <s v="tanító"/>
    <s v="TÓK-TAN-LBHU"/>
    <s v="Szombathely"/>
    <s v="Vas"/>
    <s v="Ila Zsófia"/>
    <s v="Magyarország"/>
    <d v="1993-11-19T00:00:00"/>
    <s v="T151206/FI80798"/>
    <x v="0"/>
    <s v="Állami ösztöndíjas"/>
    <s v="2019/20/1"/>
    <s v="Levelező"/>
    <n v="7"/>
    <n v="1"/>
    <s v="2021/22/2"/>
    <n v="8"/>
    <s v="77004391573"/>
    <n v="8"/>
    <x v="3"/>
    <s v="a központi eljárásban magyarországi képzésre"/>
    <n v="288"/>
    <m/>
    <m/>
    <s v="Felvétel"/>
    <d v="2019-09-01T00:00:00"/>
    <s v="310983069785"/>
    <s v="BDPK-SEK"/>
    <s v="Neubauer Nikoletta"/>
    <d v="2019-07-24T00:00:00"/>
    <d v="2023-07-15T00:00:00"/>
    <n v="200000"/>
    <m/>
    <n v="5"/>
    <s v="Nő"/>
    <n v="200000"/>
    <s v="ilazsofi25@gmail.com"/>
    <s v="Révész Hajnalka"/>
    <n v="6"/>
    <s v="Aktív"/>
    <n v="6"/>
    <n v="6"/>
    <s v="magyar"/>
    <m/>
  </r>
  <r>
    <s v="Váradi Klára"/>
    <s v="DXU5OC"/>
    <s v="Aktív"/>
    <s v="tanító"/>
    <x v="16"/>
    <s v="tanító"/>
    <s v="TÓK-TAN-LBHU"/>
    <s v="Sopron"/>
    <s v="Győr-Moson-Sopron"/>
    <s v="Váradi Klára"/>
    <s v="Magyarország"/>
    <d v="1991-08-06T00:00:00"/>
    <s v="T155431/FI80798"/>
    <x v="0"/>
    <s v="Állami ösztöndíjas"/>
    <s v="2019/20/1"/>
    <s v="Levelező"/>
    <n v="1"/>
    <n v="1"/>
    <s v="2021/22/2"/>
    <n v="8"/>
    <s v="77258655083"/>
    <n v="8"/>
    <x v="3"/>
    <s v="a központi eljárásban magyarországi képzésre"/>
    <n v="284"/>
    <m/>
    <m/>
    <s v="Felvétel"/>
    <d v="2019-09-01T00:00:00"/>
    <s v="310983085054"/>
    <s v="BDPK-SEK"/>
    <s v="Neubauer Nikoletta"/>
    <d v="2019-07-24T00:00:00"/>
    <d v="2023-07-15T00:00:00"/>
    <n v="200000"/>
    <m/>
    <n v="5"/>
    <s v="Nő"/>
    <n v="200000"/>
    <s v="varadiklari@gmail.com"/>
    <s v="Kovács Zsuzsanna"/>
    <n v="6"/>
    <s v="Aktív"/>
    <n v="6"/>
    <n v="6"/>
    <s v="magyar"/>
    <m/>
  </r>
  <r>
    <s v="Vincze Lívia"/>
    <s v="E22HFZ"/>
    <s v="Aktív"/>
    <s v="tanító"/>
    <x v="16"/>
    <s v="tanító"/>
    <s v="TÓK-TAN-NBHU"/>
    <s v="Szombathely"/>
    <s v="Vas"/>
    <s v="Vincze Lívia"/>
    <s v="Magyarország"/>
    <d v="1998-08-13T00:00:00"/>
    <s v="T149174/FI80798"/>
    <x v="0"/>
    <s v="Állami ösztöndíjas"/>
    <s v="2019/20/1"/>
    <s v="Nappali"/>
    <n v="7"/>
    <n v="1"/>
    <s v="2021/22/2"/>
    <n v="8"/>
    <s v="73668480215"/>
    <n v="8"/>
    <x v="3"/>
    <s v="a központi eljárásban magyarországi képzésre"/>
    <n v="296"/>
    <m/>
    <m/>
    <s v="Felvétel"/>
    <d v="2019-09-01T00:00:00"/>
    <s v="310982852678"/>
    <s v="BDPK-SEK"/>
    <s v="Neubauer Nikoletta"/>
    <d v="2019-07-24T00:00:00"/>
    <d v="2023-07-15T00:00:00"/>
    <n v="200000"/>
    <m/>
    <n v="5"/>
    <s v="Nő"/>
    <n v="200000"/>
    <s v="v.livi1998@gmail.com"/>
    <s v="Tamás Lívia"/>
    <n v="6"/>
    <s v="Aktív"/>
    <n v="6"/>
    <n v="6"/>
    <s v="magyar"/>
    <m/>
  </r>
  <r>
    <s v="Gárdonyiné Szarka Noémi"/>
    <s v="W9J450"/>
    <s v="Aktív"/>
    <s v="tanító"/>
    <x v="16"/>
    <s v="tanító"/>
    <s v="TÓK-TAN-LBHU"/>
    <s v="Ajka"/>
    <s v="Veszprém"/>
    <s v="Szarka Noémi"/>
    <s v="Magyarország"/>
    <d v="1990-04-19T00:00:00"/>
    <s v="T150109/FI80798"/>
    <x v="0"/>
    <s v="Állami ösztöndíjas"/>
    <s v="2019/20/1"/>
    <s v="Levelező"/>
    <n v="7"/>
    <n v="1"/>
    <s v="2021/22/2"/>
    <n v="8"/>
    <s v="74864199031"/>
    <n v="8"/>
    <x v="3"/>
    <s v="a központi eljárásban magyarországi képzésre"/>
    <n v="280"/>
    <m/>
    <m/>
    <s v="Felvétel"/>
    <d v="2019-09-01T00:00:00"/>
    <s v="310982812813"/>
    <s v="BDPK-SEK"/>
    <s v="Neubauer Nikoletta"/>
    <d v="2019-07-24T00:00:00"/>
    <d v="2023-07-15T00:00:00"/>
    <n v="200000"/>
    <m/>
    <n v="5"/>
    <s v="Nő"/>
    <n v="200000"/>
    <s v="nono0419@freemail.hu"/>
    <s v="Benke Mária"/>
    <n v="6"/>
    <s v="Aktív"/>
    <n v="6"/>
    <n v="6"/>
    <s v="magyar"/>
    <m/>
  </r>
  <r>
    <s v="Nérel Leonarda"/>
    <s v="FEGP3B"/>
    <s v="Aktív"/>
    <s v="tanító"/>
    <x v="16"/>
    <s v="tanító"/>
    <s v="TÓK-TAN-LBHU"/>
    <s v="Zalaegerszeg"/>
    <s v="Zala"/>
    <s v="Nérel Leonarda"/>
    <s v="Magyarország"/>
    <d v="2001-01-31T00:00:00"/>
    <s v="T152527/FI80798"/>
    <x v="0"/>
    <s v="Állami ösztöndíjas"/>
    <s v="2019/20/1"/>
    <s v="Levelező"/>
    <n v="7"/>
    <n v="1"/>
    <s v="2021/22/2"/>
    <n v="8"/>
    <s v="77895063132"/>
    <n v="8"/>
    <x v="3"/>
    <m/>
    <m/>
    <m/>
    <m/>
    <s v="Képzésváltás intézményen belül"/>
    <d v="2021-02-01T00:00:00"/>
    <m/>
    <s v="BDPK-SEK"/>
    <s v="Neubauer Nikoletta"/>
    <d v="2019-07-24T00:00:00"/>
    <d v="2025-01-31T00:00:00"/>
    <n v="140000"/>
    <m/>
    <n v="2"/>
    <s v="Nő"/>
    <n v="140000"/>
    <s v="nardababa0131@gmail.com"/>
    <s v="Nagy Gabriella"/>
    <n v="3"/>
    <s v="Aktív"/>
    <n v="3"/>
    <n v="6"/>
    <s v="magyar"/>
    <m/>
  </r>
  <r>
    <s v="Rákos Éva"/>
    <s v="L4FEGV"/>
    <s v="Passzív"/>
    <s v="tanító"/>
    <x v="16"/>
    <s v="tanító"/>
    <s v="TÓK-TAN-LBHU"/>
    <s v="Körmend"/>
    <s v="Vas"/>
    <s v="Rákos Éva"/>
    <s v="Magyarország"/>
    <d v="2001-05-13T00:00:00"/>
    <s v="T150873/FI80798"/>
    <x v="0"/>
    <s v="Állami ösztöndíjas"/>
    <s v="2019/20/1"/>
    <s v="Levelező"/>
    <n v="9"/>
    <n v="1"/>
    <s v="2020/21/2"/>
    <n v="8"/>
    <s v="73211394214"/>
    <n v="8"/>
    <x v="3"/>
    <s v="a központi eljárásban magyarországi képzésre"/>
    <n v="442"/>
    <m/>
    <m/>
    <s v="Felvétel"/>
    <d v="2019-09-01T00:00:00"/>
    <s v="310982939087"/>
    <s v="BDPK-SEK"/>
    <s v="Neubauer Nikoletta"/>
    <d v="2019-07-24T00:00:00"/>
    <d v="2025-01-31T00:00:00"/>
    <n v="200000"/>
    <m/>
    <n v="4"/>
    <s v="Nő"/>
    <n v="200000"/>
    <s v="rakoseva2001@gmail.com"/>
    <s v="Varga Katalin"/>
    <n v="4"/>
    <s v="Passzív"/>
    <n v="4"/>
    <n v="4"/>
    <s v="magyar"/>
    <m/>
  </r>
  <r>
    <s v="Kányási Laura Leontina"/>
    <s v="X7RCRS"/>
    <s v="Aktív"/>
    <s v="tanító"/>
    <x v="16"/>
    <s v="tanító"/>
    <s v="TÓK-TAN-NBHU"/>
    <s v="Szombathely"/>
    <s v="Vas"/>
    <s v="Kányási Laura Leontina"/>
    <s v="Magyarország"/>
    <d v="2000-09-13T00:00:00"/>
    <s v="T151108/FI80798"/>
    <x v="0"/>
    <s v="Állami ösztöndíjas"/>
    <s v="2019/20/1"/>
    <s v="Nappali"/>
    <n v="7"/>
    <n v="1"/>
    <s v="2021/22/2"/>
    <n v="8"/>
    <s v="78652777143"/>
    <n v="8"/>
    <x v="3"/>
    <s v="a központi eljárásban magyarországi képzésre"/>
    <n v="322"/>
    <m/>
    <m/>
    <s v="Felvétel"/>
    <d v="2019-09-01T00:00:00"/>
    <s v="310982229315"/>
    <s v="BDPK-SEK"/>
    <s v="Neubauer Nikoletta"/>
    <d v="2019-07-24T00:00:00"/>
    <d v="2023-07-15T00:00:00"/>
    <n v="200000"/>
    <m/>
    <n v="5"/>
    <s v="Nő"/>
    <n v="200000"/>
    <s v="kanyasilaura2@gmail.com"/>
    <s v="Binder Enikő Ágota"/>
    <n v="6"/>
    <s v="Aktív"/>
    <n v="6"/>
    <n v="6"/>
    <s v="magyar"/>
    <m/>
  </r>
  <r>
    <s v="Müller Petra"/>
    <s v="E4VYWW"/>
    <s v="Aktív"/>
    <s v="tanító"/>
    <x v="16"/>
    <s v="tanító"/>
    <s v="TÓK-TAN-NBHU"/>
    <s v="Nagykanizsa"/>
    <s v="Zala"/>
    <s v="Müller Petra"/>
    <s v="Magyarország"/>
    <d v="2001-06-02T00:00:00"/>
    <s v="T150460/FI80798"/>
    <x v="0"/>
    <s v="Állami ösztöndíjas"/>
    <s v="2019/20/1"/>
    <s v="Nappali"/>
    <n v="7"/>
    <n v="1"/>
    <s v="2021/22/2"/>
    <n v="8"/>
    <s v="74463346893"/>
    <n v="8"/>
    <x v="3"/>
    <s v="a központi eljárásban magyarországi képzésre"/>
    <n v="342"/>
    <m/>
    <m/>
    <s v="Felvétel"/>
    <d v="2019-09-01T00:00:00"/>
    <s v="310982612031"/>
    <s v="BDPK-SEK"/>
    <s v="Neubauer Nikoletta"/>
    <d v="2019-07-24T00:00:00"/>
    <d v="2023-07-15T00:00:00"/>
    <n v="200000"/>
    <m/>
    <n v="5"/>
    <s v="Nő"/>
    <n v="200000"/>
    <s v="mllrpetra2001@gmail.com"/>
    <s v="Imrei Szilvia"/>
    <n v="6"/>
    <s v="Aktív"/>
    <n v="6"/>
    <n v="6"/>
    <s v="magyar"/>
    <m/>
  </r>
  <r>
    <s v="Nagyné Darabos Gabriella"/>
    <s v="BWYR0N"/>
    <s v="Aktív"/>
    <s v="tanító"/>
    <x v="16"/>
    <s v="tanító"/>
    <s v="TÓK-TAN-LBHU"/>
    <s v="Sümeg"/>
    <m/>
    <s v="Darabos Gabriella"/>
    <s v="Magyarország"/>
    <d v="1979-01-24T00:00:00"/>
    <s v="T153114/FI80798"/>
    <x v="0"/>
    <s v="Állami ösztöndíjas"/>
    <s v="2019/20/1"/>
    <s v="Levelező"/>
    <n v="7"/>
    <n v="1"/>
    <s v="2021/22/2"/>
    <n v="8"/>
    <s v="73425552123"/>
    <n v="8"/>
    <x v="3"/>
    <s v="a központi eljárásban magyarországi képzésre"/>
    <n v="360"/>
    <m/>
    <m/>
    <s v="Felvétel"/>
    <d v="2019-09-01T00:00:00"/>
    <s v="310983152763"/>
    <s v="BDPK-SEK"/>
    <s v="Neubauer Nikoletta"/>
    <d v="2019-07-24T00:00:00"/>
    <d v="2023-07-15T00:00:00"/>
    <n v="200000"/>
    <m/>
    <n v="5"/>
    <s v="Nő"/>
    <n v="200000"/>
    <s v="gfagabi1979@gmail.com"/>
    <s v="Nagy Irén"/>
    <n v="6"/>
    <s v="Aktív"/>
    <n v="6"/>
    <n v="6"/>
    <s v="magyar"/>
    <m/>
  </r>
  <r>
    <s v="Novák Boglárka"/>
    <s v="YEHNVV"/>
    <s v="Aktív"/>
    <s v="tanító"/>
    <x v="16"/>
    <s v="tanító"/>
    <s v="TÓK-TAN-LBHU"/>
    <s v="Szombathely"/>
    <s v="Vas"/>
    <s v="Novák Boglárka"/>
    <s v="Magyarország"/>
    <d v="1999-08-20T00:00:00"/>
    <s v="T151457/FI80798"/>
    <x v="0"/>
    <s v="Állami ösztöndíjas"/>
    <s v="2019/20/1"/>
    <s v="Levelező"/>
    <n v="7"/>
    <n v="1"/>
    <s v="2021/22/2"/>
    <n v="8"/>
    <s v="74929564861"/>
    <n v="8"/>
    <x v="3"/>
    <m/>
    <m/>
    <m/>
    <m/>
    <s v="Képzésváltás intézményen belül"/>
    <d v="2021-09-03T00:00:00"/>
    <m/>
    <s v="BDPK-SEK"/>
    <s v="Neubauer Nikoletta"/>
    <d v="2019-07-24T00:00:00"/>
    <d v="2024-07-15T00:00:00"/>
    <n v="200000"/>
    <m/>
    <n v="1"/>
    <s v="Nő"/>
    <n v="200000"/>
    <s v="novakbogi658@gmail.com"/>
    <s v="Kovács Mária"/>
    <n v="2"/>
    <s v="Aktív"/>
    <n v="2"/>
    <n v="6"/>
    <s v="magyar"/>
    <m/>
  </r>
  <r>
    <s v="Oláh Zsóka"/>
    <s v="ZDLFVH"/>
    <s v="Aktív"/>
    <s v="tanító"/>
    <x v="16"/>
    <s v="tanító"/>
    <s v="TÓK-TAN-NBHU"/>
    <s v="Szombathely"/>
    <s v="Vas"/>
    <s v="Oláh Zsóka"/>
    <s v="Magyarország"/>
    <d v="2000-06-02T00:00:00"/>
    <s v="T150660/FI80798"/>
    <x v="0"/>
    <s v="Állami ösztöndíjas"/>
    <s v="2019/20/1"/>
    <s v="Nappali"/>
    <n v="7"/>
    <n v="1"/>
    <s v="2021/22/2"/>
    <n v="8"/>
    <s v="75404704236"/>
    <n v="8"/>
    <x v="3"/>
    <s v="a központi eljárásban magyarországi képzésre"/>
    <n v="399"/>
    <m/>
    <m/>
    <s v="Felvétel"/>
    <d v="2019-09-01T00:00:00"/>
    <s v="310982080866"/>
    <s v="BDPK-SEK"/>
    <s v="Neubauer Nikoletta"/>
    <d v="2019-07-24T00:00:00"/>
    <d v="2023-07-15T00:00:00"/>
    <n v="200000"/>
    <m/>
    <n v="5"/>
    <s v="Nő"/>
    <n v="200000"/>
    <s v="olah.zsoka02@gmail.com"/>
    <s v="Németh Mónika Márta"/>
    <n v="6"/>
    <s v="Aktív"/>
    <n v="6"/>
    <n v="6"/>
    <s v="magyar"/>
    <m/>
  </r>
  <r>
    <s v="Szeidl Petra"/>
    <s v="E6A3B2"/>
    <s v="Aktív"/>
    <s v="tanító"/>
    <x v="16"/>
    <s v="tanító"/>
    <s v="TÓK-TAN-NBHU"/>
    <s v="Szombathely"/>
    <s v="Vas"/>
    <s v="Szeidl Petra"/>
    <s v="Magyarország"/>
    <d v="2001-01-23T00:00:00"/>
    <s v="T148831/FI80798"/>
    <x v="0"/>
    <s v="Állami ösztöndíjas"/>
    <s v="2019/20/1"/>
    <s v="Nappali"/>
    <n v="7"/>
    <n v="1"/>
    <s v="2021/22/2"/>
    <n v="8"/>
    <s v="73623814297"/>
    <n v="8"/>
    <x v="3"/>
    <s v="a központi eljárásban magyarországi képzésre"/>
    <n v="312"/>
    <m/>
    <m/>
    <s v="Felvétel"/>
    <d v="2019-09-01T00:00:00"/>
    <s v="310982374244"/>
    <s v="BDPK-SEK"/>
    <s v="Neubauer Nikoletta"/>
    <d v="2019-07-24T00:00:00"/>
    <d v="2023-07-15T00:00:00"/>
    <n v="200000"/>
    <m/>
    <n v="5"/>
    <s v="Nő"/>
    <n v="200000"/>
    <s v="szeidlpetra@gmail.com"/>
    <s v="Molnár Kinga Petra"/>
    <n v="6"/>
    <s v="Aktív"/>
    <n v="6"/>
    <n v="6"/>
    <s v="magyar"/>
    <m/>
  </r>
  <r>
    <s v="Paukovits Dalma"/>
    <s v="BTY6OV"/>
    <s v="Aktív"/>
    <s v="tanító"/>
    <x v="16"/>
    <s v="tanító"/>
    <s v="TÓK-TAN-NBHU"/>
    <s v="Szombathely"/>
    <s v="Vas"/>
    <s v="Paukovits Dalma"/>
    <s v="Magyarország"/>
    <d v="2000-08-11T00:00:00"/>
    <s v="T149051/FI80798"/>
    <x v="0"/>
    <s v="Állami ösztöndíjas"/>
    <s v="2019/20/1"/>
    <s v="Nappali"/>
    <n v="7"/>
    <n v="1"/>
    <s v="2021/22/2"/>
    <n v="8"/>
    <s v="72789232514"/>
    <n v="8"/>
    <x v="3"/>
    <s v="a központi eljárásban magyarországi képzésre"/>
    <n v="374"/>
    <m/>
    <m/>
    <s v="Felvétel"/>
    <d v="2019-09-01T00:00:00"/>
    <s v="310982839923"/>
    <s v="BDPK-SEK"/>
    <s v="Neubauer Nikoletta"/>
    <d v="2019-07-24T00:00:00"/>
    <d v="2023-07-15T00:00:00"/>
    <n v="200000"/>
    <m/>
    <n v="5"/>
    <s v="Nő"/>
    <n v="200000"/>
    <s v="dalmaapau@gmail.com"/>
    <s v="Papp Barbara"/>
    <n v="6"/>
    <s v="Aktív"/>
    <n v="6"/>
    <n v="6"/>
    <s v="magyar"/>
    <m/>
  </r>
  <r>
    <s v="Tőke Katalin"/>
    <s v="ED7OGF"/>
    <s v="Aktív"/>
    <s v="tanító"/>
    <x v="16"/>
    <s v="tanító"/>
    <s v="TÓK-TAN-NBHU"/>
    <s v="Körmend"/>
    <s v="Vas"/>
    <s v="Tőke Katalin"/>
    <s v="Magyarország"/>
    <d v="1998-07-14T00:00:00"/>
    <s v="T148065/FI80798"/>
    <x v="0"/>
    <s v="Állami ösztöndíjas"/>
    <s v="2019/20/1"/>
    <s v="Nappali"/>
    <n v="7"/>
    <n v="1"/>
    <s v="2021/22/2"/>
    <n v="8"/>
    <s v="72587545926"/>
    <n v="8"/>
    <x v="3"/>
    <s v="a központi eljárásban magyarországi képzésre"/>
    <n v="332"/>
    <m/>
    <m/>
    <s v="Felvétel"/>
    <d v="2019-09-01T00:00:00"/>
    <s v="310982468749"/>
    <s v="BDPK-SEK"/>
    <s v="Neubauer Nikoletta"/>
    <d v="2019-07-24T00:00:00"/>
    <d v="2023-07-15T00:00:00"/>
    <n v="200000"/>
    <m/>
    <n v="5"/>
    <s v="Nő"/>
    <n v="200000"/>
    <s v="tokekatalin1998@gmail.com"/>
    <s v="Szijártó Györgyi"/>
    <n v="6"/>
    <s v="Aktív"/>
    <n v="6"/>
    <n v="6"/>
    <s v="magyar"/>
    <m/>
  </r>
  <r>
    <s v="Dimic Renáta"/>
    <s v="ZK1KLZ"/>
    <s v="Aktív"/>
    <s v="tanító"/>
    <x v="16"/>
    <s v="tanító"/>
    <s v="TÓK-TAN-LBHU"/>
    <s v="Budapest"/>
    <s v="Budapest"/>
    <s v="Molnár Renáta"/>
    <s v="Magyarország"/>
    <d v="1998-02-01T00:00:00"/>
    <s v="T142806/FI80798"/>
    <x v="0"/>
    <s v="Állami ösztöndíjas"/>
    <s v="2018/19/1"/>
    <s v="Levelező"/>
    <n v="7"/>
    <n v="1"/>
    <s v="2021/22/2"/>
    <n v="8"/>
    <s v="76728331685"/>
    <n v="8"/>
    <x v="3"/>
    <s v="a központi eljárásban magyarországi képzésre"/>
    <n v="313"/>
    <m/>
    <m/>
    <s v="Felvétel"/>
    <d v="2018-09-01T00:00:00"/>
    <s v="310892027049"/>
    <s v="BDPK-SEK"/>
    <s v="Neubauer Nikoletta"/>
    <d v="2018-08-24T00:00:00"/>
    <d v="2022-06-30T00:00:00"/>
    <n v="200000"/>
    <m/>
    <n v="5"/>
    <s v="Nő"/>
    <n v="200000"/>
    <s v="molnartio98@gmail.com"/>
    <s v="Jenei Mónika"/>
    <n v="8"/>
    <s v="Aktív"/>
    <n v="6"/>
    <n v="8"/>
    <s v="magyar"/>
    <m/>
  </r>
  <r>
    <s v="Gősi Luca"/>
    <s v="ARLQNC"/>
    <s v="Aktív"/>
    <s v="tanító"/>
    <x v="16"/>
    <s v="tanító"/>
    <s v="TÓK-TAN-NBHU"/>
    <s v="Győr"/>
    <s v="Győr-Moson-Sopron"/>
    <s v="Gősi Luca"/>
    <s v="Magyarország"/>
    <d v="2000-01-21T00:00:00"/>
    <s v="T148845/FI80798"/>
    <x v="0"/>
    <s v="Állami ösztöndíjas"/>
    <s v="2019/20/1"/>
    <s v="Nappali"/>
    <n v="7"/>
    <n v="1"/>
    <s v="2021/22/2"/>
    <n v="8"/>
    <s v="73742639808"/>
    <n v="8"/>
    <x v="3"/>
    <s v="a központi eljárásban magyarországi képzésre"/>
    <n v="325"/>
    <m/>
    <m/>
    <s v="Felvétel"/>
    <d v="2019-09-01T00:00:00"/>
    <s v="310982117510"/>
    <s v="BDPK-SEK"/>
    <s v="Neubauer Nikoletta"/>
    <d v="2019-07-24T00:00:00"/>
    <d v="2023-07-15T00:00:00"/>
    <n v="200000"/>
    <m/>
    <n v="5"/>
    <s v="Nő"/>
    <n v="200000"/>
    <s v="gosiluca2000@gmail.com"/>
    <s v="Kovács Ágnes"/>
    <n v="6"/>
    <s v="Aktív"/>
    <n v="6"/>
    <n v="6"/>
    <s v="magyar"/>
    <m/>
  </r>
  <r>
    <s v="Gorza-Rétyi Renáta"/>
    <s v="S0G1JA"/>
    <s v="Aktív"/>
    <s v="tanító"/>
    <x v="16"/>
    <s v="tanító"/>
    <s v="TÓK-TAN-LBHU"/>
    <s v="Zalaegerszeg"/>
    <s v="Zala"/>
    <s v="Rétyi Renáta"/>
    <s v="Magyarország"/>
    <d v="1988-02-15T00:00:00"/>
    <s v="T154771/FI80798"/>
    <x v="0"/>
    <s v="Állami ösztöndíjas"/>
    <s v="2019/20/1"/>
    <s v="Levelező"/>
    <n v="7"/>
    <n v="1"/>
    <s v="2021/22/2"/>
    <n v="8"/>
    <s v="78982342593"/>
    <n v="8"/>
    <x v="3"/>
    <s v="a központi eljárásban magyarországi képzésre"/>
    <n v="327"/>
    <m/>
    <m/>
    <s v="Felvétel"/>
    <d v="2019-09-01T00:00:00"/>
    <s v="310982958434"/>
    <s v="BDPK-SEK"/>
    <s v="Neubauer Nikoletta"/>
    <d v="2019-07-24T00:00:00"/>
    <d v="2023-07-15T00:00:00"/>
    <n v="200000"/>
    <m/>
    <n v="5"/>
    <s v="Nő"/>
    <n v="200000"/>
    <s v="retyi.renata@gmail.com"/>
    <s v="Sebők Irma Gabriella"/>
    <n v="6"/>
    <s v="Aktív"/>
    <n v="6"/>
    <n v="6"/>
    <s v="magyar"/>
    <m/>
  </r>
  <r>
    <s v="Weiland Máté"/>
    <s v="LS0NWQ"/>
    <s v="Aktív"/>
    <s v="tanító"/>
    <x v="16"/>
    <s v="tanító"/>
    <s v="TÓK-TAN-LBHU"/>
    <s v="Pápa"/>
    <s v="Veszprém"/>
    <s v="Weiland Máté"/>
    <s v="Magyarország"/>
    <d v="1998-07-24T00:00:00"/>
    <s v="T155315/FI80798"/>
    <x v="0"/>
    <s v="Állami ösztöndíjas"/>
    <s v="2019/20/1"/>
    <s v="Levelező"/>
    <n v="9"/>
    <n v="1"/>
    <s v="2021/22/2"/>
    <n v="8"/>
    <s v="75337544081"/>
    <n v="8"/>
    <x v="3"/>
    <s v="a központi eljárásban magyarországi képzésre"/>
    <n v="386"/>
    <m/>
    <m/>
    <s v="Felvétel"/>
    <d v="2019-09-01T00:00:00"/>
    <s v="310982212568"/>
    <s v="BDPK-SEK"/>
    <s v="Neubauer Nikoletta"/>
    <d v="2019-07-24T00:00:00"/>
    <d v="2025-01-31T00:00:00"/>
    <n v="200000"/>
    <m/>
    <n v="3"/>
    <s v="Férfi"/>
    <n v="200000"/>
    <s v="wmate98@gmail.com"/>
    <s v="Szenkovics Irén"/>
    <n v="4"/>
    <s v="Aktív"/>
    <n v="4"/>
    <n v="4"/>
    <s v="magyar"/>
    <m/>
  </r>
  <r>
    <s v="Szilágyiné Burai Emese"/>
    <s v="M839SW"/>
    <s v="Aktív"/>
    <s v="tanító"/>
    <x v="16"/>
    <s v="tanító"/>
    <s v="TÓK-TAN-LBHU"/>
    <s v="Debrecen"/>
    <s v="Hajdú-Bihar"/>
    <s v="Burai Emese"/>
    <s v="Magyarország"/>
    <d v="1976-02-09T00:00:00"/>
    <s v="T150408/FI80798"/>
    <x v="0"/>
    <s v="Állami ösztöndíjas"/>
    <s v="2019/20/1"/>
    <s v="Levelező"/>
    <n v="7"/>
    <n v="1"/>
    <s v="2021/22/2"/>
    <n v="8"/>
    <s v="73340091903"/>
    <n v="8"/>
    <x v="3"/>
    <s v="a központi eljárásban magyarországi képzésre"/>
    <n v="308"/>
    <m/>
    <m/>
    <s v="Felvétel"/>
    <d v="2019-09-01T00:00:00"/>
    <s v="310982384326"/>
    <s v="BDPK-SEK"/>
    <s v="Neubauer Nikoletta"/>
    <d v="2019-07-24T00:00:00"/>
    <d v="2023-07-15T00:00:00"/>
    <n v="200000"/>
    <m/>
    <n v="5"/>
    <s v="Nő"/>
    <n v="200000"/>
    <s v="szemiszofi@gmail.com"/>
    <s v="Fábián Éva"/>
    <n v="6"/>
    <s v="Aktív"/>
    <n v="6"/>
    <n v="6"/>
    <s v="magyar"/>
    <m/>
  </r>
  <r>
    <s v="Bogdán Eszter"/>
    <s v="Y6TIV8"/>
    <s v="Aktív"/>
    <s v="tanító"/>
    <x v="16"/>
    <s v="tanító"/>
    <s v="TÓK-TAN-NBHU"/>
    <s v="Zalaegerszeg"/>
    <s v="Zala"/>
    <s v="Bogdán Eszter"/>
    <s v="Magyarország"/>
    <d v="2001-03-15T00:00:00"/>
    <s v="T149116/FI80798"/>
    <x v="0"/>
    <s v="Állami ösztöndíjas"/>
    <s v="2019/20/1"/>
    <s v="Nappali"/>
    <n v="7"/>
    <n v="1"/>
    <s v="2021/22/2"/>
    <n v="8"/>
    <s v="75656785219"/>
    <n v="8"/>
    <x v="3"/>
    <s v="a központi eljárásban magyarországi képzésre"/>
    <n v="414"/>
    <m/>
    <m/>
    <s v="Felvétel"/>
    <d v="2019-09-01T00:00:00"/>
    <s v="310982891684"/>
    <s v="BDPK-SEK"/>
    <s v="Neubauer Nikoletta"/>
    <d v="2019-07-24T00:00:00"/>
    <d v="2023-07-15T00:00:00"/>
    <n v="200000"/>
    <m/>
    <n v="5"/>
    <s v="Nő"/>
    <n v="200000"/>
    <s v="bogdeszti100@gmail.com"/>
    <s v="Kondor Erzsébet"/>
    <n v="6"/>
    <s v="Aktív"/>
    <n v="6"/>
    <n v="6"/>
    <s v="magyar"/>
    <m/>
  </r>
  <r>
    <s v="Görömbölyi-Dóczi Alexandra Ágnes"/>
    <s v="HCZUA1"/>
    <s v="Aktív"/>
    <s v="tanító"/>
    <x v="16"/>
    <s v="tanító"/>
    <s v="TÓK-TAN-LBHU"/>
    <s v="Miskolc"/>
    <s v="Borsod-Abaúj-Zemplén"/>
    <s v="Dóczi Alexandra Ágnes"/>
    <s v="Magyarország"/>
    <d v="1987-06-16T00:00:00"/>
    <s v="T149800/FI80798"/>
    <x v="0"/>
    <s v="Önköltséges"/>
    <s v="2019/20/1"/>
    <s v="Levelező"/>
    <n v="5"/>
    <n v="1"/>
    <s v="2009/10/2"/>
    <n v="8"/>
    <s v="77784025838"/>
    <n v="8"/>
    <x v="3"/>
    <s v="a központi eljárásban magyarországi képzésre"/>
    <n v="424"/>
    <m/>
    <m/>
    <s v="Felvétel"/>
    <d v="2019-09-01T00:00:00"/>
    <s v="310982278247"/>
    <s v="BDPK-SEK"/>
    <s v="Neubauer Nikoletta"/>
    <d v="2019-07-24T00:00:00"/>
    <d v="2023-07-15T00:00:00"/>
    <m/>
    <m/>
    <n v="0"/>
    <s v="Nő"/>
    <m/>
    <s v="doczialexandra@gmail.com"/>
    <s v="Szaniszló Ágnes Piroska"/>
    <n v="6"/>
    <s v="Aktív"/>
    <n v="0"/>
    <n v="6"/>
    <s v="magyar"/>
    <n v="200000"/>
  </r>
  <r>
    <s v="Ihárosi Mariann"/>
    <s v="YEA5C2"/>
    <s v="Aktív"/>
    <s v="tanító"/>
    <x v="16"/>
    <s v="tanító"/>
    <s v="TÓK-TAN-LBHU"/>
    <s v="Kaposvár"/>
    <s v="Somogy"/>
    <s v="Ihárosi Mariann"/>
    <s v="Magyarország"/>
    <d v="1998-05-04T00:00:00"/>
    <s v="T150546/FI80798"/>
    <x v="0"/>
    <s v="Állami ösztöndíjas"/>
    <s v="2019/20/1"/>
    <s v="Levelező"/>
    <n v="7"/>
    <n v="1"/>
    <s v="2021/22/2"/>
    <n v="8"/>
    <s v="72989966525"/>
    <n v="8"/>
    <x v="3"/>
    <m/>
    <m/>
    <m/>
    <m/>
    <s v="Képzésváltás intézményen belül"/>
    <d v="2020-02-01T00:00:00"/>
    <m/>
    <s v="BDPK-SEK"/>
    <s v="Neubauer Nikoletta"/>
    <d v="2019-07-24T00:00:00"/>
    <d v="2023-06-30T00:00:00"/>
    <n v="200000"/>
    <m/>
    <n v="4"/>
    <s v="Nő"/>
    <n v="200000"/>
    <s v="majaiharosi@gmail.com"/>
    <s v="Kustra Marianna"/>
    <n v="5"/>
    <s v="Aktív"/>
    <n v="5"/>
    <n v="6"/>
    <s v="magyar"/>
    <m/>
  </r>
  <r>
    <s v="Őszy Zsófia Tamara"/>
    <s v="OVZJDA"/>
    <s v="Aktív"/>
    <s v="tanító"/>
    <x v="16"/>
    <s v="tanító"/>
    <s v="TÓK-TAN-LBHU"/>
    <s v="Szombathely"/>
    <s v="Vas"/>
    <s v="Őszy Zsófia Tamara"/>
    <s v="Magyarország"/>
    <d v="1996-09-19T00:00:00"/>
    <s v="T154772/FI80798"/>
    <x v="0"/>
    <s v="Állami ösztöndíjas"/>
    <s v="2019/20/1"/>
    <s v="Levelező"/>
    <n v="7"/>
    <n v="1"/>
    <s v="2021/22/2"/>
    <n v="8"/>
    <s v="78362019361"/>
    <n v="8"/>
    <x v="3"/>
    <s v="a központi eljárásban magyarországi képzésre"/>
    <n v="302"/>
    <m/>
    <m/>
    <s v="Felvétel"/>
    <d v="2019-09-01T00:00:00"/>
    <s v="310982979968"/>
    <s v="BDPK-SEK"/>
    <s v="Neubauer Nikoletta"/>
    <d v="2019-07-24T00:00:00"/>
    <d v="2023-07-15T00:00:00"/>
    <n v="200000"/>
    <m/>
    <n v="5"/>
    <s v="Nő"/>
    <n v="200000"/>
    <s v="oszy.zsofia@gmail.com"/>
    <s v="Kovács Krisztina Anna"/>
    <n v="6"/>
    <s v="Aktív"/>
    <n v="6"/>
    <n v="6"/>
    <s v="magyar"/>
    <m/>
  </r>
  <r>
    <s v="Kiss Petra Kata"/>
    <s v="VZC557"/>
    <s v="Aktív"/>
    <s v="tanító"/>
    <x v="16"/>
    <s v="tanító"/>
    <s v="TÓK-TAN-NBHU"/>
    <s v="Zalaegerszeg"/>
    <s v="Zala"/>
    <s v="Kiss Petra Kata"/>
    <s v="Magyarország"/>
    <d v="2000-08-13T00:00:00"/>
    <s v="T156000/FI80798"/>
    <x v="0"/>
    <s v="Állami ösztöndíjas"/>
    <s v="2019/20/1"/>
    <s v="Nappali"/>
    <n v="7"/>
    <n v="1"/>
    <s v="2021/22/2"/>
    <n v="8"/>
    <s v="74903389800"/>
    <n v="8"/>
    <x v="3"/>
    <s v="a központi eljárásban magyarországi képzésre"/>
    <n v="286"/>
    <m/>
    <m/>
    <s v="Felvétel"/>
    <d v="2019-09-01T00:00:00"/>
    <s v="310982098702"/>
    <s v="BDPK-SEK"/>
    <s v="Neubauer Nikoletta"/>
    <d v="2019-07-24T00:00:00"/>
    <d v="2023-07-15T00:00:00"/>
    <n v="200000"/>
    <m/>
    <n v="5"/>
    <s v="Nő"/>
    <n v="200000"/>
    <s v="k.kisspetra@gmail.com"/>
    <s v="Marczis Mónika"/>
    <n v="6"/>
    <s v="Aktív"/>
    <n v="6"/>
    <n v="6"/>
    <s v="magyar"/>
    <m/>
  </r>
  <r>
    <s v="Kuti Alexandra"/>
    <s v="AL1P8L"/>
    <s v="Aktív"/>
    <s v="tanító"/>
    <x v="16"/>
    <s v="tanító"/>
    <s v="TÓK-TAN-NBHU"/>
    <s v="Szombathely"/>
    <s v="Vas"/>
    <s v="Kuti Alexandra"/>
    <s v="Magyarország"/>
    <d v="2000-09-07T00:00:00"/>
    <s v="T149523/FI80798"/>
    <x v="0"/>
    <s v="Állami ösztöndíjas"/>
    <s v="2019/20/1"/>
    <s v="Nappali"/>
    <n v="7"/>
    <n v="1"/>
    <s v="2021/22/2"/>
    <n v="8"/>
    <s v="73564019705"/>
    <n v="8"/>
    <x v="3"/>
    <s v="a központi eljárásban magyarországi képzésre"/>
    <n v="300"/>
    <m/>
    <m/>
    <s v="Felvétel"/>
    <d v="2019-09-01T00:00:00"/>
    <s v="310982498829"/>
    <s v="BDPK-SEK"/>
    <s v="Neubauer Nikoletta"/>
    <d v="2019-07-24T00:00:00"/>
    <d v="2023-07-15T00:00:00"/>
    <n v="200000"/>
    <m/>
    <n v="5"/>
    <s v="Nő"/>
    <n v="200000"/>
    <s v="alexandrakuti66@gmail.com"/>
    <s v="Mészáros Zsanett"/>
    <n v="6"/>
    <s v="Aktív"/>
    <n v="6"/>
    <n v="6"/>
    <s v="magyar"/>
    <m/>
  </r>
  <r>
    <s v="Papirovnyik Vivien"/>
    <s v="IEJOQV"/>
    <s v="Aktív"/>
    <s v="tanító"/>
    <x v="16"/>
    <s v="tanító"/>
    <s v="TÓK-TAN-LBHU"/>
    <s v="Várpalota"/>
    <s v="Veszprém"/>
    <s v="Papirovnyik Vivien"/>
    <s v="Magyarország"/>
    <d v="1997-10-18T00:00:00"/>
    <s v="T163277/FI80798"/>
    <x v="0"/>
    <s v="Állami ösztöndíjas"/>
    <s v="2020/21/1"/>
    <s v="Levelező"/>
    <n v="8"/>
    <n v="1"/>
    <s v="2021/22/2"/>
    <n v="8"/>
    <s v="73749198563"/>
    <n v="8"/>
    <x v="3"/>
    <s v="a központi eljárásban magyarországi képzésre"/>
    <n v="326"/>
    <m/>
    <m/>
    <s v="Felvétel"/>
    <d v="2020-09-01T00:00:00"/>
    <s v="310804250135"/>
    <s v="BDPK-SEK"/>
    <s v="Neubauer Nikoletta"/>
    <d v="2020-07-23T00:00:00"/>
    <d v="2024-07-15T00:00:00"/>
    <n v="200000"/>
    <m/>
    <n v="3"/>
    <s v="Nő"/>
    <n v="200000"/>
    <s v="papirovnyik.vivien@gmail.com"/>
    <s v="Boza Mónika"/>
    <n v="4"/>
    <s v="Aktív"/>
    <n v="4"/>
    <n v="4"/>
    <s v="magyar"/>
    <m/>
  </r>
  <r>
    <s v="Ivánkovics Kata"/>
    <s v="EL61BE"/>
    <s v="Aktív"/>
    <s v="tanító"/>
    <x v="16"/>
    <s v="tanító"/>
    <s v="TÓK-TAN-NBHU"/>
    <s v="Kapuvár"/>
    <s v="Győr-Moson-Sopron"/>
    <s v="Ivánkovics Kata"/>
    <s v="Magyarország"/>
    <d v="2001-08-08T00:00:00"/>
    <s v="T167257/FI80798"/>
    <x v="0"/>
    <s v="Állami ösztöndíjas"/>
    <s v="2020/21/1"/>
    <s v="Nappali"/>
    <n v="9"/>
    <n v="1"/>
    <s v="2021/22/2"/>
    <n v="8"/>
    <s v="71628711548"/>
    <n v="8"/>
    <x v="3"/>
    <s v="a központi eljárásban magyarországi képzésre"/>
    <n v="429"/>
    <m/>
    <m/>
    <s v="Felvétel"/>
    <d v="2020-09-01T00:00:00"/>
    <s v="310804672734"/>
    <s v="BDPK-SEK"/>
    <s v="Neubauer Nikoletta"/>
    <d v="2020-07-23T00:00:00"/>
    <d v="2024-07-15T00:00:00"/>
    <n v="200000"/>
    <m/>
    <n v="3"/>
    <s v="Nő"/>
    <n v="200000"/>
    <s v="kataivankovics@freemail.hu"/>
    <s v="Tóth Györgyi Mária"/>
    <n v="4"/>
    <s v="Aktív"/>
    <n v="4"/>
    <n v="4"/>
    <s v="magyar"/>
    <m/>
  </r>
  <r>
    <s v="Jenőfi Katalin"/>
    <s v="QBFMB2"/>
    <s v="Aktív"/>
    <s v="tanító"/>
    <x v="16"/>
    <s v="tanító"/>
    <s v="TÓK-TAN-LBHU"/>
    <s v="Sárvár"/>
    <s v="Vas"/>
    <s v="Jenőfi Katalin"/>
    <s v="Magyarország"/>
    <d v="1983-10-06T00:00:00"/>
    <s v="T178773/FI80798"/>
    <x v="0"/>
    <s v="Állami ösztöndíjas"/>
    <s v="2020/21/1"/>
    <s v="Levelező"/>
    <n v="10"/>
    <n v="1"/>
    <s v="2021/22/2"/>
    <n v="8"/>
    <s v="71392193273"/>
    <n v="8"/>
    <x v="3"/>
    <m/>
    <m/>
    <m/>
    <m/>
    <s v="Képzésváltás intézményen belül"/>
    <d v="2021-02-01T00:00:00"/>
    <m/>
    <s v="BDPK-SEK"/>
    <s v="Neubauer Nikoletta"/>
    <d v="2020-07-23T00:00:00"/>
    <d v="2025-01-31T00:00:00"/>
    <n v="140000"/>
    <m/>
    <n v="3"/>
    <s v="Nő"/>
    <n v="140000"/>
    <s v="jenofik@hotmail.com"/>
    <s v="Berta Ilona Marianna"/>
    <n v="3"/>
    <s v="Aktív"/>
    <n v="3"/>
    <n v="3"/>
    <s v="magyar"/>
    <m/>
  </r>
  <r>
    <s v="Gerencsér Evelin Hajnalka"/>
    <s v="D30ZV5"/>
    <s v="Aktív"/>
    <s v="tanító"/>
    <x v="16"/>
    <s v="tanító"/>
    <s v="TÓK-TAN-NBHU"/>
    <s v="Szombathely"/>
    <s v="Vas"/>
    <s v="Gerencsér Evelin Hajnalka"/>
    <s v="Magyarország"/>
    <d v="2000-12-12T00:00:00"/>
    <s v="T161423/FI80798"/>
    <x v="0"/>
    <s v="Állami ösztöndíjas"/>
    <s v="2020/21/1"/>
    <s v="Nappali"/>
    <n v="9"/>
    <n v="1"/>
    <s v="2021/22/2"/>
    <n v="8"/>
    <s v="74384665007"/>
    <n v="8"/>
    <x v="3"/>
    <s v="a központi eljárásban magyarországi képzésre"/>
    <n v="311"/>
    <m/>
    <m/>
    <s v="Felvétel"/>
    <d v="2020-09-01T00:00:00"/>
    <s v="310804425513"/>
    <s v="BDPK-SEK"/>
    <s v="Neubauer Nikoletta"/>
    <d v="2020-07-23T00:00:00"/>
    <d v="2024-07-15T00:00:00"/>
    <n v="200000"/>
    <m/>
    <n v="3"/>
    <s v="Nő"/>
    <n v="200000"/>
    <s v="evelingerencser25@gmail.com"/>
    <s v="Guzmics Eszter Mária"/>
    <n v="4"/>
    <s v="Aktív"/>
    <n v="4"/>
    <n v="4"/>
    <s v="magyar"/>
    <m/>
  </r>
  <r>
    <s v="Radó Tímea Irén"/>
    <s v="I0UP2W"/>
    <s v="Passzív"/>
    <s v="tanító"/>
    <x v="16"/>
    <s v="tanító"/>
    <s v="TÓK-TAN-LBHU"/>
    <s v="Sárvár"/>
    <s v="Vas"/>
    <s v="Radó Tímea Irén"/>
    <s v="Magyarország"/>
    <d v="1987-03-06T00:00:00"/>
    <s v="T172556/FI80798"/>
    <x v="0"/>
    <s v="Állami ösztöndíjas"/>
    <s v="2020/21/1"/>
    <s v="Levelező"/>
    <n v="2"/>
    <n v="1"/>
    <s v="2021/22/1"/>
    <n v="8"/>
    <s v="71458872900"/>
    <n v="8"/>
    <x v="3"/>
    <s v="a központi eljárásban magyarországi képzésre"/>
    <n v="468"/>
    <m/>
    <m/>
    <s v="Felvétel"/>
    <d v="2020-09-04T00:00:00"/>
    <s v="310904014852"/>
    <s v="BDPK-SEK"/>
    <s v="Neubauer Nikoletta"/>
    <d v="2020-08-27T00:00:00"/>
    <d v="2025-07-15T00:00:00"/>
    <n v="200000"/>
    <m/>
    <n v="3"/>
    <s v="Nő"/>
    <n v="200000"/>
    <s v="rado.timea@gmail.com"/>
    <s v="Nyári Zsuzsanna"/>
    <n v="3"/>
    <s v="Passzív"/>
    <n v="3"/>
    <n v="3"/>
    <s v="magyar"/>
    <m/>
  </r>
  <r>
    <s v="Leimeiszter Helga"/>
    <s v="D0Z012"/>
    <s v="Aktív"/>
    <s v="tanító"/>
    <x v="16"/>
    <s v="tanító"/>
    <s v="TÓK-TAN-NBHU"/>
    <s v="Szombathely"/>
    <s v="Vas"/>
    <s v="Leimeiszter Helga"/>
    <s v="Magyarország"/>
    <d v="2000-08-21T00:00:00"/>
    <s v="T160287/FI80798"/>
    <x v="0"/>
    <s v="Állami ösztöndíjas"/>
    <s v="2019/20/1"/>
    <s v="Nappali"/>
    <n v="7"/>
    <n v="1"/>
    <s v="2021/22/2"/>
    <n v="8"/>
    <s v="78649946656"/>
    <n v="8"/>
    <x v="3"/>
    <m/>
    <m/>
    <m/>
    <m/>
    <s v="Átvétel kérelemre más magyarországi intézményből"/>
    <d v="2020-02-01T00:00:00"/>
    <m/>
    <s v="BDPK-SEK"/>
    <s v="Neubauer Nikoletta"/>
    <d v="2019-07-24T00:00:00"/>
    <d v="2023-07-15T00:00:00"/>
    <n v="200000"/>
    <m/>
    <n v="4"/>
    <s v="Nő"/>
    <n v="200000"/>
    <s v="leihelga0821@gmail.com"/>
    <s v="Németh Krisztina"/>
    <n v="5"/>
    <s v="Aktív"/>
    <n v="5"/>
    <n v="6"/>
    <s v="magyar"/>
    <m/>
  </r>
  <r>
    <s v="Huszár Petra Patrícia"/>
    <s v="E8TDVB"/>
    <s v="Aktív"/>
    <s v="tanító"/>
    <x v="16"/>
    <s v="tanító"/>
    <s v="TÓK-TAN-NBHU"/>
    <s v="Celldömölk"/>
    <s v="Vas"/>
    <s v="Huszár Petra Patrícia"/>
    <s v="Magyarország"/>
    <d v="2001-07-09T00:00:00"/>
    <s v="T162995/FI80798"/>
    <x v="0"/>
    <s v="Állami ösztöndíjas"/>
    <s v="2020/21/1"/>
    <s v="Nappali"/>
    <n v="9"/>
    <n v="1"/>
    <s v="2021/22/2"/>
    <n v="8"/>
    <s v="71626403569"/>
    <n v="8"/>
    <x v="3"/>
    <s v="a központi eljárásban magyarországi képzésre"/>
    <n v="346"/>
    <m/>
    <m/>
    <s v="Felvétel"/>
    <d v="2020-09-01T00:00:00"/>
    <s v="310804507088"/>
    <s v="BDPK-SEK"/>
    <s v="Neubauer Nikoletta"/>
    <d v="2020-07-23T00:00:00"/>
    <d v="2024-07-15T00:00:00"/>
    <n v="200000"/>
    <m/>
    <n v="3"/>
    <s v="Nő"/>
    <n v="200000"/>
    <s v="huszarpetra2001@gmail.com"/>
    <s v="Káldi Babett"/>
    <n v="4"/>
    <s v="Aktív"/>
    <n v="4"/>
    <n v="4"/>
    <s v="magyar"/>
    <m/>
  </r>
  <r>
    <s v="Végh Elizabet"/>
    <s v="CXNVIU"/>
    <s v="Aktív"/>
    <s v="tanító"/>
    <x v="16"/>
    <s v="tanító"/>
    <s v="TÓK-TAN-LBHU"/>
    <s v="Szombathely"/>
    <s v="Vas"/>
    <s v="Végh Elizabet"/>
    <s v="Magyarország"/>
    <d v="2000-08-22T00:00:00"/>
    <s v="T166629/FI80798"/>
    <x v="0"/>
    <s v="Állami ösztöndíjas"/>
    <s v="2020/21/1"/>
    <s v="Levelező"/>
    <n v="8"/>
    <n v="1"/>
    <s v="2021/22/2"/>
    <n v="8"/>
    <s v="73316846158"/>
    <n v="8"/>
    <x v="3"/>
    <m/>
    <m/>
    <m/>
    <m/>
    <s v="Képzésváltás intézményen belül"/>
    <d v="2021-09-01T00:00:00"/>
    <m/>
    <s v="BDPK-SEK"/>
    <s v="Neubauer Nikoletta"/>
    <d v="2020-07-23T00:00:00"/>
    <d v="2024-07-15T00:00:00"/>
    <n v="200000"/>
    <m/>
    <n v="1"/>
    <s v="Nő"/>
    <n v="200000"/>
    <s v="vghelizabet@gmail.com"/>
    <s v="Varga Zsuzsanna"/>
    <n v="2"/>
    <s v="Aktív"/>
    <n v="2"/>
    <n v="4"/>
    <s v="magyar"/>
    <m/>
  </r>
  <r>
    <s v="Sashalmi Erika"/>
    <s v="NDVGCC"/>
    <s v="Aktív"/>
    <s v="tanító"/>
    <x v="16"/>
    <s v="tanító"/>
    <s v="TÓK-TAN-NBHU"/>
    <s v="Várpalota"/>
    <s v="Veszprém"/>
    <s v="Sashalmi Erika"/>
    <s v="Magyarország"/>
    <d v="2000-12-31T00:00:00"/>
    <s v="T167163/FI80798"/>
    <x v="0"/>
    <s v="Állami ösztöndíjas"/>
    <s v="2020/21/1"/>
    <s v="Nappali"/>
    <n v="9"/>
    <n v="1"/>
    <s v="2021/22/2"/>
    <n v="8"/>
    <s v="79345463717"/>
    <n v="8"/>
    <x v="3"/>
    <s v="a központi eljárásban magyarországi képzésre"/>
    <n v="334"/>
    <m/>
    <m/>
    <s v="Felvétel"/>
    <d v="2020-09-01T00:00:00"/>
    <s v="310804142464"/>
    <s v="BDPK-SEK"/>
    <s v="Neubauer Nikoletta"/>
    <d v="2020-07-23T00:00:00"/>
    <d v="2024-07-15T00:00:00"/>
    <n v="200000"/>
    <m/>
    <n v="3"/>
    <s v="Nő"/>
    <n v="200000"/>
    <s v="erdzsika@gmail.com"/>
    <s v="Forsthoffer Ágnes"/>
    <n v="4"/>
    <s v="Aktív"/>
    <n v="4"/>
    <n v="4"/>
    <s v="magyar"/>
    <m/>
  </r>
  <r>
    <s v="Kovács Kornél Patrik"/>
    <s v="DIAURI"/>
    <s v="Aktív"/>
    <s v="tanító"/>
    <x v="16"/>
    <s v="tanító"/>
    <s v="TÓK-TAN-NBHU"/>
    <s v="Szombathely"/>
    <s v="Vas"/>
    <s v="Kovács Kornél Patrik"/>
    <s v="Magyarország"/>
    <d v="2001-08-25T00:00:00"/>
    <s v="T180001/FI80798"/>
    <x v="0"/>
    <s v="Állami ösztöndíjas"/>
    <s v="2021/22/1"/>
    <s v="Nappali"/>
    <n v="12"/>
    <n v="1"/>
    <s v="2021/22/2"/>
    <n v="8"/>
    <s v="71465799720"/>
    <n v="8"/>
    <x v="3"/>
    <s v="a központi eljárásban magyarországi képzésre"/>
    <n v="354"/>
    <m/>
    <m/>
    <s v="Felvétel"/>
    <d v="2021-09-01T00:00:00"/>
    <s v="310814178433"/>
    <s v="BDPK-SEK"/>
    <s v="Neubauer Nikoletta"/>
    <d v="2021-07-23T00:00:00"/>
    <d v="2025-07-15T00:00:00"/>
    <n v="200000"/>
    <m/>
    <n v="1"/>
    <s v="Férfi"/>
    <n v="200000"/>
    <s v="kovackrn2001@gmail.com"/>
    <s v="Zubrits Zsuzsanna"/>
    <n v="2"/>
    <s v="Aktív"/>
    <n v="2"/>
    <n v="2"/>
    <s v="magyar"/>
    <m/>
  </r>
  <r>
    <s v="Vas Jácinta Anna"/>
    <s v="AXA531"/>
    <s v="Aktív"/>
    <s v="tanító"/>
    <x v="16"/>
    <s v="tanító"/>
    <s v="TÓK-TAN-NBHU"/>
    <s v="Szombathely"/>
    <s v="Vas"/>
    <s v="Vas Jácinta Anna"/>
    <s v="Magyarország"/>
    <d v="2001-07-07T00:00:00"/>
    <s v="T167147/FI80798"/>
    <x v="0"/>
    <s v="Állami ösztöndíjas"/>
    <s v="2020/21/1"/>
    <s v="Nappali"/>
    <n v="9"/>
    <n v="1"/>
    <s v="2021/22/2"/>
    <n v="8"/>
    <s v="71466395484"/>
    <n v="8"/>
    <x v="3"/>
    <s v="a központi eljárásban magyarországi képzésre"/>
    <n v="309"/>
    <m/>
    <m/>
    <s v="Felvétel"/>
    <d v="2020-09-01T00:00:00"/>
    <s v="310804327503"/>
    <s v="BDPK-SEK"/>
    <s v="Neubauer Nikoletta"/>
    <d v="2020-07-23T00:00:00"/>
    <d v="2024-07-15T00:00:00"/>
    <n v="200000"/>
    <m/>
    <n v="3"/>
    <s v="Nő"/>
    <n v="200000"/>
    <s v="vascinta@gmail.com"/>
    <s v="Regényi Katalin"/>
    <n v="4"/>
    <s v="Aktív"/>
    <n v="4"/>
    <n v="4"/>
    <s v="magyar"/>
    <m/>
  </r>
  <r>
    <s v="Menges Orsolya"/>
    <s v="CZKXAX"/>
    <s v="Aktív"/>
    <s v="tanító"/>
    <x v="16"/>
    <s v="tanító"/>
    <s v="TÓK-TAN-LBHU"/>
    <s v="Szombathely"/>
    <s v="Vas"/>
    <s v="Rónay Orsolya"/>
    <s v="Magyarország"/>
    <d v="1978-04-25T00:00:00"/>
    <s v="T167292/FI80798"/>
    <x v="0"/>
    <s v="Állami ösztöndíjas"/>
    <s v="2020/21/1"/>
    <s v="Levelező"/>
    <n v="9"/>
    <n v="1"/>
    <s v="2021/22/2"/>
    <n v="8"/>
    <s v="72409498304"/>
    <n v="8"/>
    <x v="3"/>
    <s v="a központi eljárásban magyarországi képzésre"/>
    <n v="480"/>
    <m/>
    <m/>
    <s v="Felvétel"/>
    <d v="2020-09-01T00:00:00"/>
    <s v="310804821380"/>
    <s v="BDPK-SEK"/>
    <s v="Neubauer Nikoletta"/>
    <d v="2020-07-23T00:00:00"/>
    <d v="2024-07-15T00:00:00"/>
    <n v="200000"/>
    <m/>
    <n v="3"/>
    <s v="Nő"/>
    <n v="200000"/>
    <s v="orsolyamenges@gmail.com"/>
    <s v="Illa Zsuzsanna"/>
    <n v="4"/>
    <s v="Aktív"/>
    <n v="4"/>
    <n v="4"/>
    <s v="magyar"/>
    <m/>
  </r>
  <r>
    <s v="Varga Vivien"/>
    <s v="FY4SWS"/>
    <s v="Aktív"/>
    <s v="tanító"/>
    <x v="16"/>
    <s v="tanító"/>
    <s v="TÓK-TAN-NBHU"/>
    <s v="Szombathely"/>
    <s v="Vas"/>
    <s v="Varga Vivien"/>
    <s v="Magyarország"/>
    <d v="2001-05-21T00:00:00"/>
    <s v="T165802/FI80798"/>
    <x v="0"/>
    <s v="Állami ösztöndíjas"/>
    <s v="2020/21/1"/>
    <s v="Nappali"/>
    <n v="9"/>
    <n v="1"/>
    <s v="2021/22/2"/>
    <n v="8"/>
    <s v="71467731008"/>
    <n v="8"/>
    <x v="3"/>
    <s v="a központi eljárásban magyarországi képzésre"/>
    <n v="364"/>
    <m/>
    <m/>
    <s v="Felvétel"/>
    <d v="2020-09-01T00:00:00"/>
    <s v="310804247594"/>
    <s v="BDPK-SEK"/>
    <s v="Neubauer Nikoletta"/>
    <d v="2020-07-23T00:00:00"/>
    <d v="2024-07-15T00:00:00"/>
    <n v="200000"/>
    <m/>
    <n v="3"/>
    <s v="Nő"/>
    <n v="200000"/>
    <s v="vivienvarga2001@gmail.com"/>
    <s v="Gájer Rita"/>
    <n v="4"/>
    <s v="Aktív"/>
    <n v="4"/>
    <n v="4"/>
    <s v="magyar"/>
    <m/>
  </r>
  <r>
    <s v="Nagy Alexandra"/>
    <s v="OWSVQ7"/>
    <s v="Aktív"/>
    <s v="tanító"/>
    <x v="16"/>
    <s v="tanító"/>
    <s v="TÓK-TAN-NBHU"/>
    <s v="Tapolca"/>
    <s v="Veszprém"/>
    <s v="Nagy Alexandra"/>
    <s v="Magyarország"/>
    <d v="2001-06-25T00:00:00"/>
    <s v="T164043/FI80798"/>
    <x v="0"/>
    <s v="Állami ösztöndíjas"/>
    <s v="2020/21/1"/>
    <s v="Nappali"/>
    <n v="9"/>
    <n v="1"/>
    <s v="2021/22/2"/>
    <n v="8"/>
    <s v="72447257674"/>
    <n v="8"/>
    <x v="3"/>
    <s v="a központi eljárásban magyarországi képzésre"/>
    <n v="404"/>
    <m/>
    <m/>
    <s v="Felvétel"/>
    <d v="2020-09-01T00:00:00"/>
    <s v="310804071606"/>
    <s v="BDPK-SEK"/>
    <s v="Neubauer Nikoletta"/>
    <d v="2020-07-23T00:00:00"/>
    <d v="2024-07-15T00:00:00"/>
    <n v="200000"/>
    <m/>
    <n v="3"/>
    <s v="Nő"/>
    <n v="200000"/>
    <s v="nagy.alexandra8346@gmail.com"/>
    <s v="Maródi Anikó"/>
    <n v="4"/>
    <s v="Aktív"/>
    <n v="4"/>
    <n v="4"/>
    <s v="magyar"/>
    <m/>
  </r>
  <r>
    <s v="Péter Petra"/>
    <s v="REH94N"/>
    <s v="Aktív"/>
    <s v="tanító"/>
    <x v="16"/>
    <s v="tanító"/>
    <s v="TÓK-TAN-NBHU"/>
    <s v="Zalaegerszeg"/>
    <s v="Zala"/>
    <s v="Péter Petra"/>
    <s v="Magyarország"/>
    <d v="2000-10-03T00:00:00"/>
    <s v="T164824/FI80798"/>
    <x v="0"/>
    <s v="Állami ösztöndíjas"/>
    <s v="2020/21/1"/>
    <s v="Nappali"/>
    <n v="8"/>
    <n v="1"/>
    <s v="2021/22/2"/>
    <n v="8"/>
    <s v="73763801581"/>
    <n v="8"/>
    <x v="3"/>
    <s v="a központi eljárásban magyarországi képzésre"/>
    <n v="381"/>
    <m/>
    <m/>
    <s v="Felvétel"/>
    <d v="2020-09-01T00:00:00"/>
    <s v="310804134487"/>
    <s v="BDPK-SEK"/>
    <s v="Neubauer Nikoletta"/>
    <d v="2020-07-23T00:00:00"/>
    <d v="2024-07-15T00:00:00"/>
    <n v="200000"/>
    <m/>
    <n v="3"/>
    <s v="Nő"/>
    <n v="200000"/>
    <s v="peterpetrus2000@gmail.com"/>
    <s v="Kósik Hajnalka"/>
    <n v="4"/>
    <s v="Aktív"/>
    <n v="4"/>
    <n v="4"/>
    <s v="magyar"/>
    <m/>
  </r>
  <r>
    <s v="Szuhogyi Laura"/>
    <s v="JCXD9L"/>
    <s v="Aktív"/>
    <s v="tanító"/>
    <x v="16"/>
    <s v="tanító"/>
    <s v="TÓK-TAN-LBHU"/>
    <s v="Szombathely"/>
    <s v="Vas"/>
    <s v="Szuhogyi Laura"/>
    <s v="Magyarország"/>
    <d v="2000-10-25T00:00:00"/>
    <s v="T167190/FI80798"/>
    <x v="0"/>
    <s v="Állami ösztöndíjas"/>
    <s v="2020/21/1"/>
    <s v="Levelező"/>
    <n v="9"/>
    <n v="1"/>
    <s v="2021/22/2"/>
    <n v="8"/>
    <s v="75144815429"/>
    <n v="8"/>
    <x v="3"/>
    <m/>
    <m/>
    <m/>
    <m/>
    <s v="Képzésváltás intézményen belül"/>
    <d v="2021-09-01T00:00:00"/>
    <m/>
    <s v="BDPK-SEK"/>
    <s v="Neubauer Nikoletta"/>
    <d v="2020-07-23T00:00:00"/>
    <d v="2025-07-15T00:00:00"/>
    <n v="200000"/>
    <m/>
    <n v="1"/>
    <s v="Nő"/>
    <n v="200000"/>
    <s v="laura.szuhogyi23@gmail.com"/>
    <s v="Berndl Barbara"/>
    <n v="2"/>
    <s v="Aktív"/>
    <n v="2"/>
    <n v="2"/>
    <s v="magyar"/>
    <m/>
  </r>
  <r>
    <s v="Bencze Éva"/>
    <s v="KVKL4B"/>
    <s v="Aktív"/>
    <s v="tanító"/>
    <x v="16"/>
    <s v="tanító"/>
    <s v="TÓK-TAN-NBHU"/>
    <s v="Zalaegerszeg"/>
    <s v="Zala"/>
    <s v="Bencze Éva"/>
    <s v="Magyarország"/>
    <d v="2001-12-11T00:00:00"/>
    <s v="T163309/FI80798"/>
    <x v="0"/>
    <s v="Állami ösztöndíjas"/>
    <s v="2020/21/1"/>
    <s v="Nappali"/>
    <n v="9"/>
    <n v="1"/>
    <s v="2021/22/2"/>
    <n v="8"/>
    <s v="71465309300"/>
    <n v="8"/>
    <x v="3"/>
    <s v="a központi eljárásban magyarországi képzésre"/>
    <n v="366"/>
    <m/>
    <m/>
    <s v="Felvétel"/>
    <d v="2020-09-01T00:00:00"/>
    <s v="310804431156"/>
    <s v="BDPK-SEK"/>
    <s v="Neubauer Nikoletta"/>
    <d v="2020-07-23T00:00:00"/>
    <d v="2024-07-15T00:00:00"/>
    <n v="200000"/>
    <m/>
    <n v="3"/>
    <s v="Nő"/>
    <n v="200000"/>
    <s v="bencze.evi01@gmail.com"/>
    <s v="Tóth Éva"/>
    <n v="4"/>
    <s v="Aktív"/>
    <n v="4"/>
    <n v="4"/>
    <s v="magyar"/>
    <m/>
  </r>
  <r>
    <s v="Burka Gréta"/>
    <s v="UKO63I"/>
    <s v="Aktív"/>
    <s v="tanító"/>
    <x v="16"/>
    <s v="tanító"/>
    <s v="TÓK-TAN-NBHU"/>
    <s v="Szombathely"/>
    <s v="Vas"/>
    <s v="Burka Gréta"/>
    <s v="Magyarország"/>
    <d v="2002-08-19T00:00:00"/>
    <s v="T162414/FI80798"/>
    <x v="0"/>
    <s v="Állami ösztöndíjas"/>
    <s v="2020/21/1"/>
    <s v="Nappali"/>
    <n v="9"/>
    <n v="1"/>
    <s v="2021/22/2"/>
    <n v="8"/>
    <s v="71594930997"/>
    <n v="8"/>
    <x v="3"/>
    <s v="a központi eljárásban magyarországi képzésre"/>
    <n v="341"/>
    <m/>
    <m/>
    <s v="Felvétel"/>
    <d v="2020-09-01T00:00:00"/>
    <s v="310804252123"/>
    <s v="BDPK-SEK"/>
    <s v="Neubauer Nikoletta"/>
    <d v="2020-07-23T00:00:00"/>
    <d v="2024-07-15T00:00:00"/>
    <n v="200000"/>
    <m/>
    <n v="3"/>
    <s v="Nő"/>
    <n v="200000"/>
    <s v="bu.greta2002@gmail.com"/>
    <s v="Takács Aranka"/>
    <n v="4"/>
    <s v="Aktív"/>
    <n v="4"/>
    <n v="4"/>
    <s v="magyar"/>
    <m/>
  </r>
  <r>
    <s v="Tóth Fanni"/>
    <s v="Z4QCYK"/>
    <s v="Aktív"/>
    <s v="tanító"/>
    <x v="16"/>
    <s v="tanító"/>
    <s v="TÓK-TAN-NBHU"/>
    <s v="Szombathely"/>
    <s v="Vas"/>
    <s v="Tóth Fanni"/>
    <s v="Magyarország"/>
    <d v="2001-12-30T00:00:00"/>
    <s v="T167295/FI80798"/>
    <x v="0"/>
    <s v="Állami ösztöndíjas"/>
    <s v="2020/21/1"/>
    <s v="Nappali"/>
    <n v="9"/>
    <n v="1"/>
    <s v="2021/22/2"/>
    <n v="8"/>
    <s v="71465603680"/>
    <n v="8"/>
    <x v="3"/>
    <m/>
    <m/>
    <m/>
    <m/>
    <s v="Képzésváltás intézményen belül"/>
    <d v="2020-09-03T00:00:00"/>
    <m/>
    <s v="BDPK-SEK"/>
    <s v="Neubauer Nikoletta"/>
    <d v="2020-07-23T00:00:00"/>
    <d v="2024-07-15T00:00:00"/>
    <n v="200000"/>
    <m/>
    <n v="3"/>
    <s v="Nő"/>
    <n v="200000"/>
    <s v="toth.fanni200112@gmail.com"/>
    <s v="Pintér Klaudia"/>
    <n v="4"/>
    <s v="Aktív"/>
    <n v="4"/>
    <n v="4"/>
    <s v="magyar"/>
    <m/>
  </r>
  <r>
    <s v="Gyurica Noémi Karolina"/>
    <s v="CGG71W"/>
    <s v="Aktív"/>
    <s v="tanító"/>
    <x v="16"/>
    <s v="tanító"/>
    <s v="TÓK-TAN-NBHU"/>
    <s v="Zalaegerszeg"/>
    <s v="Zala"/>
    <s v="Gyurica Noémi Karolina"/>
    <s v="Magyarország"/>
    <d v="2001-09-21T00:00:00"/>
    <s v="T162048/FI80798"/>
    <x v="0"/>
    <s v="Állami ösztöndíjas"/>
    <s v="2020/21/1"/>
    <s v="Nappali"/>
    <n v="9"/>
    <n v="1"/>
    <s v="2021/22/2"/>
    <n v="8"/>
    <s v="71610489802"/>
    <n v="8"/>
    <x v="3"/>
    <s v="a központi eljárásban magyarországi képzésre"/>
    <n v="342"/>
    <m/>
    <m/>
    <s v="Felvétel"/>
    <d v="2020-09-01T00:00:00"/>
    <s v="310804232364"/>
    <s v="BDPK-SEK"/>
    <s v="Neubauer Nikoletta"/>
    <d v="2020-07-23T00:00:00"/>
    <d v="2024-07-15T00:00:00"/>
    <n v="200000"/>
    <m/>
    <n v="3"/>
    <s v="Nő"/>
    <n v="200000"/>
    <s v="gyuricanoemi0921@gmail.com"/>
    <s v="Mudrova Erzsébet"/>
    <n v="4"/>
    <s v="Aktív"/>
    <n v="4"/>
    <n v="4"/>
    <s v="magyar"/>
    <m/>
  </r>
  <r>
    <s v="Szilvás Lili Nóra"/>
    <s v="JF9HEG"/>
    <s v="Passzív"/>
    <s v="tanító"/>
    <x v="16"/>
    <s v="tanító"/>
    <s v="TÓK-TAN-NBHU"/>
    <s v="Szombathely"/>
    <s v="Vas"/>
    <s v="Szilvás Lili Nóra"/>
    <s v="Magyarország"/>
    <d v="2000-05-31T00:00:00"/>
    <s v="T167297/FI80798"/>
    <x v="0"/>
    <s v="Állami ösztöndíjas"/>
    <s v="2020/21/1"/>
    <s v="Nappali"/>
    <n v="9"/>
    <n v="1"/>
    <s v="2021/22/2"/>
    <n v="8"/>
    <s v="73978820794"/>
    <n v="8"/>
    <x v="3"/>
    <s v="a központi eljárásban magyarországi képzésre"/>
    <n v="429"/>
    <m/>
    <m/>
    <s v="Felvétel"/>
    <d v="2020-09-01T00:00:00"/>
    <s v="310804784596"/>
    <s v="BDPK-SEK"/>
    <s v="Neubauer Nikoletta"/>
    <d v="2020-07-23T00:00:00"/>
    <d v="2026-01-31T00:00:00"/>
    <n v="200000"/>
    <m/>
    <n v="2"/>
    <s v="Nő"/>
    <n v="200000"/>
    <s v="lilike0531@gmail.com"/>
    <s v="Imre Lenke"/>
    <n v="2"/>
    <s v="Passzív"/>
    <n v="2"/>
    <n v="2"/>
    <s v="magyar"/>
    <m/>
  </r>
  <r>
    <s v="Bali Dorottya"/>
    <s v="WHBY31"/>
    <s v="Aktív"/>
    <s v="tanító"/>
    <x v="16"/>
    <s v="tanító"/>
    <s v="TÓK-TAN-NBHU"/>
    <s v="Zalaegerszeg"/>
    <s v="Zala"/>
    <s v="Bali Dorottya"/>
    <s v="Magyarország"/>
    <d v="2001-03-09T00:00:00"/>
    <s v="T180925/FI80798"/>
    <x v="0"/>
    <s v="Állami ösztöndíjas"/>
    <s v="2021/22/1"/>
    <s v="Nappali"/>
    <n v="11"/>
    <n v="1"/>
    <s v="2021/22/2"/>
    <n v="8"/>
    <s v="73385248740"/>
    <n v="8"/>
    <x v="3"/>
    <s v="a központi eljárásban magyarországi képzésre"/>
    <n v="319"/>
    <m/>
    <m/>
    <s v="Felvétel"/>
    <d v="2021-09-01T00:00:00"/>
    <s v="310814054816"/>
    <s v="BDPK-SEK"/>
    <s v="Neubauer Nikoletta"/>
    <d v="2021-07-23T00:00:00"/>
    <d v="2025-07-15T00:00:00"/>
    <n v="200000"/>
    <m/>
    <n v="1"/>
    <s v="Nő"/>
    <n v="200000"/>
    <s v="balidori2001@gmail.com"/>
    <s v="Szabó Erika"/>
    <n v="2"/>
    <s v="Aktív"/>
    <n v="2"/>
    <n v="2"/>
    <s v="magyar"/>
    <m/>
  </r>
  <r>
    <s v="Porroginé Horváth Viktória Adrienn"/>
    <s v="XRP7UX"/>
    <s v="Aktív"/>
    <s v="tanító"/>
    <x v="16"/>
    <s v="tanító"/>
    <s v="TÓK-TAN-LBHU"/>
    <s v="Pécs"/>
    <s v="Baranya"/>
    <s v="Horváth Viktória Adrienn"/>
    <s v="Magyarország"/>
    <d v="1979-12-07T00:00:00"/>
    <s v="T172321/FI80798"/>
    <x v="0"/>
    <s v="Állami ösztöndíjas"/>
    <s v="2020/21/1"/>
    <s v="Levelező"/>
    <n v="11"/>
    <n v="1"/>
    <s v="2021/22/2"/>
    <n v="8"/>
    <s v="71472395819"/>
    <n v="8"/>
    <x v="3"/>
    <m/>
    <m/>
    <m/>
    <m/>
    <s v="Képzésváltás intézményen belül"/>
    <d v="2020-09-08T00:00:00"/>
    <m/>
    <s v="BDPK-SEK"/>
    <s v="Neubauer Nikoletta"/>
    <d v="2020-08-27T00:00:00"/>
    <d v="2024-07-15T00:00:00"/>
    <n v="200000"/>
    <m/>
    <n v="1"/>
    <s v="Nő"/>
    <n v="200000"/>
    <s v="phorvathviktoria@gmail.com"/>
    <s v="Szabó Zsuzsanna Erzsébet"/>
    <n v="4"/>
    <s v="Aktív"/>
    <n v="2"/>
    <n v="4"/>
    <s v="magyar"/>
    <m/>
  </r>
  <r>
    <s v="Szakály Vanda Mirabella"/>
    <s v="X8HODL"/>
    <s v="Aktív"/>
    <s v="tanító"/>
    <x v="16"/>
    <s v="tanító"/>
    <s v="TÓK-TAN-NBHU"/>
    <s v="Zalaegerszeg"/>
    <s v="Zala"/>
    <s v="Szakály Vanda Mirabella"/>
    <s v="Magyarország"/>
    <d v="2001-01-21T00:00:00"/>
    <s v="T147676/FI80798"/>
    <x v="0"/>
    <s v="Állami ösztöndíjas"/>
    <s v="2019/20/1"/>
    <s v="Nappali"/>
    <n v="7"/>
    <n v="1"/>
    <s v="2021/22/2"/>
    <n v="8"/>
    <s v="76276728622"/>
    <n v="8"/>
    <x v="3"/>
    <s v="a központi eljárásban magyarországi képzésre"/>
    <n v="356"/>
    <m/>
    <m/>
    <s v="Felvétel"/>
    <d v="2019-09-01T00:00:00"/>
    <s v="310982241708"/>
    <s v="BDPK-SEK"/>
    <s v="Neubauer Nikoletta"/>
    <d v="2019-07-24T00:00:00"/>
    <d v="2023-07-15T00:00:00"/>
    <n v="200000"/>
    <m/>
    <n v="5"/>
    <s v="Nő"/>
    <n v="200000"/>
    <s v="szakalymira0121@gmail.com"/>
    <s v="Büki Adrienn"/>
    <n v="6"/>
    <s v="Aktív"/>
    <n v="6"/>
    <n v="6"/>
    <s v="magyar"/>
    <m/>
  </r>
  <r>
    <s v="Horváth Fanni Irén"/>
    <s v="GT57OM"/>
    <s v="Aktív"/>
    <s v="tanító"/>
    <x v="16"/>
    <s v="tanító"/>
    <s v="TÓK-TAN-NBHU"/>
    <s v="Szombathely"/>
    <s v="Vas"/>
    <s v="Horváth Fanni Irén"/>
    <s v="Magyarország"/>
    <d v="1999-07-31T00:00:00"/>
    <s v="T137570/FI80798"/>
    <x v="0"/>
    <s v="Állami ösztöndíjas"/>
    <s v="2018/19/1"/>
    <s v="Nappali"/>
    <n v="5"/>
    <n v="1"/>
    <s v="2021/22/2"/>
    <n v="8"/>
    <s v="74863395235"/>
    <n v="8"/>
    <x v="3"/>
    <s v="a központi eljárásban magyarországi képzésre"/>
    <n v="418"/>
    <m/>
    <m/>
    <s v="Felvétel"/>
    <d v="2018-09-01T00:00:00"/>
    <s v="310882566014"/>
    <s v="BDPK-SEK"/>
    <s v="Neubauer Nikoletta"/>
    <d v="2018-07-25T00:00:00"/>
    <d v="2022-06-30T00:00:00"/>
    <n v="200000"/>
    <m/>
    <n v="7"/>
    <s v="Nő"/>
    <n v="200000"/>
    <s v="horvath.fanni0731@gmail.com"/>
    <s v="Molnár Éva Mónika"/>
    <n v="8"/>
    <s v="Aktív"/>
    <n v="8"/>
    <n v="8"/>
    <s v="magyar"/>
    <m/>
  </r>
  <r>
    <s v="Gerencsér Adrienn"/>
    <s v="UF5AXT"/>
    <s v="Aktív"/>
    <s v="tanító"/>
    <x v="16"/>
    <s v="tanító"/>
    <s v="TÓK-TAN-NBHU"/>
    <s v="Nagykanizsa"/>
    <s v="Zala"/>
    <s v="Gerencsér Adrienn"/>
    <s v="Magyarország"/>
    <d v="2001-09-04T00:00:00"/>
    <s v="T161523/FI80798"/>
    <x v="0"/>
    <s v="Állami ösztöndíjas"/>
    <s v="2020/21/1"/>
    <s v="Nappali"/>
    <n v="9"/>
    <n v="1"/>
    <s v="2021/22/2"/>
    <n v="8"/>
    <s v="71612330282"/>
    <n v="8"/>
    <x v="3"/>
    <s v="a központi eljárásban magyarországi képzésre"/>
    <n v="398"/>
    <m/>
    <m/>
    <s v="Felvétel"/>
    <d v="2020-09-01T00:00:00"/>
    <s v="310804045303"/>
    <s v="BDPK-SEK"/>
    <s v="Neubauer Nikoletta"/>
    <d v="2020-07-23T00:00:00"/>
    <d v="2024-07-15T00:00:00"/>
    <n v="200000"/>
    <m/>
    <n v="3"/>
    <s v="Nő"/>
    <n v="200000"/>
    <s v="gerencserada@citromail.hu"/>
    <s v="Borda Gabriella"/>
    <n v="4"/>
    <s v="Aktív"/>
    <n v="4"/>
    <n v="4"/>
    <s v="magyar"/>
    <m/>
  </r>
  <r>
    <s v="Csábi Sára"/>
    <s v="VD6Q4Q"/>
    <s v="Aktív"/>
    <s v="tanító"/>
    <x v="16"/>
    <s v="tanító"/>
    <s v="TÓK-TAN-NBHU"/>
    <s v="Budapest"/>
    <s v="Budapest"/>
    <s v="Csábi Sára"/>
    <s v="Magyarország"/>
    <d v="2000-02-25T00:00:00"/>
    <s v="T162393/FI80798"/>
    <x v="0"/>
    <s v="Állami ösztöndíjas"/>
    <s v="2020/21/1"/>
    <s v="Nappali"/>
    <n v="9"/>
    <n v="1"/>
    <s v="2021/22/2"/>
    <n v="8"/>
    <s v="71631907664"/>
    <n v="8"/>
    <x v="3"/>
    <s v="a központi eljárásban magyarországi képzésre"/>
    <n v="342"/>
    <m/>
    <m/>
    <s v="Felvétel"/>
    <d v="2020-09-01T00:00:00"/>
    <s v="310804666280"/>
    <s v="BDPK-SEK"/>
    <s v="Neubauer Nikoletta"/>
    <d v="2020-07-23T00:00:00"/>
    <d v="2024-07-15T00:00:00"/>
    <n v="200000"/>
    <m/>
    <n v="3"/>
    <s v="Nő"/>
    <n v="200000"/>
    <s v="csabisara0225@gmail.com"/>
    <s v="Takács Andrea"/>
    <n v="4"/>
    <s v="Aktív"/>
    <n v="4"/>
    <n v="4"/>
    <s v="magyar"/>
    <m/>
  </r>
  <r>
    <s v="Csenge Józsefné"/>
    <s v="AYPGJX"/>
    <s v="Aktív"/>
    <s v="tanító"/>
    <x v="16"/>
    <s v="tanító"/>
    <s v="TÓK-TAN-LBHU"/>
    <s v="Ózd"/>
    <s v="Borsod-Abaúj-Zemplén"/>
    <s v="Váradi Julianna"/>
    <s v="Magyarország"/>
    <d v="1984-04-16T00:00:00"/>
    <s v="T150263/FI80798"/>
    <x v="0"/>
    <s v="Állami ösztöndíjas"/>
    <s v="2019/20/1"/>
    <s v="Levelező"/>
    <n v="7"/>
    <n v="1"/>
    <s v="2021/22/2"/>
    <n v="8"/>
    <s v="73316756239"/>
    <n v="8"/>
    <x v="3"/>
    <s v="a központi eljárásban magyarországi képzésre"/>
    <n v="306"/>
    <m/>
    <m/>
    <s v="Felvétel"/>
    <d v="2019-09-01T00:00:00"/>
    <s v="310982958046"/>
    <s v="BDPK-SEK"/>
    <s v="Neubauer Nikoletta"/>
    <d v="2019-07-24T00:00:00"/>
    <d v="2023-07-15T00:00:00"/>
    <n v="200000"/>
    <m/>
    <n v="5"/>
    <s v="Nő"/>
    <n v="200000"/>
    <s v="csengejulcsi@gmail.com"/>
    <s v="Vattamány Erzsébet"/>
    <n v="6"/>
    <s v="Aktív"/>
    <n v="6"/>
    <n v="6"/>
    <s v="magyar"/>
    <m/>
  </r>
  <r>
    <s v="Bekő Luca"/>
    <s v="K8TE9F"/>
    <s v="Aktív"/>
    <s v="tanító"/>
    <x v="16"/>
    <s v="tanító"/>
    <s v="TÓK-TAN-LBHU"/>
    <s v="Nagykanizsa"/>
    <s v="Zala"/>
    <s v="Bekő Luca"/>
    <s v="Magyarország"/>
    <d v="1999-08-19T00:00:00"/>
    <s v="T167645/FI80798"/>
    <x v="0"/>
    <s v="Állami ösztöndíjas"/>
    <s v="2020/21/1"/>
    <s v="Levelező"/>
    <n v="8"/>
    <n v="1"/>
    <s v="2021/22/2"/>
    <n v="8"/>
    <s v="75356652493"/>
    <n v="8"/>
    <x v="3"/>
    <s v="a központi eljárásban magyarországi képzésre"/>
    <n v="394"/>
    <m/>
    <m/>
    <s v="Felvétel"/>
    <d v="2020-09-01T00:00:00"/>
    <s v="310804912395"/>
    <s v="BDPK-SEK"/>
    <s v="Neubauer Nikoletta"/>
    <d v="2020-07-23T00:00:00"/>
    <d v="2024-07-15T00:00:00"/>
    <n v="200000"/>
    <m/>
    <n v="3"/>
    <s v="Nő"/>
    <n v="200000"/>
    <s v="bekoluca@gmail.com"/>
    <s v="Boa Erika Bernadett"/>
    <n v="4"/>
    <s v="Aktív"/>
    <n v="4"/>
    <n v="4"/>
    <s v="magyar"/>
    <m/>
  </r>
  <r>
    <s v="Fuchs Máté Ferenc"/>
    <s v="HYTZQ2"/>
    <s v="Aktív"/>
    <s v="tanító"/>
    <x v="16"/>
    <s v="tanító"/>
    <s v="TÓK-TAN-NBHU"/>
    <s v="Ajka"/>
    <s v="Veszprém"/>
    <s v="Fuchs Máté Ferenc"/>
    <s v="Magyarország"/>
    <d v="2002-02-13T00:00:00"/>
    <s v="T180723/FI80798"/>
    <x v="0"/>
    <s v="Állami ösztöndíjas"/>
    <s v="2021/22/1"/>
    <s v="Nappali"/>
    <n v="11"/>
    <n v="1"/>
    <s v="2021/22/2"/>
    <n v="8"/>
    <s v="71592425767"/>
    <n v="8"/>
    <x v="3"/>
    <s v="a központi eljárásban magyarországi képzésre"/>
    <n v="365"/>
    <m/>
    <m/>
    <s v="Felvétel"/>
    <d v="2021-09-01T00:00:00"/>
    <s v="310814988583"/>
    <s v="BDPK-SEK"/>
    <s v="Neubauer Nikoletta"/>
    <d v="2021-07-23T00:00:00"/>
    <d v="2025-07-15T00:00:00"/>
    <n v="200000"/>
    <m/>
    <n v="1"/>
    <s v="Férfi"/>
    <n v="200000"/>
    <s v="matefuchs.13@gmail.com"/>
    <s v="Pintér Zsuzsa Gizella"/>
    <n v="2"/>
    <s v="Aktív"/>
    <n v="2"/>
    <n v="2"/>
    <s v="magyar"/>
    <m/>
  </r>
  <r>
    <s v="Bekő Ibolya"/>
    <s v="EKPRAW"/>
    <s v="Aktív"/>
    <s v="tanító"/>
    <x v="16"/>
    <s v="tanító"/>
    <s v="TÓK-TAN-NBHU"/>
    <s v="Zalaegerszeg"/>
    <s v="Zala"/>
    <s v="Bekő Ibolya"/>
    <s v="Magyarország"/>
    <d v="2002-11-11T00:00:00"/>
    <s v="T183028/FI80798"/>
    <x v="0"/>
    <s v="Állami ösztöndíjas"/>
    <s v="2021/22/1"/>
    <s v="Nappali"/>
    <n v="11"/>
    <n v="1"/>
    <s v="2021/22/2"/>
    <n v="8"/>
    <s v="72165546327"/>
    <n v="8"/>
    <x v="3"/>
    <s v="a központi eljárásban magyarországi képzésre"/>
    <n v="410"/>
    <m/>
    <m/>
    <s v="Felvétel"/>
    <d v="2021-09-01T00:00:00"/>
    <s v="310814055656"/>
    <s v="BDPK-SEK"/>
    <s v="Neubauer Nikoletta"/>
    <d v="2021-07-23T00:00:00"/>
    <d v="2025-07-15T00:00:00"/>
    <n v="200000"/>
    <m/>
    <n v="1"/>
    <s v="Nő"/>
    <n v="200000"/>
    <s v="ibolya.beko55@gmail.com"/>
    <s v="Bonczók Judit"/>
    <n v="2"/>
    <s v="Aktív"/>
    <n v="2"/>
    <n v="2"/>
    <s v="magyar"/>
    <m/>
  </r>
  <r>
    <s v="Porpáczy Anna"/>
    <s v="G3LD4F"/>
    <s v="Aktív"/>
    <s v="tanító"/>
    <x v="16"/>
    <s v="tanító"/>
    <s v="TÓK-TAN-NBHU"/>
    <s v="Szombathely"/>
    <s v="Vas"/>
    <s v="Porpáczy Anna"/>
    <s v="Magyarország"/>
    <d v="2001-02-14T00:00:00"/>
    <s v="T180767/FI80798"/>
    <x v="0"/>
    <s v="Állami ösztöndíjas"/>
    <s v="2021/22/1"/>
    <s v="Nappali"/>
    <n v="11"/>
    <n v="1"/>
    <s v="2021/22/2"/>
    <n v="8"/>
    <s v="77720979346"/>
    <n v="8"/>
    <x v="3"/>
    <m/>
    <m/>
    <m/>
    <m/>
    <s v="Képzésváltás intézményen belül"/>
    <d v="2021-09-02T00:00:00"/>
    <m/>
    <s v="BDPK-SEK"/>
    <s v="Neubauer Nikoletta"/>
    <d v="2021-07-23T00:00:00"/>
    <d v="2025-06-30T00:00:00"/>
    <n v="200000"/>
    <m/>
    <n v="1"/>
    <s v="Nő"/>
    <n v="200000"/>
    <s v="porpaczyanna@gmail.com"/>
    <s v="Udvardi Zita"/>
    <n v="2"/>
    <s v="Aktív"/>
    <n v="2"/>
    <n v="2"/>
    <s v="magyar"/>
    <m/>
  </r>
  <r>
    <s v="Hete Lilla"/>
    <s v="CZ1M2I"/>
    <s v="Aktív"/>
    <s v="tanító"/>
    <x v="16"/>
    <s v="tanító"/>
    <s v="TÓK-TAN-LBHU"/>
    <s v="Kisvárda"/>
    <s v="Szabolcs-Szatmár-Bereg"/>
    <s v="Hete Lilla"/>
    <s v="Magyarország"/>
    <d v="1977-07-13T00:00:00"/>
    <s v="T182263/FI80798"/>
    <x v="0"/>
    <s v="Állami ösztöndíjas"/>
    <s v="2021/22/1"/>
    <s v="Levelező"/>
    <n v="11"/>
    <n v="1"/>
    <s v="2021/22/2"/>
    <n v="8"/>
    <s v="73183832103"/>
    <n v="8"/>
    <x v="3"/>
    <s v="a központi eljárásban magyarországi képzésre"/>
    <n v="370"/>
    <m/>
    <m/>
    <s v="Felvétel"/>
    <d v="2021-09-01T00:00:00"/>
    <s v="310814666569"/>
    <s v="BDPK-SEK"/>
    <s v="Neubauer Nikoletta"/>
    <d v="2021-07-23T00:00:00"/>
    <d v="2025-07-15T00:00:00"/>
    <n v="200000"/>
    <m/>
    <n v="2"/>
    <s v="Nő"/>
    <n v="200000"/>
    <s v="hete.lilla@gmail.com"/>
    <s v="Ujlaki Katalin"/>
    <n v="2"/>
    <s v="Aktív"/>
    <n v="2"/>
    <n v="2"/>
    <s v="magyar"/>
    <m/>
  </r>
  <r>
    <s v="Ihász Dominika"/>
    <s v="HVDSZ6"/>
    <s v="Aktív"/>
    <s v="tanító"/>
    <x v="16"/>
    <s v="tanító"/>
    <s v="TÓK-TAN-NBHU"/>
    <s v="Tapolca"/>
    <s v="Veszprém"/>
    <s v="Ihász Dominika"/>
    <s v="Magyarország"/>
    <d v="2003-03-31T00:00:00"/>
    <s v="T180301/FI80798"/>
    <x v="0"/>
    <s v="Állami ösztöndíjas"/>
    <s v="2021/22/1"/>
    <s v="Nappali"/>
    <n v="11"/>
    <n v="1"/>
    <s v="2021/22/2"/>
    <n v="8"/>
    <s v="71644708470"/>
    <n v="8"/>
    <x v="3"/>
    <s v="a központi eljárásban magyarországi képzésre"/>
    <n v="436"/>
    <m/>
    <m/>
    <s v="Felvétel"/>
    <d v="2021-09-01T00:00:00"/>
    <s v="310814519164"/>
    <s v="BDPK-SEK"/>
    <s v="Neubauer Nikoletta"/>
    <d v="2021-07-23T00:00:00"/>
    <d v="2025-07-15T00:00:00"/>
    <n v="200000"/>
    <m/>
    <n v="1"/>
    <s v="Nő"/>
    <n v="200000"/>
    <s v="ihaszdominika@gmail.com"/>
    <s v="Nagy Katalin"/>
    <n v="2"/>
    <s v="Aktív"/>
    <n v="2"/>
    <n v="2"/>
    <s v="magyar"/>
    <m/>
  </r>
  <r>
    <s v="Róka Veronika"/>
    <s v="BHYHDQ"/>
    <s v="Aktív"/>
    <s v="tanító"/>
    <x v="16"/>
    <s v="tanító"/>
    <s v="TÓK-TAN-NBHU"/>
    <s v="Szombathely"/>
    <s v="Vas"/>
    <s v="Róka Veronika"/>
    <s v="Magyarország"/>
    <d v="2003-03-14T00:00:00"/>
    <s v="T181603/FI80798"/>
    <x v="0"/>
    <s v="Állami ösztöndíjas"/>
    <s v="2021/22/1"/>
    <s v="Nappali"/>
    <n v="11"/>
    <n v="1"/>
    <s v="2021/22/2"/>
    <n v="8"/>
    <s v="72170047918"/>
    <n v="8"/>
    <x v="3"/>
    <s v="a központi eljárásban magyarországi képzésre"/>
    <n v="309"/>
    <m/>
    <m/>
    <s v="Felvétel"/>
    <d v="2021-09-01T00:00:00"/>
    <s v="310814459742"/>
    <s v="BDPK-SEK"/>
    <s v="Neubauer Nikoletta"/>
    <d v="2021-07-23T00:00:00"/>
    <d v="2025-07-15T00:00:00"/>
    <n v="200000"/>
    <m/>
    <n v="1"/>
    <s v="Nő"/>
    <n v="200000"/>
    <s v="rokaveronika2003@gmail.com"/>
    <s v="Szakály Ildikó"/>
    <n v="2"/>
    <s v="Aktív"/>
    <n v="2"/>
    <n v="2"/>
    <s v="magyar"/>
    <m/>
  </r>
  <r>
    <s v="Barabás Lilla"/>
    <s v="MYZXY8"/>
    <s v="Aktív"/>
    <s v="tanító"/>
    <x v="16"/>
    <s v="tanító"/>
    <s v="TÓK-TAN-NBHU"/>
    <s v="Zalaegerszeg"/>
    <s v="Zala"/>
    <s v="Barabás Lilla"/>
    <s v="Magyarország"/>
    <d v="2001-06-19T00:00:00"/>
    <s v="T185206/FI80798"/>
    <x v="0"/>
    <s v="Állami ösztöndíjas"/>
    <s v="2021/22/1"/>
    <s v="Nappali"/>
    <n v="11"/>
    <n v="1"/>
    <s v="2021/22/2"/>
    <n v="8"/>
    <s v="71465288031"/>
    <n v="8"/>
    <x v="3"/>
    <s v="a központi eljárásban magyarországi képzésre"/>
    <n v="336"/>
    <m/>
    <m/>
    <s v="Felvétel"/>
    <d v="2021-09-01T00:00:00"/>
    <s v="310814453950"/>
    <s v="BDPK-SEK"/>
    <s v="Neubauer Nikoletta"/>
    <d v="2021-07-23T00:00:00"/>
    <d v="2025-07-15T00:00:00"/>
    <n v="200000"/>
    <m/>
    <n v="1"/>
    <s v="Nő"/>
    <n v="200000"/>
    <s v="barabaslilla2@gmail.com"/>
    <s v="Boronyák Erika"/>
    <n v="2"/>
    <s v="Aktív"/>
    <n v="2"/>
    <n v="2"/>
    <s v="magyar"/>
    <m/>
  </r>
  <r>
    <s v="Gosztonyi Zoltán"/>
    <s v="FXB8UI"/>
    <s v="Aktív"/>
    <s v="tanító"/>
    <x v="16"/>
    <s v="tanító"/>
    <s v="TÓK-TAN-NBHU"/>
    <s v="Keszthely"/>
    <s v="Zala"/>
    <s v="Gosztonyi Zoltán"/>
    <s v="Magyarország"/>
    <d v="2000-08-15T00:00:00"/>
    <s v="T184264/FI80798"/>
    <x v="0"/>
    <s v="Állami ösztöndíjas"/>
    <s v="2021/22/1"/>
    <s v="Nappali"/>
    <n v="11"/>
    <n v="1"/>
    <s v="2021/22/2"/>
    <n v="8"/>
    <s v="77542189564"/>
    <n v="8"/>
    <x v="3"/>
    <s v="a központi eljárásban magyarországi képzésre"/>
    <n v="292"/>
    <m/>
    <m/>
    <s v="Felvétel"/>
    <d v="2021-09-01T00:00:00"/>
    <s v="310814973759"/>
    <s v="BDPK-SEK"/>
    <s v="Neubauer Nikoletta"/>
    <d v="2021-07-23T00:00:00"/>
    <d v="2025-07-15T00:00:00"/>
    <n v="200000"/>
    <m/>
    <n v="1"/>
    <s v="Férfi"/>
    <n v="200000"/>
    <s v="planetgoj@gmail.com"/>
    <s v="Szántó Szilvia"/>
    <n v="2"/>
    <s v="Aktív"/>
    <n v="2"/>
    <n v="2"/>
    <s v="magyar"/>
    <m/>
  </r>
  <r>
    <s v="Szép Nikolett"/>
    <s v="CX3DG9"/>
    <s v="Aktív"/>
    <s v="tanító"/>
    <x v="16"/>
    <s v="tanító"/>
    <s v="TÓK-TAN-LBHU"/>
    <s v="Nagyatád"/>
    <s v="Somogy"/>
    <s v="Bakos Nikolett"/>
    <s v="Magyarország"/>
    <d v="1990-06-27T00:00:00"/>
    <s v="T179994/FI80798"/>
    <x v="0"/>
    <s v="Önköltséges"/>
    <s v="2021/22/1"/>
    <s v="Levelező"/>
    <n v="1"/>
    <n v="1"/>
    <s v="2015/16/1"/>
    <n v="8"/>
    <s v="79383418922"/>
    <n v="8"/>
    <x v="3"/>
    <s v="a központi eljárásban magyarországi képzésre"/>
    <n v="468"/>
    <m/>
    <m/>
    <s v="Felvétel"/>
    <d v="2021-09-01T00:00:00"/>
    <s v="310814420546"/>
    <s v="BDPK-SEK"/>
    <s v="Neubauer Nikoletta"/>
    <d v="2021-07-23T00:00:00"/>
    <d v="2025-07-15T00:00:00"/>
    <m/>
    <m/>
    <n v="0"/>
    <s v="Nő"/>
    <m/>
    <s v="bakos.nikolett1990@gmail.com"/>
    <s v="Márkus Tünde"/>
    <n v="2"/>
    <s v="Aktív"/>
    <n v="0"/>
    <n v="2"/>
    <s v="magyar"/>
    <n v="200000"/>
  </r>
  <r>
    <s v="Tóth Eszter"/>
    <s v="PP8OG9"/>
    <s v="Aktív"/>
    <s v="tanító"/>
    <x v="16"/>
    <s v="tanító"/>
    <s v="TÓK-TAN-NBHU"/>
    <s v="Szombathely"/>
    <s v="Vas"/>
    <s v="Tóth Eszter"/>
    <s v="Magyarország"/>
    <d v="2002-08-15T00:00:00"/>
    <s v="T184179/FI80798"/>
    <x v="0"/>
    <s v="Állami ösztöndíjas"/>
    <s v="2021/22/1"/>
    <s v="Nappali"/>
    <n v="11"/>
    <n v="1"/>
    <s v="2021/22/2"/>
    <n v="8"/>
    <s v="71763995196"/>
    <n v="8"/>
    <x v="3"/>
    <s v="a központi eljárásban magyarországi képzésre"/>
    <n v="433"/>
    <m/>
    <m/>
    <s v="Felvétel"/>
    <d v="2021-09-01T00:00:00"/>
    <s v="310814372325"/>
    <s v="BDPK-SEK"/>
    <s v="Neubauer Nikoletta"/>
    <d v="2021-07-23T00:00:00"/>
    <d v="2025-07-15T00:00:00"/>
    <n v="200000"/>
    <m/>
    <n v="1"/>
    <s v="Nő"/>
    <n v="200000"/>
    <s v="totheszti2002@gmail.com"/>
    <s v="Németh Annamária"/>
    <n v="2"/>
    <s v="Aktív"/>
    <n v="2"/>
    <n v="2"/>
    <s v="magyar"/>
    <m/>
  </r>
  <r>
    <s v="Hetyei Csenge Anna"/>
    <s v="AGYIHG"/>
    <s v="Aktív"/>
    <s v="tanító"/>
    <x v="16"/>
    <s v="tanító"/>
    <s v="TÓK-TAN-NBHU"/>
    <s v="Keszthely"/>
    <s v="Zala"/>
    <s v="Hetyei Csenge Anna"/>
    <s v="Magyarország"/>
    <d v="2001-05-29T00:00:00"/>
    <s v="T180763/FI80798"/>
    <x v="0"/>
    <s v="Állami ösztöndíjas"/>
    <s v="2021/22/1"/>
    <s v="Nappali"/>
    <n v="11"/>
    <n v="1"/>
    <s v="2021/22/2"/>
    <n v="8"/>
    <s v="71601808496"/>
    <n v="8"/>
    <x v="3"/>
    <m/>
    <m/>
    <m/>
    <m/>
    <s v="Képzésváltás intézményen belül"/>
    <d v="2021-09-02T00:00:00"/>
    <m/>
    <s v="BDPK-SEK"/>
    <s v="Neubauer Nikoletta"/>
    <d v="2021-07-23T00:00:00"/>
    <d v="2025-06-30T00:00:00"/>
    <n v="200000"/>
    <m/>
    <n v="1"/>
    <s v="Nő"/>
    <n v="200000"/>
    <s v="hetyeicsenge05@gmail.com"/>
    <s v="Vitai Györgyi"/>
    <n v="2"/>
    <s v="Aktív"/>
    <n v="2"/>
    <n v="2"/>
    <s v="magyar"/>
    <m/>
  </r>
  <r>
    <s v="Tuboly Eszter"/>
    <s v="U5FPOG"/>
    <s v="Aktív"/>
    <s v="tanító"/>
    <x v="16"/>
    <s v="tanító"/>
    <s v="TÓK-TAN-NBHU"/>
    <s v="Zalaegerszeg"/>
    <s v="Zala"/>
    <s v="Tuboly Eszter"/>
    <s v="Magyarország"/>
    <d v="2002-11-03T00:00:00"/>
    <s v="T182802/FI80798"/>
    <x v="0"/>
    <s v="Állami ösztöndíjas"/>
    <s v="2021/22/1"/>
    <s v="Nappali"/>
    <n v="11"/>
    <n v="1"/>
    <s v="2021/22/2"/>
    <n v="8"/>
    <s v="72165551381"/>
    <n v="8"/>
    <x v="3"/>
    <s v="a központi eljárásban magyarországi képzésre"/>
    <n v="428"/>
    <m/>
    <m/>
    <s v="Felvétel"/>
    <d v="2021-09-01T00:00:00"/>
    <s v="310814078138"/>
    <s v="BDPK-SEK"/>
    <s v="Neubauer Nikoletta"/>
    <d v="2021-07-23T00:00:00"/>
    <d v="2025-07-15T00:00:00"/>
    <n v="200000"/>
    <m/>
    <n v="1"/>
    <s v="Nő"/>
    <n v="200000"/>
    <s v="tubolyeszter02@gmail.com"/>
    <s v="Paragi Beatrix"/>
    <n v="2"/>
    <s v="Aktív"/>
    <n v="2"/>
    <n v="2"/>
    <s v="magyar"/>
    <m/>
  </r>
  <r>
    <s v="Németh Dóra"/>
    <s v="YBV0C3"/>
    <s v="Aktív"/>
    <s v="tanító"/>
    <x v="16"/>
    <s v="tanító"/>
    <s v="TÓK-TAN-NBHU"/>
    <s v="Szombathely"/>
    <s v="Vas"/>
    <s v="Németh Dóra"/>
    <s v="Magyarország"/>
    <d v="2000-07-21T00:00:00"/>
    <s v="T180297/FI80798"/>
    <x v="0"/>
    <s v="Állami ösztöndíjas"/>
    <s v="2021/22/1"/>
    <s v="Nappali"/>
    <n v="11"/>
    <n v="1"/>
    <s v="2021/22/2"/>
    <n v="8"/>
    <s v="76773562033"/>
    <n v="8"/>
    <x v="3"/>
    <s v="a központi eljárásban magyarországi képzésre"/>
    <n v="307"/>
    <m/>
    <m/>
    <s v="Felvétel"/>
    <d v="2021-09-01T00:00:00"/>
    <s v="310814285774"/>
    <s v="BDPK-SEK"/>
    <s v="Neubauer Nikoletta"/>
    <d v="2021-07-23T00:00:00"/>
    <d v="2025-07-15T00:00:00"/>
    <n v="200000"/>
    <m/>
    <n v="1"/>
    <s v="Nő"/>
    <n v="200000"/>
    <s v="nemeth.dora.cnm@gmail.com"/>
    <s v="Hantos Ildikó"/>
    <n v="2"/>
    <s v="Aktív"/>
    <n v="2"/>
    <n v="2"/>
    <s v="magyar"/>
    <m/>
  </r>
  <r>
    <s v="Viszket Anna"/>
    <s v="H14BK8"/>
    <s v="Aktív"/>
    <s v="tanító"/>
    <x v="16"/>
    <s v="tanító"/>
    <s v="TÓK-TAN-NBHU"/>
    <s v="Körmend"/>
    <s v="Vas"/>
    <s v="Viszket Anna"/>
    <s v="Magyarország"/>
    <d v="2002-07-13T00:00:00"/>
    <s v="T184738/FI80798"/>
    <x v="0"/>
    <s v="Állami ösztöndíjas"/>
    <s v="2021/22/1"/>
    <s v="Nappali"/>
    <n v="11"/>
    <n v="1"/>
    <s v="2021/22/2"/>
    <n v="8"/>
    <s v="71764029955"/>
    <n v="8"/>
    <x v="3"/>
    <s v="a központi eljárásban magyarországi képzésre"/>
    <n v="410"/>
    <m/>
    <m/>
    <s v="Felvétel"/>
    <d v="2021-09-01T00:00:00"/>
    <s v="310814443860"/>
    <s v="BDPK-SEK"/>
    <s v="Neubauer Nikoletta"/>
    <d v="2021-07-23T00:00:00"/>
    <d v="2025-07-15T00:00:00"/>
    <n v="200000"/>
    <m/>
    <n v="1"/>
    <s v="Nő"/>
    <n v="200000"/>
    <s v="viszketanna@gmail.com"/>
    <s v="Vörös Andrea"/>
    <n v="2"/>
    <s v="Aktív"/>
    <n v="2"/>
    <n v="2"/>
    <s v="magyar"/>
    <m/>
  </r>
  <r>
    <s v="Németh-Kovács Nikolett"/>
    <s v="DOKCS7"/>
    <s v="Aktív"/>
    <s v="tanító"/>
    <x v="16"/>
    <s v="tanító"/>
    <s v="TÓK-TAN-LBHU"/>
    <s v="Nagyatád"/>
    <s v="Somogy"/>
    <s v="Németh Nikolett"/>
    <s v="Magyarország"/>
    <d v="1990-06-27T00:00:00"/>
    <s v="T181017/FI80798"/>
    <x v="0"/>
    <s v="Állami ösztöndíjas"/>
    <s v="2021/22/1"/>
    <s v="Levelező"/>
    <n v="1"/>
    <n v="1"/>
    <s v="2021/22/2"/>
    <n v="8"/>
    <s v="73775793375"/>
    <n v="8"/>
    <x v="3"/>
    <s v="a központi eljárásban magyarországi képzésre"/>
    <n v="440"/>
    <m/>
    <m/>
    <s v="Felvétel"/>
    <d v="2021-09-01T00:00:00"/>
    <s v="310814006931"/>
    <s v="BDPK-SEK"/>
    <s v="Neubauer Nikoletta"/>
    <d v="2021-07-23T00:00:00"/>
    <d v="2025-07-15T00:00:00"/>
    <n v="200000"/>
    <m/>
    <n v="2"/>
    <s v="Nő"/>
    <n v="200000"/>
    <s v="methikol@gmail.com"/>
    <s v="Haris Éva"/>
    <n v="2"/>
    <s v="Aktív"/>
    <n v="2"/>
    <n v="2"/>
    <s v="magyar"/>
    <m/>
  </r>
  <r>
    <s v="Végvári Boglárka"/>
    <s v="SOD2MN"/>
    <s v="Aktív"/>
    <s v="tanító"/>
    <x v="16"/>
    <s v="tanító"/>
    <s v="TÓK-TAN-NBHU"/>
    <s v="Körmend"/>
    <s v="Vas"/>
    <s v="Végvári Boglárka"/>
    <s v="Magyarország"/>
    <d v="2002-09-19T00:00:00"/>
    <s v="T181465/FI80798"/>
    <x v="0"/>
    <s v="Állami ösztöndíjas"/>
    <s v="2021/22/1"/>
    <s v="Nappali"/>
    <n v="11"/>
    <n v="1"/>
    <s v="2021/22/2"/>
    <n v="8"/>
    <s v="72164467102"/>
    <n v="8"/>
    <x v="3"/>
    <s v="a központi eljárásban magyarországi képzésre"/>
    <n v="364"/>
    <m/>
    <m/>
    <s v="Felvétel"/>
    <d v="2021-09-01T00:00:00"/>
    <s v="310815019826"/>
    <s v="BDPK-SEK"/>
    <s v="Neubauer Nikoletta"/>
    <d v="2021-07-23T00:00:00"/>
    <d v="2025-07-15T00:00:00"/>
    <n v="200000"/>
    <m/>
    <n v="1"/>
    <s v="Nő"/>
    <n v="200000"/>
    <s v="vegvaribogi@gmail.com"/>
    <s v="Závecz Zsuzsanna"/>
    <n v="2"/>
    <s v="Aktív"/>
    <n v="2"/>
    <n v="2"/>
    <s v="magyar"/>
    <m/>
  </r>
  <r>
    <s v="Hertelendy Emese"/>
    <s v="HLH6GS"/>
    <s v="Aktív"/>
    <s v="tanító"/>
    <x v="16"/>
    <s v="tanító"/>
    <s v="TÓK-TAN-NBHU"/>
    <s v="Körmend"/>
    <s v="Vas"/>
    <s v="Hertelendy Emese"/>
    <s v="Magyarország"/>
    <d v="2002-09-22T00:00:00"/>
    <s v="T180959/FI80798"/>
    <x v="0"/>
    <s v="Állami ösztöndíjas"/>
    <s v="2021/22/1"/>
    <s v="Nappali"/>
    <n v="11"/>
    <n v="1"/>
    <s v="2021/22/2"/>
    <n v="8"/>
    <s v="71662671459"/>
    <n v="8"/>
    <x v="3"/>
    <s v="a központi eljárásban magyarországi képzésre"/>
    <n v="362"/>
    <m/>
    <m/>
    <s v="Felvétel"/>
    <d v="2021-09-01T00:00:00"/>
    <s v="310814936392"/>
    <s v="BDPK-SEK"/>
    <s v="Neubauer Nikoletta"/>
    <d v="2021-07-23T00:00:00"/>
    <d v="2025-07-15T00:00:00"/>
    <n v="200000"/>
    <m/>
    <n v="1"/>
    <s v="Nő"/>
    <n v="200000"/>
    <s v="hertelendyemese22@gmail.com"/>
    <s v="Németh Mónika"/>
    <n v="2"/>
    <s v="Aktív"/>
    <n v="2"/>
    <n v="2"/>
    <s v="magyar"/>
    <m/>
  </r>
  <r>
    <s v="Vargáné Arany Lívia"/>
    <s v="ZWMANG"/>
    <s v="Aktív"/>
    <s v="tanító"/>
    <x v="16"/>
    <s v="tanító"/>
    <s v="TÓK-TAN-LBHU"/>
    <s v="Szombathely"/>
    <s v="Vas"/>
    <s v="Arany Lívia"/>
    <s v="Magyarország"/>
    <d v="1985-01-07T00:00:00"/>
    <s v="T191169/FI80798"/>
    <x v="0"/>
    <s v="Önköltséges"/>
    <s v="2021/22/1"/>
    <s v="Levelező"/>
    <n v="3"/>
    <n v="1"/>
    <s v="2010/11/2"/>
    <n v="8"/>
    <s v="71429339644"/>
    <n v="8"/>
    <x v="3"/>
    <s v="a központi eljárásban magyarországi képzésre"/>
    <n v="440"/>
    <m/>
    <m/>
    <s v="Felvétel"/>
    <d v="2021-09-01T00:00:00"/>
    <s v="310914105997"/>
    <s v="BDPK-SEK"/>
    <s v="Neubauer Nikoletta"/>
    <d v="2021-08-27T00:00:00"/>
    <d v="2025-07-15T00:00:00"/>
    <m/>
    <m/>
    <n v="0"/>
    <s v="Nő"/>
    <m/>
    <s v="arany.livia@gmail.com"/>
    <s v="Őri Imelda Mária"/>
    <n v="2"/>
    <s v="Aktív"/>
    <n v="0"/>
    <n v="2"/>
    <s v="magyar"/>
    <n v="200000"/>
  </r>
  <r>
    <s v="Lantos Mihály"/>
    <s v="OSNNPH"/>
    <s v="Aktív"/>
    <s v="történelem"/>
    <x v="9"/>
    <s v="történelem"/>
    <s v="BDPK-SEK-SALB-TR-LBHU"/>
    <s v="Budapest"/>
    <s v="Budapest"/>
    <s v="Lantos Mihály"/>
    <s v="Magyarország"/>
    <d v="1970-08-31T00:00:00"/>
    <s v="T188871/FI80798"/>
    <x v="0"/>
    <s v="Állami ösztöndíjas"/>
    <s v="2021/22/1"/>
    <s v="Levelező"/>
    <n v="12"/>
    <n v="1"/>
    <s v="2021/22/2"/>
    <n v="6"/>
    <s v="71692366426"/>
    <n v="6"/>
    <x v="0"/>
    <s v="a központi eljárásban magyarországi képzésre"/>
    <n v="370"/>
    <m/>
    <m/>
    <s v="Felvétel"/>
    <d v="2021-09-01T00:00:00"/>
    <s v="310815119394"/>
    <s v="BDPK-SEK"/>
    <s v="Neubauer Nikoletta"/>
    <d v="2021-07-23T00:00:00"/>
    <d v="2024-07-15T00:00:00"/>
    <n v="300000"/>
    <m/>
    <n v="1"/>
    <s v="Férfi"/>
    <n v="300000"/>
    <s v="lantosmisi@gmail.com"/>
    <s v="Fadgyas Katalin"/>
    <n v="2"/>
    <s v="Aktív"/>
    <n v="2"/>
    <n v="2"/>
    <s v="magyar"/>
    <m/>
  </r>
  <r>
    <s v="Oláh Vidor"/>
    <s v="E0TNCC"/>
    <s v="Passzív"/>
    <s v="történelem"/>
    <x v="9"/>
    <s v="történelem"/>
    <s v="BDPK-SEK-SALB-TR-LBHU"/>
    <s v="Zalaegerszeg"/>
    <s v="Zala"/>
    <s v="Oláh Vidor"/>
    <s v="Magyarország"/>
    <d v="1988-10-31T00:00:00"/>
    <s v="T186171/FI80798"/>
    <x v="0"/>
    <s v="Állami ösztöndíjas"/>
    <s v="2021/22/1"/>
    <s v="Levelező"/>
    <n v="9"/>
    <n v="1"/>
    <s v="2021/22/1"/>
    <n v="6"/>
    <s v="74219717770"/>
    <n v="6"/>
    <x v="0"/>
    <s v="a központi eljárásban magyarországi képzésre"/>
    <n v="372"/>
    <m/>
    <m/>
    <s v="Felvétel"/>
    <d v="2021-09-01T00:00:00"/>
    <s v="310815056232"/>
    <s v="BDPK-SEK"/>
    <s v="Neubauer Nikoletta"/>
    <d v="2021-07-23T00:00:00"/>
    <d v="2025-07-15T00:00:00"/>
    <n v="300000"/>
    <m/>
    <n v="1"/>
    <s v="Férfi"/>
    <n v="300000"/>
    <s v="olahvidor88@gmail.com"/>
    <s v="Pusztay Zsuzsanna Katalin"/>
    <n v="1"/>
    <s v="Passzív"/>
    <m/>
    <n v="1"/>
    <s v="magyar"/>
    <m/>
  </r>
  <r>
    <s v="Laki Menyhért"/>
    <s v="Q0RPZ5"/>
    <s v="Aktív"/>
    <s v="történelem"/>
    <x v="9"/>
    <s v="történelem"/>
    <s v="BTK-BTÖRT-NBHU"/>
    <s v="Szombathely"/>
    <s v="Vas"/>
    <s v="Laki Menyhért"/>
    <s v="Magyarország"/>
    <d v="1994-08-25T00:00:00"/>
    <s v="T144031/FI80798"/>
    <x v="0"/>
    <s v="Önköltséges"/>
    <s v="2018/19/1"/>
    <s v="Nappali"/>
    <n v="5"/>
    <n v="1"/>
    <s v="2018/19/2"/>
    <n v="6"/>
    <s v="79085257789"/>
    <n v="6"/>
    <x v="0"/>
    <s v="a központi eljárásban magyarországi képzésre"/>
    <n v="370"/>
    <m/>
    <m/>
    <s v="Felvétel"/>
    <d v="2018-09-04T00:00:00"/>
    <s v="310883029574"/>
    <s v="BDPK-SEK"/>
    <s v="Neubauer Nikoletta"/>
    <d v="2018-07-25T00:00:00"/>
    <d v="2023-01-31T00:00:00"/>
    <n v="200000"/>
    <m/>
    <n v="2"/>
    <s v="Férfi"/>
    <n v="200000"/>
    <s v="lakimenyhert@freemail.hu"/>
    <s v="Soós Renáta Katalin"/>
    <n v="6"/>
    <s v="Aktív"/>
    <n v="2"/>
    <n v="6"/>
    <s v="magyar"/>
    <n v="200000"/>
  </r>
  <r>
    <s v="Müller Norbert"/>
    <s v="DEHGS2"/>
    <s v="Aktív"/>
    <s v="történelem"/>
    <x v="9"/>
    <s v="történelem"/>
    <s v="BDPK-SEK-SANB-TR-NBHU"/>
    <s v="Tatabánya"/>
    <s v="Komárom-Esztergom"/>
    <s v="Müller Norbert"/>
    <s v="Magyarország"/>
    <d v="1991-08-01T00:00:00"/>
    <s v="T007982/FI21120/B"/>
    <x v="0"/>
    <s v="Költségtérítéses (képzési időn túli)"/>
    <s v="2011/12/1"/>
    <s v="Nappali"/>
    <n v="9"/>
    <n v="1"/>
    <s v="2014/15/2"/>
    <n v="6"/>
    <s v="75343055181"/>
    <n v="6"/>
    <x v="0"/>
    <s v="a központi eljárásban magyarországi képzésre"/>
    <n v="348"/>
    <m/>
    <m/>
    <s v="Felvétel"/>
    <d v="2011-09-05T00:00:00"/>
    <s v="310120269199"/>
    <s v="BDPK-SEK"/>
    <s v="Neubauer Nikoletta"/>
    <d v="2011-07-17T00:00:00"/>
    <d v="2022-07-15T00:00:00"/>
    <m/>
    <n v="0"/>
    <n v="4"/>
    <s v="Férfi"/>
    <m/>
    <s v="yagamilight019@windowslive.com"/>
    <s v="Szelman Borbála"/>
    <n v="22"/>
    <s v="Aktív"/>
    <n v="4"/>
    <n v="22"/>
    <s v="magyar"/>
    <n v="110000"/>
  </r>
  <r>
    <s v="Bálint Máté Tibor"/>
    <s v="WT7Z1Y"/>
    <s v="Aktív"/>
    <s v="történelem"/>
    <x v="9"/>
    <s v="történelem"/>
    <s v="BTK-BTÖRT-NBHU"/>
    <s v="Körmend"/>
    <s v="Vas"/>
    <s v="Bálint Máté Tibor"/>
    <s v="Magyarország"/>
    <d v="1997-06-27T00:00:00"/>
    <s v="T167726/FI80798"/>
    <x v="0"/>
    <s v="Állami ösztöndíjas"/>
    <s v="2020/21/1"/>
    <s v="Nappali"/>
    <n v="3"/>
    <n v="1"/>
    <s v="2021/22/2"/>
    <n v="6"/>
    <s v="78861053694"/>
    <n v="6"/>
    <x v="0"/>
    <s v="a központi eljárásban magyarországi képzésre"/>
    <n v="394"/>
    <m/>
    <m/>
    <s v="Felvétel"/>
    <d v="2020-09-01T00:00:00"/>
    <s v="310804031956"/>
    <s v="BDPK-SEK"/>
    <s v="Neubauer Nikoletta"/>
    <d v="2020-07-23T00:00:00"/>
    <d v="2023-07-15T00:00:00"/>
    <n v="300000"/>
    <m/>
    <n v="4"/>
    <s v="Férfi"/>
    <n v="300000"/>
    <s v="blint.mtl81@gmail.com"/>
    <s v="Benczik Krisztina Margit"/>
    <n v="4"/>
    <s v="Aktív"/>
    <n v="4"/>
    <n v="4"/>
    <s v="magyar"/>
    <m/>
  </r>
  <r>
    <s v="Koszorus Gábor"/>
    <s v="IF5V6R"/>
    <s v="Aktív"/>
    <s v="történelem"/>
    <x v="9"/>
    <s v="történelem"/>
    <s v="BDPK-SEK-SANB-TR-NBHU"/>
    <s v="Székesfehérvár"/>
    <s v="Fejér"/>
    <s v="Koszorus Gábor"/>
    <s v="Magyarország"/>
    <d v="1974-03-11T00:00:00"/>
    <s v="T009868/FI21120/B"/>
    <x v="0"/>
    <s v="Önköltséges (képzési időn túli)"/>
    <s v="2012/13/1"/>
    <s v="Nappali"/>
    <n v="12"/>
    <m/>
    <m/>
    <n v="6"/>
    <s v="71536277123"/>
    <n v="6"/>
    <x v="0"/>
    <s v="a központi eljárásban magyarországi képzésre"/>
    <m/>
    <m/>
    <m/>
    <s v="Felvétel"/>
    <d v="2012-09-03T00:00:00"/>
    <m/>
    <s v="BDPK-SEK"/>
    <s v="Neubauer Nikoletta"/>
    <d v="2012-08-29T00:00:00"/>
    <d v="2022-07-15T00:00:00"/>
    <m/>
    <n v="0"/>
    <n v="0"/>
    <s v="Férfi"/>
    <m/>
    <s v="centi2001@gmail.com"/>
    <s v="Kuglits Anna"/>
    <n v="20"/>
    <s v="Aktív"/>
    <n v="0"/>
    <n v="20"/>
    <s v="magyar"/>
    <n v="115000"/>
  </r>
  <r>
    <s v="Vargyay Karina"/>
    <s v="MTHY3M"/>
    <s v="Aktív"/>
    <s v="történelem"/>
    <x v="9"/>
    <s v="történelem"/>
    <s v="BDPK-SEK-SALB-TR-LBHU"/>
    <s v="Győr"/>
    <s v="Győr-Moson-Sopron"/>
    <s v="Vargyay Karina"/>
    <s v="Magyarország"/>
    <d v="1992-08-02T00:00:00"/>
    <s v="T128470/FI80798"/>
    <x v="0"/>
    <s v="Önköltséges"/>
    <s v="2017/18/1"/>
    <s v="Levelező"/>
    <n v="1"/>
    <n v="1"/>
    <s v="2020/21/2"/>
    <n v="6"/>
    <s v="79444918557"/>
    <n v="6"/>
    <x v="0"/>
    <s v="a központi eljárásban magyarországi képzésre"/>
    <n v="348"/>
    <m/>
    <m/>
    <s v="Felvétel"/>
    <d v="2017-09-01T00:00:00"/>
    <s v="310782721453"/>
    <s v="BDPK-SEK"/>
    <s v="Neubauer Nikoletta"/>
    <d v="2017-07-27T00:00:00"/>
    <d v="2022-07-15T00:00:00"/>
    <n v="200000"/>
    <m/>
    <n v="8"/>
    <s v="Nő"/>
    <n v="200000"/>
    <s v="vargyayk@gmail.com"/>
    <s v="Bausz Éva"/>
    <n v="10"/>
    <s v="Aktív"/>
    <n v="8"/>
    <n v="10"/>
    <s v="magyar"/>
    <n v="200000"/>
  </r>
  <r>
    <s v="Szmodics Pál"/>
    <s v="H78EVI"/>
    <s v="Aktív"/>
    <s v="történelem"/>
    <x v="9"/>
    <s v="történelem"/>
    <s v="BTK-BTÖRT-NBHU"/>
    <s v="Zalaegerszeg"/>
    <s v="Zala"/>
    <s v="Szmodics Pál"/>
    <s v="Magyarország"/>
    <d v="1996-10-16T00:00:00"/>
    <s v="T162931/FI80798"/>
    <x v="0"/>
    <s v="Állami ösztöndíjas"/>
    <s v="2020/21/1"/>
    <s v="Nappali"/>
    <n v="1"/>
    <n v="1"/>
    <s v="2021/22/2"/>
    <n v="6"/>
    <s v="77760421414"/>
    <n v="6"/>
    <x v="0"/>
    <s v="a központi eljárásban magyarországi képzésre"/>
    <n v="396"/>
    <m/>
    <m/>
    <s v="Felvétel"/>
    <d v="2020-09-01T00:00:00"/>
    <s v="310804665985"/>
    <s v="BDPK-SEK"/>
    <s v="Neubauer Nikoletta"/>
    <d v="2020-07-23T00:00:00"/>
    <d v="2023-07-15T00:00:00"/>
    <n v="300000"/>
    <m/>
    <n v="4"/>
    <s v="Férfi"/>
    <n v="300000"/>
    <s v="szpali96@gmail.com"/>
    <s v="Mester Marianna Erika"/>
    <n v="4"/>
    <s v="Aktív"/>
    <n v="4"/>
    <n v="4"/>
    <s v="magyar"/>
    <m/>
  </r>
  <r>
    <s v="Kovács Ákos"/>
    <s v="SAC2GC"/>
    <s v="Aktív"/>
    <s v="történelem"/>
    <x v="9"/>
    <s v="történelem"/>
    <s v="BTK-BTÖRT-NBHU"/>
    <s v="Zalaegerszeg"/>
    <s v="Zala"/>
    <s v="Kovács Ákos"/>
    <s v="Magyarország"/>
    <d v="1997-09-12T00:00:00"/>
    <s v="T155461/FI80798"/>
    <x v="0"/>
    <s v="Állami ösztöndíjas"/>
    <s v="2019/20/1"/>
    <s v="Nappali"/>
    <n v="9"/>
    <n v="1"/>
    <s v="2021/22/2"/>
    <n v="6"/>
    <s v="72173410092"/>
    <n v="6"/>
    <x v="0"/>
    <s v="a központi eljárásban magyarországi képzésre"/>
    <n v="456"/>
    <m/>
    <m/>
    <s v="Felvétel"/>
    <d v="2019-09-01T00:00:00"/>
    <s v="310982264643"/>
    <s v="BDPK-SEK"/>
    <s v="Neubauer Nikoletta"/>
    <d v="2019-07-24T00:00:00"/>
    <d v="2022-07-15T00:00:00"/>
    <n v="300000"/>
    <m/>
    <n v="5"/>
    <s v="Férfi"/>
    <n v="300000"/>
    <s v="akos.kovacs1997@gmail.com"/>
    <s v="Kovács Szilvia"/>
    <n v="6"/>
    <s v="Aktív"/>
    <n v="6"/>
    <n v="6"/>
    <s v="magyar"/>
    <m/>
  </r>
  <r>
    <s v="Végh Noémi"/>
    <s v="DOJHSW"/>
    <s v="Aktív"/>
    <s v="történelem"/>
    <x v="9"/>
    <s v="történelem"/>
    <s v="BTK-BTÖRT-NBHU"/>
    <s v="Zalaegerszeg"/>
    <s v="Zala"/>
    <s v="Végh Noémi"/>
    <s v="Magyarország"/>
    <d v="2000-12-11T00:00:00"/>
    <s v="T155834/FI80798"/>
    <x v="0"/>
    <s v="Állami ösztöndíjas"/>
    <s v="2019/20/1"/>
    <s v="Nappali"/>
    <n v="7"/>
    <n v="1"/>
    <s v="2021/22/2"/>
    <n v="6"/>
    <s v="71963833406"/>
    <n v="6"/>
    <x v="0"/>
    <s v="a központi eljárásban magyarországi képzésre"/>
    <n v="419"/>
    <m/>
    <m/>
    <s v="Felvétel"/>
    <d v="2019-09-01T00:00:00"/>
    <s v="310982121967"/>
    <s v="BDPK-SEK"/>
    <s v="Neubauer Nikoletta"/>
    <d v="2019-07-24T00:00:00"/>
    <d v="2022-07-15T00:00:00"/>
    <n v="300000"/>
    <m/>
    <n v="5"/>
    <s v="Nő"/>
    <n v="300000"/>
    <s v="veghnoemi00@gmail.hu"/>
    <s v="Liviczki Klára"/>
    <n v="6"/>
    <s v="Aktív"/>
    <n v="6"/>
    <n v="6"/>
    <s v="magyar"/>
    <m/>
  </r>
  <r>
    <s v="Horváth Bianka"/>
    <s v="XKC03H"/>
    <s v="Aktív"/>
    <s v="történelem"/>
    <x v="9"/>
    <s v="történelem"/>
    <s v="BTK-BTÖRT-NBHU"/>
    <s v="Pápa"/>
    <s v="Veszprém"/>
    <s v="Horváth Bianka"/>
    <s v="Magyarország"/>
    <d v="1998-09-27T00:00:00"/>
    <s v="T149465/FI80798"/>
    <x v="0"/>
    <s v="Állami ösztöndíjas"/>
    <s v="2019/20/1"/>
    <s v="Nappali"/>
    <n v="7"/>
    <n v="1"/>
    <s v="2021/22/2"/>
    <n v="6"/>
    <s v="79545985252"/>
    <n v="6"/>
    <x v="0"/>
    <s v="a központi eljárásban magyarországi képzésre"/>
    <n v="381"/>
    <m/>
    <m/>
    <s v="Felvétel"/>
    <d v="2019-09-01T00:00:00"/>
    <s v="310982686134"/>
    <s v="BDPK-SEK"/>
    <s v="Neubauer Nikoletta"/>
    <d v="2019-07-24T00:00:00"/>
    <d v="2022-07-15T00:00:00"/>
    <n v="300000"/>
    <m/>
    <n v="5"/>
    <s v="Nő"/>
    <n v="300000"/>
    <s v="chronocandy@gmail.com"/>
    <s v="Szakács Irén"/>
    <n v="6"/>
    <s v="Aktív"/>
    <n v="6"/>
    <n v="6"/>
    <s v="magyar"/>
    <m/>
  </r>
  <r>
    <s v="Tamás Dominik"/>
    <s v="CK7924"/>
    <s v="Aktív"/>
    <s v="történelem"/>
    <x v="9"/>
    <s v="történelem"/>
    <s v="BTK-BTÖRT-NBHU"/>
    <s v="Szombathely"/>
    <s v="Vas"/>
    <s v="Tamás Dominik"/>
    <s v="Magyarország"/>
    <d v="1999-05-07T00:00:00"/>
    <s v="T157005/FI80798"/>
    <x v="0"/>
    <s v="Állami ösztöndíjas"/>
    <s v="2019/20/1"/>
    <s v="Nappali"/>
    <n v="7"/>
    <n v="1"/>
    <s v="2021/22/2"/>
    <n v="6"/>
    <s v="79519950808"/>
    <n v="6"/>
    <x v="0"/>
    <s v="a központi eljárásban magyarországi képzésre"/>
    <n v="344"/>
    <m/>
    <m/>
    <s v="Felvétel"/>
    <d v="2019-09-01T00:00:00"/>
    <s v="310982752175"/>
    <s v="BDPK-SEK"/>
    <s v="Neubauer Nikoletta"/>
    <d v="2019-07-24T00:00:00"/>
    <d v="2022-07-15T00:00:00"/>
    <n v="300000"/>
    <m/>
    <n v="5"/>
    <s v="Férfi"/>
    <n v="300000"/>
    <s v="theexkali@gmail.com"/>
    <s v="Pék Klára"/>
    <n v="6"/>
    <s v="Aktív"/>
    <n v="6"/>
    <n v="6"/>
    <s v="magyar"/>
    <m/>
  </r>
  <r>
    <s v="Mátyás Armand"/>
    <s v="AC375S"/>
    <s v="Aktív"/>
    <s v="történelem"/>
    <x v="9"/>
    <s v="történelem"/>
    <s v="BTK-BTÖRT-NBHU"/>
    <s v="Veszprém"/>
    <s v="Veszprém"/>
    <s v="Mátyás Armand"/>
    <s v="Magyarország"/>
    <d v="2000-06-05T00:00:00"/>
    <s v="T151304/FI80798"/>
    <x v="0"/>
    <s v="Állami ösztöndíjas"/>
    <s v="2019/20/1"/>
    <s v="Nappali"/>
    <n v="7"/>
    <n v="1"/>
    <s v="2021/22/2"/>
    <n v="6"/>
    <s v="75269035805"/>
    <n v="6"/>
    <x v="0"/>
    <s v="a központi eljárásban magyarországi képzésre"/>
    <n v="382"/>
    <m/>
    <m/>
    <s v="Felvétel"/>
    <d v="2019-09-01T00:00:00"/>
    <s v="310982629233"/>
    <s v="BDPK-SEK"/>
    <s v="Neubauer Nikoletta"/>
    <d v="2019-07-24T00:00:00"/>
    <d v="2022-07-15T00:00:00"/>
    <n v="300000"/>
    <m/>
    <n v="5"/>
    <s v="Férfi"/>
    <n v="300000"/>
    <s v="matyasarmand6@gmail.com"/>
    <s v="Regenye Mónika"/>
    <n v="6"/>
    <s v="Aktív"/>
    <n v="6"/>
    <n v="6"/>
    <s v="magyar"/>
    <m/>
  </r>
  <r>
    <s v="Kis-Kádi Anna"/>
    <s v="C3ZW09"/>
    <s v="Aktív"/>
    <s v="történelem"/>
    <x v="9"/>
    <s v="történelem"/>
    <s v="BTK-BTÖRT-NBHU"/>
    <s v="Zalaegerszeg"/>
    <s v="Zala"/>
    <s v="Kis-Kádi Anna"/>
    <s v="Magyarország"/>
    <d v="1999-04-29T00:00:00"/>
    <s v="T156820/FI80798"/>
    <x v="0"/>
    <s v="Állami ösztöndíjas"/>
    <s v="2019/20/1"/>
    <s v="Nappali"/>
    <n v="7"/>
    <n v="1"/>
    <s v="2021/22/2"/>
    <n v="6"/>
    <s v="76050475798"/>
    <n v="6"/>
    <x v="0"/>
    <s v="a központi eljárásban magyarországi képzésre"/>
    <n v="450"/>
    <m/>
    <m/>
    <s v="Felvétel"/>
    <d v="2019-09-01T00:00:00"/>
    <s v="310982138680"/>
    <s v="BDPK-SEK"/>
    <s v="Neubauer Nikoletta"/>
    <d v="2019-07-24T00:00:00"/>
    <d v="2022-07-15T00:00:00"/>
    <n v="300000"/>
    <m/>
    <n v="5"/>
    <s v="Nő"/>
    <n v="300000"/>
    <s v="kiskadinna@gmail.com"/>
    <s v="Horváth Katalin"/>
    <n v="6"/>
    <s v="Aktív"/>
    <n v="6"/>
    <n v="6"/>
    <s v="magyar"/>
    <m/>
  </r>
  <r>
    <s v="Szabó Ákos"/>
    <s v="WJC4SM"/>
    <s v="Aktív"/>
    <s v="történelem"/>
    <x v="9"/>
    <s v="történelem"/>
    <s v="BTK-BTÖRT-NBHU"/>
    <s v="Győr"/>
    <s v="Győr-Moson-Sopron"/>
    <s v="Szabó Ákos"/>
    <s v="Magyarország"/>
    <d v="2001-09-21T00:00:00"/>
    <s v="T169314/FI80798"/>
    <x v="0"/>
    <s v="Állami ösztöndíjas"/>
    <s v="2020/21/1"/>
    <s v="Nappali"/>
    <n v="11"/>
    <n v="1"/>
    <s v="2021/22/2"/>
    <n v="6"/>
    <s v="71613182498"/>
    <n v="6"/>
    <x v="0"/>
    <s v="a központi eljárásban magyarországi képzésre"/>
    <n v="330"/>
    <m/>
    <m/>
    <s v="Felvétel"/>
    <d v="2020-09-01T00:00:00"/>
    <s v="310804909300"/>
    <s v="BDPK-SEK"/>
    <s v="Neubauer Nikoletta"/>
    <d v="2020-07-23T00:00:00"/>
    <d v="2024-07-15T00:00:00"/>
    <n v="300000"/>
    <m/>
    <n v="1"/>
    <s v="Férfi"/>
    <n v="300000"/>
    <s v="szaboakos0110@gmail.com"/>
    <s v="Molnár Krisztina Mária"/>
    <n v="2"/>
    <s v="Aktív"/>
    <n v="2"/>
    <n v="2"/>
    <s v="magyar"/>
    <m/>
  </r>
  <r>
    <s v="Torjay Valter Kristóf"/>
    <s v="X5FDXH"/>
    <s v="Aktív"/>
    <s v="történelem"/>
    <x v="9"/>
    <s v="történelem"/>
    <s v="BTK-BTÖRT-NBHU"/>
    <s v="Szombathely"/>
    <s v="Vas"/>
    <s v="Torjay Valter Kristóf"/>
    <s v="Magyarország"/>
    <d v="2000-03-21T00:00:00"/>
    <s v="T169558/FI80798"/>
    <x v="0"/>
    <s v="Állami ösztöndíjas"/>
    <s v="2020/21/1"/>
    <s v="Nappali"/>
    <n v="13"/>
    <n v="1"/>
    <s v="2021/22/2"/>
    <n v="6"/>
    <s v="74142303081"/>
    <n v="6"/>
    <x v="0"/>
    <s v="a központi eljárásban magyarországi képzésre"/>
    <n v="422"/>
    <m/>
    <m/>
    <s v="Felvétel"/>
    <d v="2020-09-01T00:00:00"/>
    <s v="310804587247"/>
    <s v="BDPK-SEK"/>
    <s v="Neubauer Nikoletta"/>
    <d v="2020-07-23T00:00:00"/>
    <d v="2023-07-15T00:00:00"/>
    <n v="300000"/>
    <m/>
    <n v="3"/>
    <s v="Férfi"/>
    <n v="300000"/>
    <s v="polytek03@gmail.com"/>
    <s v="Varga Krisztina"/>
    <n v="4"/>
    <s v="Aktív"/>
    <n v="4"/>
    <n v="4"/>
    <s v="magyar"/>
    <m/>
  </r>
  <r>
    <s v="Balázs Erika Anna"/>
    <s v="HWVGPJ"/>
    <s v="Aktív"/>
    <s v="történelem"/>
    <x v="9"/>
    <s v="történelem"/>
    <s v="BTK-BTÖRT-NBHU"/>
    <s v="Körmend"/>
    <s v="Vas"/>
    <s v="Balázs Erika Anna"/>
    <s v="Magyarország"/>
    <d v="2001-01-01T00:00:00"/>
    <s v="T181609/FI80798"/>
    <x v="0"/>
    <s v="Állami ösztöndíjas"/>
    <s v="2021/22/1"/>
    <s v="Nappali"/>
    <n v="11"/>
    <n v="1"/>
    <s v="2021/22/2"/>
    <n v="6"/>
    <s v="79843331285"/>
    <n v="6"/>
    <x v="0"/>
    <s v="a központi eljárásban magyarországi képzésre"/>
    <n v="352"/>
    <m/>
    <m/>
    <s v="Felvétel"/>
    <d v="2021-09-01T00:00:00"/>
    <s v="310814034156"/>
    <s v="BDPK-SEK"/>
    <s v="Neubauer Nikoletta"/>
    <d v="2021-07-23T00:00:00"/>
    <d v="2024-07-15T00:00:00"/>
    <n v="300000"/>
    <m/>
    <n v="1"/>
    <s v="Nő"/>
    <n v="300000"/>
    <s v="erinbalazs@freemail.hu"/>
    <s v="Tóth Erika Mária"/>
    <n v="2"/>
    <s v="Aktív"/>
    <n v="2"/>
    <n v="2"/>
    <s v="magyar"/>
    <m/>
  </r>
  <r>
    <s v="Tüske Bence"/>
    <s v="MDRFIM"/>
    <s v="Aktív"/>
    <s v="történelem"/>
    <x v="9"/>
    <s v="történelem"/>
    <s v="BTK-BTÖRT-NBHU"/>
    <s v="Zalaegerszeg"/>
    <s v="Zala"/>
    <s v="Tüske Bence"/>
    <s v="Magyarország"/>
    <d v="2002-02-26T00:00:00"/>
    <s v="T164836/FI80798"/>
    <x v="0"/>
    <s v="Állami ösztöndíjas"/>
    <s v="2020/21/1"/>
    <s v="Nappali"/>
    <n v="9"/>
    <n v="1"/>
    <s v="2021/22/2"/>
    <n v="6"/>
    <s v="71613655694"/>
    <n v="6"/>
    <x v="0"/>
    <s v="a központi eljárásban magyarországi képzésre"/>
    <n v="423"/>
    <m/>
    <m/>
    <s v="Felvétel"/>
    <d v="2020-09-01T00:00:00"/>
    <s v="310804044934"/>
    <s v="BDPK-SEK"/>
    <s v="Neubauer Nikoletta"/>
    <d v="2020-07-23T00:00:00"/>
    <d v="2023-07-15T00:00:00"/>
    <n v="300000"/>
    <m/>
    <n v="3"/>
    <s v="Férfi"/>
    <n v="300000"/>
    <s v="bencetuske@gmail.com"/>
    <s v="Iványi Bernadett"/>
    <n v="4"/>
    <s v="Aktív"/>
    <n v="4"/>
    <n v="4"/>
    <s v="magyar"/>
    <m/>
  </r>
  <r>
    <s v="Csiza Georgina Evelin"/>
    <s v="JRJO9B"/>
    <s v="Aktív"/>
    <s v="történelem"/>
    <x v="9"/>
    <s v="történelem"/>
    <s v="BTK-BTÖRT-NBHU"/>
    <s v="Szombathely"/>
    <s v="Vas"/>
    <s v="Csiza Georgina Evelin"/>
    <s v="Magyarország"/>
    <d v="1999-09-22T00:00:00"/>
    <s v="T161817/FI80798"/>
    <x v="0"/>
    <s v="Állami ösztöndíjas"/>
    <s v="2020/21/1"/>
    <s v="Nappali"/>
    <n v="8"/>
    <n v="1"/>
    <s v="2021/22/2"/>
    <n v="6"/>
    <s v="76052953993"/>
    <n v="6"/>
    <x v="0"/>
    <s v="a központi eljárásban magyarországi képzésre"/>
    <n v="424"/>
    <m/>
    <m/>
    <s v="Felvétel"/>
    <d v="2020-09-01T00:00:00"/>
    <s v="310804595612"/>
    <s v="BDPK-SEK"/>
    <s v="Neubauer Nikoletta"/>
    <d v="2020-07-23T00:00:00"/>
    <d v="2023-07-15T00:00:00"/>
    <n v="300000"/>
    <m/>
    <n v="3"/>
    <s v="Nő"/>
    <n v="300000"/>
    <s v="cs.georgina22@gmail.com"/>
    <s v="Francsics Éva"/>
    <n v="4"/>
    <s v="Aktív"/>
    <n v="4"/>
    <n v="4"/>
    <s v="magyar"/>
    <m/>
  </r>
  <r>
    <s v="Csiszár Nikolett"/>
    <s v="CZ63IR"/>
    <s v="Aktív"/>
    <s v="történelem"/>
    <x v="9"/>
    <s v="történelem"/>
    <s v="BTK-BTÖRT-NBHU"/>
    <s v="Sopron"/>
    <s v="Győr-Moson-Sopron"/>
    <s v="Csiszár Nikolett"/>
    <s v="Magyarország"/>
    <d v="2000-06-23T00:00:00"/>
    <s v="T155813/FI80798"/>
    <x v="0"/>
    <s v="Állami ösztöndíjas"/>
    <s v="2019/20/1"/>
    <s v="Nappali"/>
    <n v="7"/>
    <n v="1"/>
    <s v="2021/22/2"/>
    <n v="6"/>
    <s v="76378110313"/>
    <n v="6"/>
    <x v="0"/>
    <s v="a központi eljárásban magyarországi képzésre"/>
    <n v="328"/>
    <m/>
    <m/>
    <s v="Felvétel"/>
    <d v="2019-09-01T00:00:00"/>
    <s v="310982851373"/>
    <s v="BDPK-SEK"/>
    <s v="Neubauer Nikoletta"/>
    <d v="2019-07-24T00:00:00"/>
    <d v="2022-07-15T00:00:00"/>
    <n v="300000"/>
    <m/>
    <n v="5"/>
    <s v="Nő"/>
    <n v="300000"/>
    <s v="nikolett.csiszar00@gmail.com"/>
    <s v="Kelemen Anikó"/>
    <n v="6"/>
    <s v="Aktív"/>
    <n v="6"/>
    <n v="6"/>
    <s v="magyar"/>
    <m/>
  </r>
  <r>
    <s v="Nagy Máté"/>
    <s v="HB87VN"/>
    <s v="Aktív"/>
    <s v="történelem"/>
    <x v="9"/>
    <s v="történelem"/>
    <s v="BTK-BTÖRT-NBHU"/>
    <s v="Zalaegerszeg"/>
    <s v="Zala"/>
    <s v="Nagy Máté"/>
    <s v="Magyarország"/>
    <d v="2000-06-06T00:00:00"/>
    <s v="T166502/FI80798"/>
    <x v="0"/>
    <s v="Állami ösztöndíjas"/>
    <s v="2020/21/1"/>
    <s v="Nappali"/>
    <n v="9"/>
    <n v="1"/>
    <s v="2021/22/2"/>
    <n v="6"/>
    <s v="77296490031"/>
    <n v="6"/>
    <x v="0"/>
    <s v="a központi eljárásban magyarországi képzésre"/>
    <n v="366"/>
    <m/>
    <m/>
    <s v="Felvétel"/>
    <d v="2020-09-01T00:00:00"/>
    <s v="310804486432"/>
    <s v="BDPK-SEK"/>
    <s v="Neubauer Nikoletta"/>
    <d v="2020-07-23T00:00:00"/>
    <d v="2023-07-15T00:00:00"/>
    <n v="300000"/>
    <m/>
    <n v="3"/>
    <s v="Férfi"/>
    <n v="300000"/>
    <s v="nmate64@gmail.com"/>
    <s v="Papp Zsuzsanna Ibolya"/>
    <n v="4"/>
    <s v="Aktív"/>
    <n v="4"/>
    <n v="4"/>
    <s v="magyar"/>
    <m/>
  </r>
  <r>
    <s v="Kiss Benedek"/>
    <s v="X3YATF"/>
    <s v="Aktív"/>
    <s v="történelem"/>
    <x v="9"/>
    <s v="történelem"/>
    <s v="BTK-BTÖRT-NBHU"/>
    <s v="Celldömölk"/>
    <s v="Vas"/>
    <s v="Kiss Benedek"/>
    <s v="Magyarország"/>
    <d v="2001-11-08T00:00:00"/>
    <s v="T169535/FI80798"/>
    <x v="0"/>
    <s v="Állami ösztöndíjas"/>
    <s v="2020/21/1"/>
    <s v="Nappali"/>
    <n v="9"/>
    <n v="1"/>
    <s v="2021/22/2"/>
    <n v="6"/>
    <s v="71626438653"/>
    <n v="6"/>
    <x v="0"/>
    <s v="a központi eljárásban magyarországi képzésre"/>
    <n v="394"/>
    <m/>
    <m/>
    <s v="Felvétel"/>
    <d v="2020-09-01T00:00:00"/>
    <s v="310804414558"/>
    <s v="BDPK-SEK"/>
    <s v="Neubauer Nikoletta"/>
    <d v="2020-07-23T00:00:00"/>
    <d v="2023-07-15T00:00:00"/>
    <n v="300000"/>
    <m/>
    <n v="3"/>
    <s v="Férfi"/>
    <n v="300000"/>
    <s v="kiss.benedek01@gmail.com"/>
    <s v="Lenti Eszter"/>
    <n v="4"/>
    <s v="Aktív"/>
    <n v="4"/>
    <n v="4"/>
    <s v="magyar"/>
    <m/>
  </r>
  <r>
    <s v="Bódis Benjamin"/>
    <s v="DTO9AX"/>
    <s v="Aktív"/>
    <s v="történelem"/>
    <x v="9"/>
    <s v="történelem"/>
    <s v="BDPK-SEK-SALB-TR-LBHU"/>
    <s v="Veszprém"/>
    <s v="Veszprém"/>
    <s v="Bódis Benjamin"/>
    <s v="Magyarország"/>
    <d v="1993-10-05T00:00:00"/>
    <s v="T187919/FI80798"/>
    <x v="0"/>
    <s v="Állami ösztöndíjas"/>
    <s v="2021/22/1"/>
    <s v="Levelező"/>
    <n v="11"/>
    <n v="1"/>
    <s v="2021/22/2"/>
    <n v="6"/>
    <s v="71551364742"/>
    <n v="6"/>
    <x v="0"/>
    <s v="a központi eljárásban magyarországi képzésre"/>
    <n v="342"/>
    <m/>
    <m/>
    <s v="Felvétel"/>
    <d v="2021-09-01T00:00:00"/>
    <s v="310815135762"/>
    <s v="BDPK-SEK"/>
    <s v="Neubauer Nikoletta"/>
    <d v="2021-07-23T00:00:00"/>
    <d v="2024-07-15T00:00:00"/>
    <n v="300000"/>
    <m/>
    <n v="1"/>
    <s v="Férfi"/>
    <n v="300000"/>
    <s v="beni19931005@gmail.com"/>
    <s v="Karczagi Katalin Beáta"/>
    <n v="2"/>
    <s v="Aktív"/>
    <n v="2"/>
    <n v="2"/>
    <s v="magyar"/>
    <m/>
  </r>
  <r>
    <s v="Kötő Márk"/>
    <s v="QUIUFS"/>
    <s v="Aktív"/>
    <s v="történelem"/>
    <x v="9"/>
    <s v="történelem"/>
    <s v="BTK-BTÖRT-NBHU"/>
    <s v="Nagykanizsa"/>
    <s v="Zala"/>
    <s v="Kötő Márk"/>
    <s v="Magyarország"/>
    <d v="2001-09-20T00:00:00"/>
    <s v="T179804/FI80798"/>
    <x v="0"/>
    <s v="Állami ösztöndíjas"/>
    <s v="2021/22/1"/>
    <s v="Nappali"/>
    <n v="10"/>
    <n v="1"/>
    <s v="2021/22/2"/>
    <n v="6"/>
    <s v="71622049817"/>
    <n v="6"/>
    <x v="0"/>
    <s v="a központi eljárásban magyarországi képzésre"/>
    <n v="424"/>
    <m/>
    <m/>
    <s v="Felvétel"/>
    <d v="2021-09-01T00:00:00"/>
    <s v="310814585108"/>
    <s v="BDPK-SEK"/>
    <s v="Neubauer Nikoletta"/>
    <d v="2021-07-23T00:00:00"/>
    <d v="2024-07-15T00:00:00"/>
    <n v="300000"/>
    <m/>
    <n v="1"/>
    <s v="Férfi"/>
    <n v="300000"/>
    <s v="kotomark37@gmail.com"/>
    <s v="Kürti Csilla"/>
    <n v="2"/>
    <s v="Aktív"/>
    <n v="2"/>
    <n v="2"/>
    <s v="magyar"/>
    <m/>
  </r>
  <r>
    <s v="Fülöp Richárd Róbert"/>
    <s v="JKC0BO"/>
    <s v="Aktív"/>
    <s v="történelem"/>
    <x v="9"/>
    <s v="történelem"/>
    <s v="BTK-BTÖRT-NBHU"/>
    <s v="Celldömölk"/>
    <s v="Vas"/>
    <s v="Fülöp Richárd Róbert"/>
    <s v="Magyarország"/>
    <d v="2000-09-07T00:00:00"/>
    <s v="T183057/FI80798"/>
    <x v="0"/>
    <s v="Állami ösztöndíjas"/>
    <s v="2021/22/1"/>
    <s v="Nappali"/>
    <n v="15"/>
    <n v="1"/>
    <s v="2021/22/2"/>
    <n v="6"/>
    <s v="71465789484"/>
    <n v="6"/>
    <x v="0"/>
    <s v="a központi eljárásban magyarországi képzésre"/>
    <n v="444"/>
    <m/>
    <m/>
    <s v="Felvétel"/>
    <d v="2021-09-01T00:00:00"/>
    <s v="310814208149"/>
    <s v="BDPK-SEK"/>
    <s v="Neubauer Nikoletta"/>
    <d v="2021-07-23T00:00:00"/>
    <d v="2024-07-15T00:00:00"/>
    <n v="300000"/>
    <m/>
    <n v="1"/>
    <s v="Férfi"/>
    <n v="300000"/>
    <s v="ricsi0009@gmail.com"/>
    <s v="Kalauz Katalin Henrietta"/>
    <n v="2"/>
    <s v="Aktív"/>
    <n v="2"/>
    <n v="2"/>
    <s v="magyar"/>
    <m/>
  </r>
  <r>
    <s v="Németh Dávid"/>
    <s v="MQ5KI5"/>
    <s v="Aktív"/>
    <s v="történelem"/>
    <x v="9"/>
    <s v="történelem"/>
    <s v="BDPK-SEK-SALB-TR-LBHU"/>
    <s v="Kapuvár"/>
    <s v="Győr-Moson-Sopron"/>
    <s v="Németh Dávid"/>
    <s v="Magyarország"/>
    <d v="1998-09-29T00:00:00"/>
    <s v="T185494/FI80798"/>
    <x v="0"/>
    <s v="Állami ösztöndíjas"/>
    <s v="2021/22/1"/>
    <s v="Levelező"/>
    <n v="15"/>
    <n v="1"/>
    <s v="2021/22/2"/>
    <n v="6"/>
    <s v="79287862294"/>
    <n v="6"/>
    <x v="0"/>
    <s v="a központi eljárásban magyarországi képzésre"/>
    <n v="388"/>
    <m/>
    <m/>
    <s v="Felvétel"/>
    <d v="2021-09-01T00:00:00"/>
    <s v="310814543081"/>
    <s v="BDPK-SEK"/>
    <s v="Neubauer Nikoletta"/>
    <d v="2021-07-23T00:00:00"/>
    <d v="2024-07-15T00:00:00"/>
    <n v="300000"/>
    <m/>
    <n v="1"/>
    <s v="Férfi"/>
    <n v="300000"/>
    <s v="nemethdavid0929@gmail.com"/>
    <s v="Dukai Márta"/>
    <n v="2"/>
    <s v="Aktív"/>
    <n v="2"/>
    <n v="2"/>
    <s v="magyar"/>
    <m/>
  </r>
  <r>
    <s v="Ábry Szabolcs Gábor"/>
    <s v="FMBRYU"/>
    <s v="Aktív"/>
    <s v="történelem"/>
    <x v="9"/>
    <s v="történelem"/>
    <s v="BDPK-SEK-SALB-TR-LBHU"/>
    <s v="Budapest"/>
    <s v="Budapest"/>
    <s v="Ábry Szabolcs Gábor"/>
    <s v="Magyarország"/>
    <d v="1984-01-14T00:00:00"/>
    <s v="T182499/FI80798"/>
    <x v="0"/>
    <s v="Önköltséges"/>
    <s v="2021/22/1"/>
    <s v="Levelező"/>
    <n v="12"/>
    <m/>
    <m/>
    <n v="6"/>
    <s v="78762919209"/>
    <n v="6"/>
    <x v="0"/>
    <s v="a központi eljárásban magyarországi képzésre"/>
    <n v="314"/>
    <m/>
    <m/>
    <s v="Felvétel"/>
    <d v="2021-09-01T00:00:00"/>
    <s v="310814946292"/>
    <s v="BDPK-SEK"/>
    <s v="Neubauer Nikoletta"/>
    <d v="2021-07-23T00:00:00"/>
    <d v="2024-07-15T00:00:00"/>
    <m/>
    <m/>
    <n v="0"/>
    <s v="Férfi"/>
    <m/>
    <s v="abry.szabolcs@gmail.com"/>
    <s v="Antal Mária Judit"/>
    <n v="2"/>
    <s v="Aktív"/>
    <n v="0"/>
    <n v="2"/>
    <s v="magyar"/>
    <n v="300000"/>
  </r>
  <r>
    <s v="Horváth Norbert Áron"/>
    <s v="VGOAA1"/>
    <s v="Aktív"/>
    <s v="történelem"/>
    <x v="9"/>
    <s v="történelem"/>
    <s v="BTK-BTÖRT-NBHU"/>
    <s v="Körmend"/>
    <s v="Vas"/>
    <s v="Horváth Norbert Áron"/>
    <s v="Magyarország"/>
    <d v="2002-06-14T00:00:00"/>
    <s v="T190551/FI80798"/>
    <x v="0"/>
    <s v="Önköltséges"/>
    <s v="2021/22/1"/>
    <s v="Nappali"/>
    <n v="16"/>
    <m/>
    <m/>
    <n v="6"/>
    <s v="72153441331"/>
    <n v="6"/>
    <x v="0"/>
    <s v="a központi eljárásban magyarországi képzésre"/>
    <n v="388"/>
    <m/>
    <m/>
    <s v="Felvétel"/>
    <d v="2021-09-01T00:00:00"/>
    <s v="310814925031"/>
    <s v="BDPK-SEK"/>
    <s v="Neubauer Nikoletta"/>
    <d v="2021-07-23T00:00:00"/>
    <d v="2024-07-15T00:00:00"/>
    <m/>
    <m/>
    <n v="0"/>
    <s v="Férfi"/>
    <m/>
    <s v="norbi0167@gmail.com"/>
    <s v="Kreznerics Andrea"/>
    <n v="2"/>
    <s v="Aktív"/>
    <n v="0"/>
    <n v="2"/>
    <s v="magyar"/>
    <n v="300000"/>
  </r>
  <r>
    <s v="Gyenge Dániel"/>
    <s v="E8IPZ9"/>
    <s v="Aktív"/>
    <s v="történelem"/>
    <x v="9"/>
    <s v="történelem"/>
    <s v="BTK-BTÖRT-NBHU"/>
    <s v="Zalaegerszeg"/>
    <s v="Zala"/>
    <s v="Gyenge Dániel"/>
    <s v="Magyarország"/>
    <d v="2001-03-16T00:00:00"/>
    <s v="T185186/FI80798"/>
    <x v="0"/>
    <s v="Állami ösztöndíjas"/>
    <s v="2021/22/1"/>
    <s v="Nappali"/>
    <n v="11"/>
    <n v="1"/>
    <s v="2021/22/2"/>
    <n v="6"/>
    <s v="71466227685"/>
    <n v="6"/>
    <x v="0"/>
    <s v="a központi eljárásban magyarországi képzésre"/>
    <n v="406"/>
    <m/>
    <m/>
    <s v="Felvétel"/>
    <d v="2021-09-01T00:00:00"/>
    <s v="310814504877"/>
    <s v="BDPK-SEK"/>
    <s v="Neubauer Nikoletta"/>
    <d v="2021-07-23T00:00:00"/>
    <d v="2024-07-15T00:00:00"/>
    <n v="300000"/>
    <m/>
    <n v="1"/>
    <s v="Férfi"/>
    <n v="300000"/>
    <s v="gyengudanoc@gmail.com"/>
    <s v="Nagy Ildikó"/>
    <n v="2"/>
    <s v="Aktív"/>
    <n v="2"/>
    <n v="2"/>
    <s v="magyar"/>
    <m/>
  </r>
  <r>
    <s v="Molnár Csaba Sándor"/>
    <s v="QARTHR"/>
    <s v="Aktív"/>
    <s v="történelem"/>
    <x v="9"/>
    <s v="történelem"/>
    <s v="BTK-BTÖRT-NBHU"/>
    <s v="Budapest"/>
    <s v="Budapest"/>
    <s v="Molnár Csaba Sándor"/>
    <s v="Magyarország"/>
    <d v="1997-06-30T00:00:00"/>
    <s v="T189356/FI80798"/>
    <x v="0"/>
    <s v="Állami ösztöndíjas"/>
    <s v="2021/22/1"/>
    <s v="Nappali"/>
    <n v="11"/>
    <n v="1"/>
    <s v="2021/22/2"/>
    <n v="6"/>
    <s v="75397723629"/>
    <n v="6"/>
    <x v="0"/>
    <s v="a központi eljárásban magyarországi képzésre"/>
    <n v="362"/>
    <m/>
    <m/>
    <s v="Felvétel"/>
    <d v="2021-09-01T00:00:00"/>
    <s v="310815066520"/>
    <s v="BDPK-SEK"/>
    <s v="Neubauer Nikoletta"/>
    <d v="2021-07-23T00:00:00"/>
    <d v="2024-07-15T00:00:00"/>
    <n v="300000"/>
    <m/>
    <n v="1"/>
    <s v="Férfi"/>
    <n v="300000"/>
    <s v="mokacsaba10@gmail.com"/>
    <s v="Kozma Erika Anna"/>
    <n v="2"/>
    <s v="Aktív"/>
    <n v="2"/>
    <n v="2"/>
    <s v="magyar"/>
    <m/>
  </r>
  <r>
    <s v="Gazdig Vendel Özséb"/>
    <s v="GME3C3"/>
    <s v="Aktív"/>
    <s v="történelem"/>
    <x v="9"/>
    <s v="történelem"/>
    <s v="BDPK-SEK-SALB-TR-LBHU"/>
    <s v="Veszprém"/>
    <s v="Veszprém"/>
    <s v="Gazdig Vendel Özséb"/>
    <s v="Magyarország"/>
    <d v="1994-06-02T00:00:00"/>
    <s v="T186626/FI80798"/>
    <x v="0"/>
    <s v="Állami ösztöndíjas"/>
    <s v="2021/22/1"/>
    <s v="Levelező"/>
    <n v="11"/>
    <n v="1"/>
    <s v="2021/22/2"/>
    <n v="6"/>
    <s v="75219946167"/>
    <n v="6"/>
    <x v="0"/>
    <s v="a központi eljárásban magyarországi képzésre"/>
    <n v="397"/>
    <m/>
    <m/>
    <s v="Felvétel"/>
    <d v="2021-09-01T00:00:00"/>
    <s v="310814753136"/>
    <s v="BDPK-SEK"/>
    <s v="Neubauer Nikoletta"/>
    <d v="2021-07-23T00:00:00"/>
    <d v="2024-07-15T00:00:00"/>
    <n v="300000"/>
    <m/>
    <n v="1"/>
    <s v="Férfi"/>
    <n v="300000"/>
    <s v="cootrienman@gmail.com"/>
    <s v="Fodor Krisztina"/>
    <n v="2"/>
    <s v="Aktív"/>
    <n v="2"/>
    <n v="2"/>
    <s v="magyar"/>
    <m/>
  </r>
  <r>
    <s v="Zámbóné Borbás Noémi"/>
    <s v="TOMVP0"/>
    <s v="Aktív"/>
    <s v="történelem"/>
    <x v="9"/>
    <s v="történelem"/>
    <s v="BDPK-SEK-SALB-TR-LBHU"/>
    <s v="Szombathely"/>
    <s v="Vas"/>
    <s v="Borbás Noémi"/>
    <s v="Magyarország"/>
    <d v="1987-09-01T00:00:00"/>
    <s v="T190441/FI80798"/>
    <x v="0"/>
    <s v="Állami ösztöndíjas"/>
    <s v="2021/22/1"/>
    <s v="Levelező"/>
    <m/>
    <m/>
    <m/>
    <n v="6"/>
    <s v="76744071342"/>
    <n v="6"/>
    <x v="0"/>
    <s v="a központi eljárásban magyarországi képzésre"/>
    <n v="370"/>
    <m/>
    <m/>
    <s v="Felvétel"/>
    <d v="2021-09-01T00:00:00"/>
    <s v="310814693316"/>
    <s v="BDPK-SEK"/>
    <s v="Neubauer Nikoletta"/>
    <d v="2021-07-23T00:00:00"/>
    <d v="2024-07-15T00:00:00"/>
    <n v="300000"/>
    <m/>
    <n v="1"/>
    <s v="Nő"/>
    <n v="300000"/>
    <s v="borbasnoemi@sulid.hu"/>
    <s v="Janzsó Ibolya Mária"/>
    <n v="2"/>
    <s v="Aktív"/>
    <n v="2"/>
    <n v="2"/>
    <s v="magyar"/>
    <m/>
  </r>
  <r>
    <s v="Janó Tamás"/>
    <s v="ESMA1N"/>
    <s v="Aktív"/>
    <s v="osztatlan tanári [10 félév [angol nyelv és kultúra tanára; biológiatanár (egészségtan)]]"/>
    <x v="0"/>
    <s v="osztatlan tanár"/>
    <s v="BDPK-SEK-SANO-OT-NOHU"/>
    <s v="Győr"/>
    <s v="Győr-Moson-Sopron"/>
    <s v="Janó Tamás"/>
    <s v="Magyarország"/>
    <d v="1978-03-04T00:00:00"/>
    <s v="T013720/FI21120/B"/>
    <x v="5"/>
    <s v="Állami ösztöndíjas"/>
    <s v="2016/17/1"/>
    <s v="Nappali"/>
    <n v="8"/>
    <n v="1"/>
    <s v="2021/22/2"/>
    <n v="10"/>
    <s v="72514685543"/>
    <n v="10"/>
    <x v="3"/>
    <s v="a központi eljárásban magyarországi képzésre"/>
    <n v="370"/>
    <m/>
    <m/>
    <s v="Felvétel"/>
    <d v="2016-09-01T00:00:00"/>
    <s v="310682979003"/>
    <s v="BDPK-SEK"/>
    <s v="Eke Norbertné"/>
    <d v="2016-07-26T00:00:00"/>
    <d v="2023-01-31T00:00:00"/>
    <n v="400000"/>
    <m/>
    <n v="4"/>
    <s v="Férfi"/>
    <n v="400000"/>
    <s v="janotamas1979@gmail.com"/>
    <s v="Kovács Ildikó"/>
    <n v="9"/>
    <s v="Aktív"/>
    <n v="5"/>
    <n v="9"/>
    <s v="magyar"/>
    <m/>
  </r>
  <r>
    <s v="Szalai Kamilla Laura"/>
    <s v="DCV7EW"/>
    <s v="Aktív"/>
    <s v="osztatlan tanári [10 félév [angol nyelv és kultúra tanára; ének-zene tanár]]"/>
    <x v="0"/>
    <s v="osztatlan tanárképzés"/>
    <s v="TKK-OTAK-NOHU"/>
    <s v="Csorna"/>
    <s v="Győr-Moson-Sopron"/>
    <s v="Szalai Kamilla Laura"/>
    <s v="Magyarország"/>
    <d v="2000-03-01T00:00:00"/>
    <s v="T140920/FI80798"/>
    <x v="5"/>
    <s v="Állami ösztöndíjas"/>
    <s v="2018/19/1"/>
    <s v="Nappali"/>
    <n v="5"/>
    <n v="1"/>
    <s v="2021/22/2"/>
    <n v="10"/>
    <s v="76891161830"/>
    <n v="10"/>
    <x v="3"/>
    <s v="a központi eljárásban magyarországi képzésre"/>
    <n v="364"/>
    <m/>
    <m/>
    <s v="Felvétel"/>
    <d v="2018-09-01T00:00:00"/>
    <s v="310882271649"/>
    <s v="BDPK-SEK"/>
    <s v="Eke Norbertné"/>
    <d v="2018-07-25T00:00:00"/>
    <d v="2023-07-15T00:00:00"/>
    <n v="400000"/>
    <m/>
    <n v="7"/>
    <s v="Nő"/>
    <n v="400000"/>
    <s v="szalai.kamilla.laura@gmail.com"/>
    <s v="Szaszák Ibolya"/>
    <n v="8"/>
    <s v="Aktív"/>
    <n v="8"/>
    <n v="8"/>
    <s v="magyar"/>
    <m/>
  </r>
  <r>
    <s v="Sánta Szilvia"/>
    <s v="YZYSO4"/>
    <s v="Aktív"/>
    <s v="osztatlan tanári [10 félév [angol nyelv és kultúra tanára; magyartanár]]"/>
    <x v="0"/>
    <s v="osztatlan tanárképzés"/>
    <s v="TKK-OTAK-NOHU"/>
    <s v="Nagykanizsa"/>
    <s v="Zala"/>
    <s v="Sánta Szilvia"/>
    <s v="Magyarország"/>
    <d v="1995-08-25T00:00:00"/>
    <s v="T151689/FI80798"/>
    <x v="5"/>
    <s v="Állami ösztöndíjas"/>
    <s v="2019/20/1"/>
    <s v="Nappali"/>
    <n v="3"/>
    <n v="1"/>
    <s v="2021/22/2"/>
    <n v="10"/>
    <s v="76434675600"/>
    <n v="10"/>
    <x v="3"/>
    <m/>
    <m/>
    <m/>
    <m/>
    <s v="Képzésváltás intézményen belül"/>
    <d v="2021-09-02T00:00:00"/>
    <m/>
    <s v="BDPK-SEK"/>
    <s v="Eke Norbertné"/>
    <d v="2019-07-24T00:00:00"/>
    <d v="2024-07-15T00:00:00"/>
    <n v="500000"/>
    <m/>
    <n v="1"/>
    <s v="Nő"/>
    <n v="500000"/>
    <s v="sszilvia0825@gmail.com"/>
    <s v="Kiskó Mária"/>
    <n v="2"/>
    <s v="Aktív"/>
    <n v="2"/>
    <n v="6"/>
    <s v="magyar"/>
    <m/>
  </r>
  <r>
    <s v="Petkó Ágnes Mirtill"/>
    <s v="HY95CF"/>
    <s v="Aktív"/>
    <s v="osztatlan tanári [10 félév [angol nyelv és kultúra tanára; magyartanár]]"/>
    <x v="0"/>
    <s v="osztatlan tanárképzés"/>
    <s v="TKK-OTAK-NOHU"/>
    <s v="Szombathely"/>
    <s v="Vas"/>
    <s v="Petkó Ágnes Mirtill"/>
    <s v="Magyarország"/>
    <d v="1999-05-05T00:00:00"/>
    <s v="T147406/FI80798"/>
    <x v="5"/>
    <s v="Állami ösztöndíjas"/>
    <s v="2019/20/1"/>
    <s v="Nappali"/>
    <n v="7"/>
    <n v="1"/>
    <s v="2021/22/2"/>
    <n v="10"/>
    <s v="76197803682"/>
    <n v="10"/>
    <x v="3"/>
    <s v="a központi eljárásban magyarországi képzésre"/>
    <n v="380"/>
    <m/>
    <m/>
    <s v="Felvétel"/>
    <d v="2019-09-01T00:00:00"/>
    <s v="310982368170"/>
    <s v="BDPK-SEK"/>
    <s v="Eke Norbertné"/>
    <d v="2019-07-24T00:00:00"/>
    <d v="2024-06-30T00:00:00"/>
    <n v="500000"/>
    <m/>
    <n v="5"/>
    <s v="Nő"/>
    <n v="500000"/>
    <s v="petkoagnes@gmail.hu"/>
    <s v="Borsics Orsolya"/>
    <n v="6"/>
    <s v="Aktív"/>
    <n v="6"/>
    <n v="6"/>
    <s v="magyar"/>
    <m/>
  </r>
  <r>
    <s v="Veisz Helga"/>
    <s v="WU09IP"/>
    <s v="Aktív"/>
    <s v="osztatlan tanári [10 félév [angol nyelv és kultúra tanára; matematikatanár]]"/>
    <x v="0"/>
    <s v="osztatlan tanárképzés"/>
    <s v="TKK-OTAK-NOHU"/>
    <s v="Tatabánya"/>
    <s v="Komárom-Esztergom"/>
    <s v="Veisz Helga"/>
    <s v="Magyarország"/>
    <d v="2000-02-22T00:00:00"/>
    <s v="T142164/FI80798"/>
    <x v="5"/>
    <s v="Állami ösztöndíjas"/>
    <s v="2018/19/1"/>
    <s v="Nappali"/>
    <n v="7"/>
    <n v="1"/>
    <s v="2021/22/2"/>
    <n v="10"/>
    <s v="76909340328"/>
    <n v="10"/>
    <x v="3"/>
    <m/>
    <m/>
    <m/>
    <m/>
    <s v="Képzésváltás intézményen belül"/>
    <d v="2021-02-01T00:00:00"/>
    <m/>
    <s v="BDPK-SEK"/>
    <s v="Eke Norbertné"/>
    <d v="2018-07-25T00:00:00"/>
    <d v="2023-07-15T00:00:00"/>
    <m/>
    <m/>
    <n v="2"/>
    <s v="Nő"/>
    <n v="300000"/>
    <s v="veiszhelga222@gmail.com"/>
    <s v="Karsai Anikó"/>
    <n v="3"/>
    <s v="Aktív"/>
    <n v="3"/>
    <n v="8"/>
    <s v="magyar"/>
    <m/>
  </r>
  <r>
    <s v="Frank Petra"/>
    <s v="P9FDZD"/>
    <s v="Passzív"/>
    <s v="osztatlan tanári [10 félév [angol nyelv és kultúra tanára; német nyelv és kultúra tanára]]"/>
    <x v="0"/>
    <s v="osztatlan tanárképzés"/>
    <s v="TKK-OTAK-NOHU"/>
    <s v="Szombathely"/>
    <s v="Vas"/>
    <s v="Frank Petra"/>
    <s v="Magyarország"/>
    <d v="1997-02-19T00:00:00"/>
    <s v="T179573/FI80798"/>
    <x v="5"/>
    <s v="Állami ösztöndíjas"/>
    <s v="2021/22/1"/>
    <s v="Nappali"/>
    <n v="6"/>
    <n v="1"/>
    <s v="2021/22/1"/>
    <n v="10"/>
    <s v="74016573223"/>
    <n v="10"/>
    <x v="3"/>
    <s v="a központi eljárásban magyarországi képzésre"/>
    <n v="394"/>
    <m/>
    <m/>
    <s v="Felvétel"/>
    <d v="2021-09-01T00:00:00"/>
    <s v="310814899293"/>
    <s v="BDPK-SEK"/>
    <s v="Eke Norbertné"/>
    <d v="2021-07-23T00:00:00"/>
    <d v="2027-07-15T00:00:00"/>
    <n v="500000"/>
    <m/>
    <n v="1"/>
    <s v="Nő"/>
    <n v="500000"/>
    <s v="petra.frank0219@gmail.com"/>
    <s v="Tóth Mónika"/>
    <n v="1"/>
    <s v="Passzív"/>
    <n v="1"/>
    <n v="1"/>
    <s v="magyar"/>
    <m/>
  </r>
  <r>
    <s v="Gyöngyösi Judit"/>
    <s v="RRHRR3"/>
    <s v="Aktív"/>
    <s v="osztatlan tanári [10 félév [angol nyelv és kultúra tanára; rajz- és vizuáliskultúra-tanár]]"/>
    <x v="0"/>
    <s v="osztatlan tanárképzés"/>
    <s v="TKK-OTAK-NOHU"/>
    <s v="Sopron"/>
    <s v="Győr-Moson-Sopron"/>
    <s v="Gyöngyösi Judit"/>
    <s v="Magyarország"/>
    <d v="1998-07-08T00:00:00"/>
    <s v="T135644/FI80798"/>
    <x v="5"/>
    <s v="Állami ösztöndíjas"/>
    <s v="2018/19/1"/>
    <s v="Nappali"/>
    <n v="5"/>
    <n v="1"/>
    <s v="2021/22/2"/>
    <n v="10"/>
    <s v="75401067190"/>
    <n v="10"/>
    <x v="3"/>
    <s v="a központi eljárásban magyarországi képzésre"/>
    <n v="440"/>
    <m/>
    <m/>
    <s v="Felvétel"/>
    <d v="2018-09-01T00:00:00"/>
    <s v="310882165940"/>
    <s v="BDPK-SEK"/>
    <s v="Eke Norbertné"/>
    <d v="2018-07-25T00:00:00"/>
    <d v="2023-07-15T00:00:00"/>
    <n v="400000"/>
    <m/>
    <n v="7"/>
    <s v="Nő"/>
    <n v="400000"/>
    <s v="6611249@gmail.com"/>
    <s v="Jámbor Magdolna"/>
    <n v="8"/>
    <s v="Aktív"/>
    <n v="8"/>
    <n v="8"/>
    <s v="magyar"/>
    <m/>
  </r>
  <r>
    <s v="Zrinszki Emese"/>
    <s v="AV0P5V"/>
    <s v="Aktív"/>
    <s v="osztatlan tanári [10 félév [angol nyelv és kultúra tanára; rajz- és vizuáliskultúra-tanár]]"/>
    <x v="0"/>
    <s v="osztatlan tanárképzés"/>
    <s v="TKK-OTAK-NOHU"/>
    <s v="Szombathely"/>
    <s v="Vas"/>
    <s v="Zrinszki Emese"/>
    <s v="Magyarország"/>
    <d v="2003-03-12T00:00:00"/>
    <s v="T181566/FI80798"/>
    <x v="5"/>
    <s v="Állami ösztöndíjas"/>
    <s v="2021/22/1"/>
    <s v="Nappali"/>
    <n v="11"/>
    <n v="1"/>
    <s v="2021/22/2"/>
    <n v="10"/>
    <s v="72164203285"/>
    <n v="10"/>
    <x v="3"/>
    <s v="a központi eljárásban magyarországi képzésre"/>
    <n v="360"/>
    <m/>
    <m/>
    <s v="Felvétel"/>
    <d v="2021-09-01T00:00:00"/>
    <s v="310814956747"/>
    <s v="BDPK-SEK"/>
    <s v="Eke Norbertné"/>
    <d v="2021-07-23T00:00:00"/>
    <d v="2026-07-15T00:00:00"/>
    <n v="500000"/>
    <m/>
    <n v="1"/>
    <s v="Nő"/>
    <n v="500000"/>
    <s v="zrinszki.emese2003@gmail.com"/>
    <s v="Boros Mária"/>
    <n v="2"/>
    <s v="Aktív"/>
    <n v="2"/>
    <n v="2"/>
    <s v="magyar"/>
    <m/>
  </r>
  <r>
    <s v="Rosta Edina"/>
    <s v="II8RCA"/>
    <s v="Aktív"/>
    <s v="osztatlan tanári [10 félév [angol nyelv és kultúra tanára; történelemtanár és állampolgári ismeretek tanára]]"/>
    <x v="0"/>
    <s v="osztatlan tanárképzés"/>
    <s v="TKK-OTAK-NOHU"/>
    <s v="Tapolca"/>
    <s v="Veszprém"/>
    <s v="Rosta Edina"/>
    <s v="Magyarország"/>
    <d v="1998-08-25T00:00:00"/>
    <s v="T137141/FI80798"/>
    <x v="5"/>
    <s v="Állami ösztöndíjas"/>
    <s v="2018/19/1"/>
    <s v="Nappali"/>
    <n v="5"/>
    <n v="1"/>
    <s v="2021/22/2"/>
    <n v="10"/>
    <s v="76840015535"/>
    <n v="10"/>
    <x v="3"/>
    <s v="a központi eljárásban magyarországi képzésre"/>
    <n v="420"/>
    <m/>
    <m/>
    <s v="Felvétel"/>
    <d v="2018-09-01T00:00:00"/>
    <s v="310882135505"/>
    <s v="BDPK-SEK"/>
    <s v="Eke Norbertné"/>
    <d v="2018-07-25T00:00:00"/>
    <d v="2023-07-15T00:00:00"/>
    <n v="400000"/>
    <m/>
    <n v="7"/>
    <s v="Nő"/>
    <n v="400000"/>
    <s v="rosta.edina98@gmail.com"/>
    <s v="Györkös Andrea"/>
    <n v="8"/>
    <s v="Aktív"/>
    <n v="8"/>
    <n v="8"/>
    <s v="magyar"/>
    <m/>
  </r>
  <r>
    <s v="Rátz Dániel Ottó"/>
    <s v="FCKKM6"/>
    <s v="Aktív"/>
    <s v="osztatlan tanári [10 félév [angol nyelv és kultúra tanára; történelemtanár és állampolgári ismeretek tanára]]"/>
    <x v="0"/>
    <s v="osztatlan tanárképzés"/>
    <s v="TKK-OTAK-NOHU"/>
    <s v="Ajka"/>
    <s v="Veszprém"/>
    <s v="Rátz Dániel Ottó"/>
    <s v="Magyarország"/>
    <d v="2000-05-24T00:00:00"/>
    <s v="T136070/FI80798"/>
    <x v="5"/>
    <s v="Állami ösztöndíjas"/>
    <s v="2018/19/1"/>
    <s v="Nappali"/>
    <n v="5"/>
    <n v="1"/>
    <s v="2021/22/2"/>
    <n v="10"/>
    <s v="78594017587"/>
    <n v="10"/>
    <x v="3"/>
    <m/>
    <m/>
    <m/>
    <m/>
    <s v="Képzésváltás intézményen belül"/>
    <d v="2019-09-01T00:00:00"/>
    <m/>
    <s v="BDPK-SEK"/>
    <s v="Eke Norbertné"/>
    <d v="2018-07-25T00:00:00"/>
    <d v="2023-06-30T00:00:00"/>
    <n v="500000"/>
    <m/>
    <n v="5"/>
    <s v="Férfi"/>
    <n v="500000"/>
    <s v="ratzdanielotto@gmail.com"/>
    <s v="Gosztolya Ágota"/>
    <n v="6"/>
    <s v="Aktív"/>
    <n v="6"/>
    <n v="8"/>
    <s v="magyar"/>
    <m/>
  </r>
  <r>
    <s v="Füzi Katinka"/>
    <s v="Y5RX52"/>
    <s v="Passzív"/>
    <s v="osztatlan tanári [10 félév [biológiatanár (egészségtan); testnevelő tanár]]"/>
    <x v="1"/>
    <s v="osztatlan tanárképzés"/>
    <s v="TKK-OTAK-NOHU"/>
    <s v="Kapuvár"/>
    <s v="Győr-Moson-Sopron"/>
    <s v="Füzi Katinka"/>
    <s v="Magyarország"/>
    <d v="2002-11-14T00:00:00"/>
    <s v="T184520/FI80798"/>
    <x v="5"/>
    <s v="Állami ösztöndíjas"/>
    <s v="2021/22/1"/>
    <s v="Nappali"/>
    <n v="12"/>
    <n v="1"/>
    <s v="2021/22/1"/>
    <n v="10"/>
    <s v="71761010252"/>
    <n v="10"/>
    <x v="3"/>
    <s v="a központi eljárásban magyarországi képzésre"/>
    <n v="370"/>
    <m/>
    <m/>
    <s v="Felvétel"/>
    <d v="2021-09-01T00:00:00"/>
    <s v="310814911213"/>
    <s v="BDPK-SEK"/>
    <s v="Eke Norbertné"/>
    <d v="2021-07-23T00:00:00"/>
    <d v="2027-07-15T00:00:00"/>
    <n v="500000"/>
    <m/>
    <n v="1"/>
    <s v="Nő"/>
    <n v="500000"/>
    <s v="katinkafuzi@gmail.com"/>
    <s v="Kiss Katalin"/>
    <n v="1"/>
    <s v="Passzív"/>
    <n v="1"/>
    <n v="1"/>
    <s v="magyar"/>
    <m/>
  </r>
  <r>
    <s v="Lysewycz Adrienn"/>
    <s v="FRKXMG"/>
    <s v="Aktív"/>
    <s v="osztatlan tanári [10 félév [biológiatanár (egészségtan); történelemtanár és állampolgári ismeretek tanára]]"/>
    <x v="1"/>
    <s v="osztatlan tanárképzés"/>
    <s v="TKK-OTAK-NOHU"/>
    <s v="Sárvár"/>
    <s v="Vas"/>
    <s v="Lysewycz Adrienn"/>
    <s v="Magyarország"/>
    <d v="2000-03-27T00:00:00"/>
    <s v="T136722/FI80798"/>
    <x v="5"/>
    <s v="Állami ösztöndíjas"/>
    <s v="2018/19/1"/>
    <s v="Nappali"/>
    <n v="5"/>
    <n v="1"/>
    <s v="2021/22/2"/>
    <n v="10"/>
    <s v="74873153345"/>
    <n v="10"/>
    <x v="3"/>
    <s v="a központi eljárásban magyarországi képzésre"/>
    <n v="403"/>
    <m/>
    <m/>
    <s v="Felvétel"/>
    <d v="2018-09-01T00:00:00"/>
    <s v="310882225074"/>
    <s v="BDPK-SEK"/>
    <s v="Eke Norbertné"/>
    <d v="2018-07-25T00:00:00"/>
    <d v="2023-07-15T00:00:00"/>
    <n v="400000"/>
    <m/>
    <n v="7"/>
    <s v="Nő"/>
    <n v="400000"/>
    <s v="lysewycz.adrienn@hotmail.com"/>
    <s v="Szakács Ágnes"/>
    <n v="8"/>
    <s v="Aktív"/>
    <n v="8"/>
    <n v="8"/>
    <s v="magyar"/>
    <m/>
  </r>
  <r>
    <s v="Törőcsik Viktória"/>
    <s v="WGNCIO"/>
    <s v="Passzív"/>
    <s v="osztatlan tanári [10 félév [ének-zene tanár; rajz- és vizuáliskultúra-tanár]]"/>
    <x v="6"/>
    <s v="osztatlan tanárképzés"/>
    <s v="TKK-OTAK-NOHU"/>
    <s v="Budapest"/>
    <s v="Budapest"/>
    <s v="Törőcsik Viktória"/>
    <s v="Magyarország"/>
    <d v="2002-04-09T00:00:00"/>
    <s v="T181533/FI80798"/>
    <x v="5"/>
    <s v="Állami ösztöndíjas"/>
    <s v="2021/22/1"/>
    <s v="Nappali"/>
    <n v="12"/>
    <n v="1"/>
    <s v="2021/22/1"/>
    <n v="10"/>
    <s v="71610713014"/>
    <n v="10"/>
    <x v="3"/>
    <s v="a központi eljárásban magyarországi képzésre"/>
    <n v="386"/>
    <m/>
    <m/>
    <s v="Felvétel"/>
    <d v="2021-09-01T00:00:00"/>
    <s v="310814749498"/>
    <s v="BDPK-SEK"/>
    <s v="Eke Norbertné"/>
    <d v="2021-07-23T00:00:00"/>
    <d v="2027-07-15T00:00:00"/>
    <n v="500000"/>
    <m/>
    <n v="1"/>
    <s v="Nő"/>
    <n v="500000"/>
    <s v="vikitorocsik@gmail.com"/>
    <s v="Májer Andrea"/>
    <n v="1"/>
    <s v="Passzív"/>
    <m/>
    <n v="1"/>
    <s v="magyar"/>
    <m/>
  </r>
  <r>
    <s v="Kocsis Patrik"/>
    <s v="J0H8HQ"/>
    <s v="Aktív"/>
    <s v="osztatlan tanári [10 félév [földrajztanár; testnevelő tanár]]"/>
    <x v="12"/>
    <s v="osztatlan tanárképzés"/>
    <s v="TKK-OTAK-NOHU"/>
    <s v="Keszthely"/>
    <s v="Zala"/>
    <s v="Kocsis Patrik"/>
    <s v="Magyarország"/>
    <d v="1998-04-09T00:00:00"/>
    <s v="T013766/FI21120/B"/>
    <x v="5"/>
    <s v="Állami ösztöndíjas (képzési időn túli)"/>
    <s v="2016/17/1"/>
    <s v="Nappali"/>
    <n v="1"/>
    <n v="1"/>
    <s v="2021/22/2"/>
    <n v="10"/>
    <s v="71585461487"/>
    <n v="10"/>
    <x v="3"/>
    <m/>
    <m/>
    <m/>
    <m/>
    <s v="Képzésváltás intézményen belül"/>
    <d v="2017-09-15T00:00:00"/>
    <m/>
    <s v="BDPK-SEK"/>
    <s v="Eke Norbertné"/>
    <d v="2016-07-26T00:00:00"/>
    <d v="2022-07-15T00:00:00"/>
    <n v="400000"/>
    <m/>
    <n v="10"/>
    <s v="Férfi"/>
    <n v="400000"/>
    <s v="patyik98@gmail.com"/>
    <s v="Hosszu Ibolya"/>
    <n v="10"/>
    <s v="Aktív"/>
    <n v="10"/>
    <n v="12"/>
    <s v="magyar"/>
    <m/>
  </r>
  <r>
    <s v="Wilhelm Kristóf"/>
    <s v="EF5P42"/>
    <s v="Aktív"/>
    <s v="osztatlan tanári [10 félév [földrajztanár; történelemtanár és állampolgári ismeretek tanára]]"/>
    <x v="12"/>
    <s v="osztatlan tanárképzés"/>
    <s v="TKK-OTAK-NOHU"/>
    <s v="Budapest"/>
    <s v="Budapest"/>
    <s v="Wilhelm Kristóf"/>
    <s v="Magyarország"/>
    <d v="2001-01-30T00:00:00"/>
    <s v="T186369/FI80798"/>
    <x v="5"/>
    <s v="Állami ösztöndíjas"/>
    <s v="2021/22/1"/>
    <s v="Nappali"/>
    <n v="11"/>
    <n v="1"/>
    <s v="2021/22/2"/>
    <n v="10"/>
    <s v="71607735136"/>
    <n v="10"/>
    <x v="3"/>
    <s v="a központi eljárásban magyarországi képzésre"/>
    <n v="412"/>
    <m/>
    <m/>
    <s v="Felvétel"/>
    <d v="2021-09-01T00:00:00"/>
    <s v="310814736610"/>
    <s v="BDPK-SEK"/>
    <s v="Eke Norbertné"/>
    <d v="2021-07-23T00:00:00"/>
    <d v="2026-07-15T00:00:00"/>
    <n v="500000"/>
    <m/>
    <n v="1"/>
    <s v="Férfi"/>
    <n v="500000"/>
    <s v="wilhelmkristof2001@gmail.com"/>
    <s v="Molnár Tímea"/>
    <n v="2"/>
    <s v="Aktív"/>
    <n v="2"/>
    <n v="2"/>
    <s v="magyar"/>
    <m/>
  </r>
  <r>
    <s v="Horváth Nóra"/>
    <s v="CXJQTN"/>
    <s v="Aktív"/>
    <s v="osztatlan tanári [10 félév [magyartanár; ének-zene tanár]]"/>
    <x v="14"/>
    <s v="osztatlan tanárképzés"/>
    <s v="TKK-OTAK-NOHU"/>
    <s v="Budapest"/>
    <s v="Budapest"/>
    <s v="Horváth Nóra"/>
    <s v="Magyarország"/>
    <d v="1998-09-04T00:00:00"/>
    <s v="T152556/FI80798"/>
    <x v="5"/>
    <s v="Állami ösztöndíjas"/>
    <s v="2019/20/1"/>
    <s v="Nappali"/>
    <n v="5"/>
    <n v="1"/>
    <s v="2021/22/2"/>
    <n v="10"/>
    <s v="73455547607"/>
    <n v="10"/>
    <x v="3"/>
    <m/>
    <m/>
    <m/>
    <m/>
    <s v="Képzésváltás intézményen belül"/>
    <d v="2021-09-01T00:00:00"/>
    <m/>
    <s v="BDPK-SEK"/>
    <s v="Eke Norbertné"/>
    <d v="2019-07-24T00:00:00"/>
    <d v="2024-07-15T00:00:00"/>
    <n v="500000"/>
    <m/>
    <n v="1"/>
    <s v="Nő"/>
    <n v="500000"/>
    <s v="norika98@gmail.com"/>
    <s v="Turi Anikó"/>
    <n v="2"/>
    <s v="Aktív"/>
    <n v="2"/>
    <n v="6"/>
    <s v="magyar"/>
    <m/>
  </r>
  <r>
    <s v="Németh Liliána"/>
    <s v="CJ9TUE"/>
    <s v="Aktív"/>
    <s v="osztatlan tanári [10 félév [magyartanár; német nyelv és kultúra tanára]]"/>
    <x v="14"/>
    <s v="osztatlan tanárképzés"/>
    <s v="TKK-OTAK-NOHU"/>
    <s v="Budapest"/>
    <s v="Budapest"/>
    <s v="Németh Liliána"/>
    <s v="Magyarország"/>
    <d v="2002-11-06T00:00:00"/>
    <s v="T188281/FI80798"/>
    <x v="5"/>
    <s v="Állami ösztöndíjas"/>
    <s v="2021/22/1"/>
    <s v="Nappali"/>
    <n v="11"/>
    <n v="1"/>
    <s v="2021/22/2"/>
    <n v="10"/>
    <s v="71769083335"/>
    <n v="10"/>
    <x v="3"/>
    <s v="a központi eljárásban magyarországi képzésre"/>
    <n v="457"/>
    <m/>
    <m/>
    <s v="Felvétel"/>
    <d v="2021-09-01T00:00:00"/>
    <s v="310814213321"/>
    <s v="BDPK-SEK"/>
    <s v="Eke Norbertné"/>
    <d v="2021-07-23T00:00:00"/>
    <d v="2026-07-15T00:00:00"/>
    <n v="500000"/>
    <m/>
    <n v="1"/>
    <s v="Nő"/>
    <n v="500000"/>
    <s v="nemethlilivokvok.2002@gmail.com"/>
    <s v="Kasztner Andrea"/>
    <n v="2"/>
    <s v="Aktív"/>
    <n v="2"/>
    <n v="2"/>
    <s v="magyar"/>
    <m/>
  </r>
  <r>
    <s v="Antal Daniella Éva"/>
    <s v="I16GK4"/>
    <s v="Aktív"/>
    <s v="osztatlan tanári [10 félév [magyartanár; rajz- és vizuáliskultúra-tanár]]"/>
    <x v="14"/>
    <s v="osztatlan tanárképzés"/>
    <s v="TKK-OTAK-NOHU"/>
    <s v="Celldömölk"/>
    <s v="Vas"/>
    <s v="Antal Daniella Éva"/>
    <s v="Magyarország"/>
    <d v="1999-01-23T00:00:00"/>
    <s v="T143332/FI80798"/>
    <x v="5"/>
    <s v="Állami ösztöndíjas"/>
    <s v="2018/19/1"/>
    <s v="Nappali"/>
    <n v="5"/>
    <n v="1"/>
    <s v="2021/22/2"/>
    <n v="10"/>
    <s v="77439884801"/>
    <n v="10"/>
    <x v="3"/>
    <s v="a központi eljárásban magyarországi képzésre"/>
    <n v="364"/>
    <m/>
    <m/>
    <s v="Felvétel"/>
    <d v="2018-09-01T00:00:00"/>
    <s v="310882725719"/>
    <s v="BDPK-SEK"/>
    <s v="Eke Norbertné"/>
    <d v="2018-07-25T00:00:00"/>
    <d v="2023-07-15T00:00:00"/>
    <n v="400000"/>
    <m/>
    <n v="7"/>
    <s v="Nő"/>
    <n v="400000"/>
    <s v="antal.deni@gmail.com"/>
    <s v="Pethő Georgina Éva"/>
    <n v="8"/>
    <s v="Aktív"/>
    <n v="8"/>
    <n v="8"/>
    <s v="magyar"/>
    <m/>
  </r>
  <r>
    <s v="Rumi Réka"/>
    <s v="CXV36U"/>
    <s v="Aktív"/>
    <s v="osztatlan tanári [10 félév [magyartanár; természetismeret-környezettan tanár]]"/>
    <x v="14"/>
    <s v="osztatlan tanárképzés"/>
    <s v="TKK-OTAK-NOHU"/>
    <s v="Keszthely"/>
    <s v="Zala"/>
    <s v="Rumi Réka"/>
    <s v="Magyarország"/>
    <d v="2002-07-10T00:00:00"/>
    <s v="T182252/FI80798"/>
    <x v="5"/>
    <s v="Állami ösztöndíjas"/>
    <s v="2021/22/1"/>
    <s v="Nappali"/>
    <n v="11"/>
    <n v="1"/>
    <s v="2021/22/2"/>
    <n v="10"/>
    <s v="71761297827"/>
    <n v="10"/>
    <x v="3"/>
    <s v="a központi eljárásban magyarországi képzésre"/>
    <n v="340"/>
    <m/>
    <m/>
    <s v="Felvétel"/>
    <d v="2021-09-01T00:00:00"/>
    <s v="310814804137"/>
    <s v="BDPK-SEK"/>
    <s v="Eke Norbertné"/>
    <d v="2021-07-23T00:00:00"/>
    <d v="2026-07-15T00:00:00"/>
    <n v="500000"/>
    <m/>
    <n v="1"/>
    <s v="Nő"/>
    <n v="500000"/>
    <s v="rumireka1@gmail.com"/>
    <s v="Czotter Rita"/>
    <n v="2"/>
    <s v="Aktív"/>
    <n v="2"/>
    <n v="2"/>
    <s v="magyar"/>
    <m/>
  </r>
  <r>
    <s v="Zoltán Péter"/>
    <s v="L71OJZ"/>
    <s v="Passzív"/>
    <s v="osztatlan tanári [10 félév [magyartanár; történelemtanár és állampolgári ismeretek tanára]]"/>
    <x v="14"/>
    <s v="osztatlan tanárképzés"/>
    <s v="TKK-OTAK-LOHU"/>
    <s v="Nagykanizsa"/>
    <s v="Zala"/>
    <s v="Zoltán Péter"/>
    <s v="Magyarország"/>
    <d v="1984-06-07T00:00:00"/>
    <s v="T126869/FI80798"/>
    <x v="5"/>
    <s v="Állami ösztöndíjas"/>
    <s v="2017/18/1"/>
    <s v="Levelező"/>
    <n v="7"/>
    <n v="1"/>
    <s v="2020/21/2"/>
    <n v="10"/>
    <s v="78667578155"/>
    <n v="10"/>
    <x v="3"/>
    <s v="a központi eljárásban magyarországi képzésre"/>
    <n v="368"/>
    <m/>
    <m/>
    <s v="Felvétel"/>
    <d v="2017-09-01T00:00:00"/>
    <s v="310782409950"/>
    <s v="BDPK-SEK"/>
    <s v="Eke Norbertné"/>
    <d v="2017-07-27T00:00:00"/>
    <d v="2024-07-15T00:00:00"/>
    <n v="400000"/>
    <m/>
    <n v="6"/>
    <s v="Férfi"/>
    <n v="400000"/>
    <s v="petizoltan@freemail.hu"/>
    <s v="Nagy Mária"/>
    <n v="6"/>
    <s v="Passzív"/>
    <m/>
    <n v="6"/>
    <s v="magyar"/>
    <m/>
  </r>
  <r>
    <s v="Horváth Zsolt"/>
    <s v="F3IFMG"/>
    <s v="Aktív"/>
    <s v="osztatlan tanári [10 félév [magyartanár; történelemtanár és állampolgári ismeretek tanára]]"/>
    <x v="14"/>
    <s v="osztatlan tanárképzés"/>
    <s v="TKK-OTAK-NOHU"/>
    <s v="Szombathely"/>
    <s v="Vas"/>
    <s v="Horváth Zsolt"/>
    <s v="Magyarország"/>
    <d v="1999-11-29T00:00:00"/>
    <s v="T134573/FI80798"/>
    <x v="5"/>
    <s v="Állami ösztöndíjas"/>
    <s v="2018/19/1"/>
    <s v="Nappali"/>
    <n v="7"/>
    <n v="1"/>
    <s v="2021/22/2"/>
    <n v="10"/>
    <s v="71789236807"/>
    <n v="10"/>
    <x v="3"/>
    <m/>
    <m/>
    <m/>
    <m/>
    <s v="Képzésváltás intézményen belül"/>
    <d v="2021-02-03T00:00:00"/>
    <m/>
    <s v="BDPK-SEK"/>
    <s v="Eke Norbertné"/>
    <d v="2018-07-25T00:00:00"/>
    <d v="2023-07-15T00:00:00"/>
    <m/>
    <m/>
    <n v="2"/>
    <s v="Férfi"/>
    <n v="300000"/>
    <s v="horvath.zsolt.9700@gmail.com"/>
    <s v="Szalai Bernadett"/>
    <n v="3"/>
    <s v="Aktív"/>
    <n v="3"/>
    <n v="8"/>
    <s v="magyar"/>
    <m/>
  </r>
  <r>
    <s v="Derdák Dominik"/>
    <s v="GPOYOI"/>
    <s v="Aktív"/>
    <s v="osztatlan tanári [10 félév [magyartanár; történelemtanár és állampolgári ismeretek tanára]]"/>
    <x v="14"/>
    <s v="osztatlan tanárképzés"/>
    <s v="TKK-OTAK-NOHU"/>
    <s v="Szombathely"/>
    <s v="Vas"/>
    <s v="Derdák Dominik"/>
    <s v="Magyarország"/>
    <d v="2001-05-29T00:00:00"/>
    <s v="T163477/FI80798"/>
    <x v="5"/>
    <s v="Állami ösztöndíjas"/>
    <s v="2020/21/1"/>
    <s v="Nappali"/>
    <n v="11"/>
    <n v="1"/>
    <s v="2021/22/2"/>
    <n v="10"/>
    <s v="71466275379"/>
    <n v="10"/>
    <x v="3"/>
    <s v="a központi eljárásban magyarországi képzésre"/>
    <n v="336"/>
    <m/>
    <m/>
    <s v="Felvétel"/>
    <d v="2020-09-01T00:00:00"/>
    <s v="310804066366"/>
    <s v="BDPK-SEK"/>
    <s v="Eke Norbertné"/>
    <d v="2020-07-23T00:00:00"/>
    <d v="2025-07-15T00:00:00"/>
    <n v="500000"/>
    <m/>
    <n v="1"/>
    <s v="Férfi"/>
    <n v="500000"/>
    <s v="derdakdomi29@gmail.com"/>
    <s v="Toronyai Katalin"/>
    <n v="4"/>
    <s v="Aktív"/>
    <n v="2"/>
    <n v="4"/>
    <s v="magyar"/>
    <m/>
  </r>
  <r>
    <s v="Babócs Fanni"/>
    <s v="FEWEBO"/>
    <s v="Aktív"/>
    <s v="osztatlan tanári [10 félév [magyartanár; történelemtanár és állampolgári ismeretek tanára]]"/>
    <x v="14"/>
    <s v="osztatlan tanárképzés"/>
    <s v="TKK-OTAK-NOHU"/>
    <s v="Körmend"/>
    <s v="Vas"/>
    <s v="Babócs Fanni"/>
    <s v="Magyarország"/>
    <d v="2001-11-14T00:00:00"/>
    <s v="T165976/FI80798"/>
    <x v="5"/>
    <s v="Állami ösztöndíjas"/>
    <s v="2020/21/1"/>
    <s v="Nappali"/>
    <n v="9"/>
    <n v="1"/>
    <s v="2021/22/2"/>
    <n v="10"/>
    <s v="71588369797"/>
    <n v="10"/>
    <x v="3"/>
    <s v="a központi eljárásban magyarországi képzésre"/>
    <n v="369"/>
    <m/>
    <m/>
    <s v="Felvétel"/>
    <d v="2020-09-01T00:00:00"/>
    <s v="310804219809"/>
    <s v="BDPK-SEK"/>
    <s v="Eke Norbertné"/>
    <d v="2020-07-23T00:00:00"/>
    <d v="2025-07-15T00:00:00"/>
    <n v="500000"/>
    <m/>
    <n v="3"/>
    <s v="Nő"/>
    <n v="500000"/>
    <s v="b.fanni20011114@gmail.com"/>
    <s v="Monek Anita"/>
    <n v="4"/>
    <s v="Aktív"/>
    <n v="4"/>
    <n v="4"/>
    <s v="magyar"/>
    <m/>
  </r>
  <r>
    <s v="Musits Adrián Márk"/>
    <s v="PH7H6C"/>
    <s v="Aktív"/>
    <s v="osztatlan tanári [10 félév [magyartanár; történelemtanár és állampolgári ismeretek tanára]]"/>
    <x v="14"/>
    <s v="osztatlan tanárképzés"/>
    <s v="TKK-OTAK-NOHU"/>
    <s v="Körmend"/>
    <s v="Vas"/>
    <s v="Musits Adrián Márk"/>
    <s v="Magyarország"/>
    <d v="2001-11-08T00:00:00"/>
    <s v="T180783/FI80798"/>
    <x v="5"/>
    <s v="Állami ösztöndíjas"/>
    <s v="2021/22/1"/>
    <s v="Nappali"/>
    <n v="11"/>
    <n v="1"/>
    <s v="2021/22/2"/>
    <n v="10"/>
    <s v="71590293838"/>
    <n v="10"/>
    <x v="3"/>
    <s v="a központi eljárásban magyarországi képzésre"/>
    <n v="363"/>
    <m/>
    <m/>
    <s v="Felvétel"/>
    <d v="2021-09-01T00:00:00"/>
    <s v="310814290014"/>
    <s v="BDPK-SEK"/>
    <s v="Eke Norbertné"/>
    <d v="2021-07-23T00:00:00"/>
    <d v="2026-07-15T00:00:00"/>
    <n v="500000"/>
    <m/>
    <n v="1"/>
    <s v="Férfi"/>
    <n v="500000"/>
    <s v="musits.adrianmark@gmail.com"/>
    <s v="Kiss Magdolna"/>
    <n v="2"/>
    <s v="Aktív"/>
    <n v="2"/>
    <n v="2"/>
    <s v="magyar"/>
    <m/>
  </r>
  <r>
    <s v="Fodor Ármin"/>
    <s v="SU04S8"/>
    <s v="Aktív"/>
    <s v="osztatlan tanári [10 félév [magyartanár; történelemtanár és állampolgári ismeretek tanára]]"/>
    <x v="14"/>
    <s v="osztatlan tanárképzés"/>
    <s v="TKK-OTAK-NOHU"/>
    <s v="Szombathely"/>
    <s v="Vas"/>
    <s v="Fodor Ármin"/>
    <s v="Magyarország"/>
    <d v="2001-12-26T00:00:00"/>
    <s v="T184887/FI80798"/>
    <x v="5"/>
    <s v="Állami ösztöndíjas"/>
    <s v="2021/22/1"/>
    <s v="Nappali"/>
    <n v="11"/>
    <n v="1"/>
    <s v="2021/22/2"/>
    <n v="10"/>
    <s v="71768961969"/>
    <n v="10"/>
    <x v="3"/>
    <s v="a központi eljárásban magyarországi képzésre"/>
    <n v="347"/>
    <m/>
    <m/>
    <s v="Felvétel"/>
    <d v="2021-09-01T00:00:00"/>
    <s v="310814532118"/>
    <s v="BDPK-SEK"/>
    <s v="Eke Norbertné"/>
    <d v="2021-07-23T00:00:00"/>
    <d v="2026-07-15T00:00:00"/>
    <n v="500000"/>
    <m/>
    <n v="1"/>
    <s v="Férfi"/>
    <n v="500000"/>
    <s v="arminfodor032@gmail.com"/>
    <s v="Nagy Erika"/>
    <n v="2"/>
    <s v="Aktív"/>
    <n v="2"/>
    <n v="2"/>
    <s v="magyar"/>
    <m/>
  </r>
  <r>
    <s v="Srej Brigitta"/>
    <s v="GSWKS7"/>
    <s v="Aktív"/>
    <s v="osztatlan tanári [10 félév [matematikatanár; német nyelv és kultúra tanára]]"/>
    <x v="7"/>
    <s v="osztatlan tanárképzés"/>
    <s v="TKK-OTAK-NOHU"/>
    <s v="Zalaegerszeg"/>
    <s v="Zala"/>
    <s v="Srej Brigitta"/>
    <s v="Magyarország"/>
    <d v="2002-03-02T00:00:00"/>
    <s v="T186734/FI80798"/>
    <x v="5"/>
    <s v="Állami ösztöndíjas"/>
    <s v="2021/22/1"/>
    <s v="Nappali"/>
    <n v="11"/>
    <n v="1"/>
    <s v="2021/22/2"/>
    <n v="10"/>
    <s v="71467290520"/>
    <n v="10"/>
    <x v="3"/>
    <s v="a központi eljárásban magyarországi képzésre"/>
    <n v="373"/>
    <m/>
    <m/>
    <s v="Felvétel"/>
    <d v="2021-09-01T00:00:00"/>
    <s v="310814977610"/>
    <s v="BDPK-SEK"/>
    <s v="Eke Norbertné"/>
    <d v="2021-07-23T00:00:00"/>
    <d v="2026-07-15T00:00:00"/>
    <n v="500000"/>
    <m/>
    <n v="1"/>
    <s v="Nő"/>
    <n v="500000"/>
    <s v="brigittasrej@gmail.com"/>
    <s v="Kiss Anita"/>
    <n v="2"/>
    <s v="Aktív"/>
    <n v="2"/>
    <n v="2"/>
    <s v="magyar"/>
    <m/>
  </r>
  <r>
    <s v="Kovács Petra"/>
    <s v="H00KWS"/>
    <s v="Aktív"/>
    <s v="osztatlan tanári [10 félév [matematikatanár; testnevelő tanár]]"/>
    <x v="7"/>
    <s v="osztatlan tanárképzés"/>
    <s v="TKK-OTAK-NOHU"/>
    <s v="Kecskemét"/>
    <s v="Bács-Kiskun"/>
    <s v="Kovács Petra"/>
    <s v="Magyarország"/>
    <d v="1998-10-13T00:00:00"/>
    <s v="T190708/FI80798"/>
    <x v="5"/>
    <s v="Állami ösztöndíjas"/>
    <s v="2021/22/1"/>
    <s v="Nappali"/>
    <n v="11"/>
    <n v="1"/>
    <s v="2021/22/2"/>
    <n v="10"/>
    <s v="72463685491"/>
    <n v="10"/>
    <x v="3"/>
    <s v="a központi eljárásban magyarországi képzésre"/>
    <n v="324"/>
    <m/>
    <m/>
    <s v="Felvétel"/>
    <d v="2021-09-01T00:00:00"/>
    <s v="310814887165"/>
    <s v="BDPK-SEK"/>
    <s v="Eke Norbertné"/>
    <d v="2021-07-23T00:00:00"/>
    <d v="2027-01-31T00:00:00"/>
    <n v="500000"/>
    <m/>
    <n v="1"/>
    <s v="Nő"/>
    <n v="500000"/>
    <s v="petra.kovacs1013@gmail.com"/>
    <s v="Friedrich Nikoletta Zsuzsa"/>
    <n v="2"/>
    <s v="Aktív"/>
    <n v="2"/>
    <n v="2"/>
    <s v="magyar"/>
    <m/>
  </r>
  <r>
    <s v="Bödőcsné Kiss Adrienn"/>
    <s v="A8V6XI"/>
    <s v="Passzív"/>
    <s v="osztatlan tanári [10 félév [matematikatanár; történelemtanár és állampolgári ismeretek tanára]]"/>
    <x v="7"/>
    <s v="osztatlan tanárképzés"/>
    <s v="TKK-OTAK-NOHU"/>
    <s v="Zalaegerszeg"/>
    <s v="Zala"/>
    <s v="Kiss Adrienn"/>
    <s v="Magyarország"/>
    <d v="1992-07-18T00:00:00"/>
    <s v="T149979/FI80798"/>
    <x v="5"/>
    <s v="Önköltséges"/>
    <s v="2019/20/1"/>
    <s v="Nappali"/>
    <n v="1"/>
    <n v="1"/>
    <s v="2020/21/2"/>
    <n v="10"/>
    <s v="78791668562"/>
    <n v="10"/>
    <x v="3"/>
    <s v="a központi eljárásban magyarországi képzésre"/>
    <n v="438"/>
    <m/>
    <m/>
    <s v="Felvétel"/>
    <d v="2019-09-01T00:00:00"/>
    <s v="310983095301"/>
    <s v="BDPK-SEK"/>
    <s v="Eke Norbertné"/>
    <d v="2019-07-24T00:00:00"/>
    <d v="2025-07-15T00:00:00"/>
    <n v="500000"/>
    <m/>
    <n v="4"/>
    <s v="Nő"/>
    <n v="500000"/>
    <s v="kiss.adrienn1992@gmail.com"/>
    <s v="Várkonyi Zsuzsanna Magdolna"/>
    <n v="5"/>
    <s v="Passzív"/>
    <n v="4"/>
    <n v="5"/>
    <s v="magyar"/>
    <n v="500000"/>
  </r>
  <r>
    <s v="Gremsberger Attila"/>
    <s v="DSUD9P"/>
    <s v="Aktív"/>
    <s v="osztatlan tanári [10 félév [testnevelő tanár; gyógytestnevelő-egészségfejlesztő tanár]]"/>
    <x v="8"/>
    <s v="osztatlan tanár"/>
    <s v="BDPK-SEK-SANO-OT-NOHU"/>
    <s v="Budapest"/>
    <s v="Budapest"/>
    <s v="Gremsberger Attila"/>
    <s v="Magyarország"/>
    <d v="1993-04-20T00:00:00"/>
    <s v="T013727/FI21120/B"/>
    <x v="5"/>
    <s v="Önköltséges"/>
    <s v="2016/17/1"/>
    <s v="Nappali"/>
    <n v="1"/>
    <n v="1"/>
    <s v="2020/21/2"/>
    <n v="10"/>
    <s v="77163647105"/>
    <n v="10"/>
    <x v="3"/>
    <s v="a központi eljárásban magyarországi képzésre"/>
    <n v="347"/>
    <m/>
    <m/>
    <s v="Felvétel"/>
    <d v="2016-09-01T00:00:00"/>
    <s v="310682369288"/>
    <s v="BDPK-SEK"/>
    <s v="Eke Norbertné"/>
    <d v="2016-07-26T00:00:00"/>
    <d v="2022-07-15T00:00:00"/>
    <n v="400000"/>
    <m/>
    <n v="10"/>
    <s v="Férfi"/>
    <n v="400000"/>
    <s v="attila.gremsberger@gmail.com"/>
    <s v="Sáfrán Szilvia"/>
    <n v="12"/>
    <s v="Aktív"/>
    <n v="10"/>
    <n v="12"/>
    <s v="magyar"/>
    <n v="400000"/>
  </r>
  <r>
    <s v="Tóth Ákos Attila"/>
    <s v="FSK590"/>
    <s v="Aktív"/>
    <s v="osztatlan tanári [10 félév [testnevelő tanár; gyógytestnevelő-egészségfejlesztő tanár]]"/>
    <x v="8"/>
    <s v="osztatlan tanárképzés"/>
    <s v="TKK-OTAK-NOHU"/>
    <s v="Veszprém"/>
    <s v="Veszprém"/>
    <s v="Tóth Ákos Attila"/>
    <s v="Magyarország"/>
    <d v="1995-04-20T00:00:00"/>
    <s v="T141098/FI80798"/>
    <x v="5"/>
    <s v="Állami ösztöndíjas"/>
    <s v="2018/19/1"/>
    <s v="Nappali"/>
    <n v="5"/>
    <n v="1"/>
    <s v="2021/22/2"/>
    <n v="10"/>
    <s v="72533290277"/>
    <n v="10"/>
    <x v="3"/>
    <s v="a központi eljárásban magyarországi képzésre"/>
    <n v="321"/>
    <m/>
    <m/>
    <s v="Felvétel"/>
    <d v="2018-09-01T00:00:00"/>
    <s v="310882527214"/>
    <s v="BDPK-SEK"/>
    <s v="Eke Norbertné"/>
    <d v="2018-07-25T00:00:00"/>
    <d v="2023-07-15T00:00:00"/>
    <n v="400000"/>
    <m/>
    <n v="7"/>
    <s v="Férfi"/>
    <n v="400000"/>
    <s v="toth9347@gmail.com"/>
    <s v="Madár Edina"/>
    <n v="8"/>
    <s v="Aktív"/>
    <n v="8"/>
    <n v="8"/>
    <s v="magyar"/>
    <m/>
  </r>
  <r>
    <s v="Németh Tifani"/>
    <s v="ZZG08A"/>
    <s v="Aktív"/>
    <s v="osztatlan tanári [10 félév [testnevelő tanár; gyógytestnevelő-egészségfejlesztő tanár]]"/>
    <x v="8"/>
    <s v="osztatlan tanárképzés"/>
    <s v="TKK-OTAK-NOHU"/>
    <s v="Sárvár"/>
    <s v="Vas"/>
    <s v="Németh Tifani"/>
    <s v="Magyarország"/>
    <d v="1998-12-10T00:00:00"/>
    <s v="T126202/FI80798"/>
    <x v="5"/>
    <s v="Állami ösztöndíjas"/>
    <s v="2017/18/1"/>
    <s v="Nappali"/>
    <n v="3"/>
    <n v="1"/>
    <s v="2021/22/2"/>
    <n v="10"/>
    <s v="73342080041"/>
    <n v="10"/>
    <x v="3"/>
    <s v="a központi eljárásban magyarországi képzésre"/>
    <n v="346"/>
    <m/>
    <m/>
    <s v="Felvétel"/>
    <d v="2017-09-01T00:00:00"/>
    <s v="310782494366"/>
    <s v="BDPK-SEK"/>
    <s v="Eke Norbertné"/>
    <d v="2017-07-27T00:00:00"/>
    <d v="2022-06-30T00:00:00"/>
    <n v="400000"/>
    <m/>
    <n v="9"/>
    <s v="Nő"/>
    <n v="400000"/>
    <s v="nemethtifani98@gmail.com"/>
    <s v="Lada Szilvia"/>
    <n v="10"/>
    <s v="Aktív"/>
    <n v="10"/>
    <n v="10"/>
    <s v="magyar"/>
    <m/>
  </r>
  <r>
    <s v="Kaszás Dóra"/>
    <s v="E2EYAG"/>
    <s v="Aktív"/>
    <s v="osztatlan tanári [10 félév [testnevelő tanár; gyógytestnevelő-egészségfejlesztő tanár]]"/>
    <x v="8"/>
    <s v="osztatlan tanárképzés"/>
    <s v="TKK-OTAK-NOHU"/>
    <s v="Keszthely"/>
    <s v="Zala"/>
    <s v="Kaszás Dóra"/>
    <s v="Magyarország"/>
    <d v="1998-09-27T00:00:00"/>
    <s v="T125755/FI80798"/>
    <x v="5"/>
    <s v="Állami ösztöndíjas"/>
    <s v="2019/20/1"/>
    <s v="Nappali"/>
    <n v="3"/>
    <n v="1"/>
    <s v="2021/22/2"/>
    <n v="10"/>
    <s v="77378538292"/>
    <n v="10"/>
    <x v="3"/>
    <s v="a központi eljárásban magyarországi képzésre"/>
    <n v="340"/>
    <m/>
    <m/>
    <s v="Felvétel"/>
    <d v="2019-09-01T00:00:00"/>
    <s v="310982475777"/>
    <s v="BDPK-SEK"/>
    <s v="Eke Norbertné"/>
    <d v="2019-07-24T00:00:00"/>
    <d v="2024-07-15T00:00:00"/>
    <n v="500000"/>
    <m/>
    <n v="6"/>
    <s v="Nő"/>
    <n v="500000"/>
    <s v="kishalal989@gmail.hu"/>
    <s v="Kaszás Judit"/>
    <n v="6"/>
    <s v="Aktív"/>
    <n v="6"/>
    <n v="6"/>
    <s v="magyar"/>
    <m/>
  </r>
  <r>
    <s v="Szabó Dóra Mónika"/>
    <s v="INC0JX"/>
    <s v="Aktív"/>
    <s v="osztatlan tanári [10 félév [testnevelő tanár; gyógytestnevelő-egészségfejlesztő tanár]]"/>
    <x v="8"/>
    <s v="osztatlan tanárképzés"/>
    <s v="TKK-OTAK-NOHU"/>
    <s v="Budapest"/>
    <s v="Budapest"/>
    <s v="Szabó Dóra Mónika"/>
    <s v="Magyarország"/>
    <d v="1998-01-27T00:00:00"/>
    <s v="T190637/FI80798"/>
    <x v="5"/>
    <s v="Állami ösztöndíjas"/>
    <s v="2021/22/1"/>
    <s v="Nappali"/>
    <n v="6"/>
    <n v="1"/>
    <s v="2021/22/2"/>
    <n v="10"/>
    <s v="79146507599"/>
    <n v="10"/>
    <x v="3"/>
    <s v="a központi eljárásban magyarországi képzésre"/>
    <n v="328"/>
    <m/>
    <m/>
    <s v="Felvétel"/>
    <d v="2021-09-01T00:00:00"/>
    <s v="310814606623"/>
    <s v="BDPK-SEK"/>
    <s v="Eke Norbertné"/>
    <d v="2021-07-23T00:00:00"/>
    <d v="2026-07-15T00:00:00"/>
    <n v="500000"/>
    <m/>
    <n v="1"/>
    <s v="Nő"/>
    <n v="500000"/>
    <s v="szabodorka98@gmail.com"/>
    <s v="Mester Mónika Erzsébet"/>
    <n v="2"/>
    <s v="Aktív"/>
    <n v="2"/>
    <n v="2"/>
    <s v="magyar"/>
    <m/>
  </r>
  <r>
    <s v="Kovács Ákos"/>
    <s v="OHR68Y"/>
    <s v="Aktív"/>
    <s v="osztatlan tanári [10 félév [testnevelő tanár; gyógytestnevelő-egészségfejlesztő tanár]]"/>
    <x v="8"/>
    <s v="osztatlan tanárképzés"/>
    <s v="TKK-OTAK-NOHU"/>
    <s v="Zirc"/>
    <s v="Veszprém"/>
    <s v="Kovács Ákos"/>
    <s v="Magyarország"/>
    <d v="1996-05-08T00:00:00"/>
    <s v="T138505/FI80798"/>
    <x v="5"/>
    <s v="Állami ösztöndíjas"/>
    <s v="2018/19/1"/>
    <s v="Nappali"/>
    <n v="7"/>
    <n v="1"/>
    <s v="2021/22/2"/>
    <n v="10"/>
    <s v="72714203612"/>
    <n v="10"/>
    <x v="3"/>
    <s v="a központi eljárásban magyarországi képzésre"/>
    <n v="282"/>
    <m/>
    <m/>
    <s v="Felvétel"/>
    <d v="2018-09-01T00:00:00"/>
    <s v="310882171831"/>
    <s v="BDPK-SEK"/>
    <s v="Eke Norbertné"/>
    <d v="2018-07-25T00:00:00"/>
    <d v="2023-07-15T00:00:00"/>
    <n v="400000"/>
    <m/>
    <n v="5"/>
    <s v="Férfi"/>
    <n v="400000"/>
    <s v="kovacsakos96@gmail.com"/>
    <s v="Polniczky Vera"/>
    <n v="8"/>
    <s v="Aktív"/>
    <n v="6"/>
    <n v="8"/>
    <s v="magyar"/>
    <m/>
  </r>
  <r>
    <s v="Prédl Enikő"/>
    <s v="CWKDT4"/>
    <s v="Aktív"/>
    <s v="osztatlan tanári [10 félév [testnevelő tanár; gyógytestnevelő-egészségfejlesztő tanár]]"/>
    <x v="8"/>
    <s v="osztatlan tanárképzés"/>
    <s v="TKK-OTAK-NOHU"/>
    <s v="Siófok"/>
    <s v="Somogy"/>
    <s v="Prédl Enikő"/>
    <s v="Magyarország"/>
    <d v="1999-08-04T00:00:00"/>
    <s v="T135247/FI80798"/>
    <x v="5"/>
    <s v="Állami ösztöndíjas"/>
    <s v="2018/19/1"/>
    <s v="Nappali"/>
    <n v="5"/>
    <n v="1"/>
    <s v="2021/22/2"/>
    <n v="10"/>
    <s v="75302332756"/>
    <n v="10"/>
    <x v="3"/>
    <s v="a központi eljárásban magyarországi képzésre"/>
    <n v="358"/>
    <m/>
    <m/>
    <s v="Felvétel"/>
    <d v="2018-09-01T00:00:00"/>
    <s v="310882105599"/>
    <s v="BDPK-SEK"/>
    <s v="Eke Norbertné"/>
    <d v="2018-07-25T00:00:00"/>
    <d v="2023-07-15T00:00:00"/>
    <n v="400000"/>
    <m/>
    <n v="7"/>
    <s v="Nő"/>
    <n v="400000"/>
    <s v="predlenikoo@gmail.com"/>
    <s v="Vámosi Szilvia"/>
    <n v="8"/>
    <s v="Aktív"/>
    <n v="8"/>
    <n v="8"/>
    <s v="magyar"/>
    <m/>
  </r>
  <r>
    <s v="Kalmár Orsolya"/>
    <s v="Y0PMGC"/>
    <s v="Aktív"/>
    <s v="osztatlan tanári [10 félév [testnevelő tanár; gyógytestnevelő-egészségfejlesztő tanár]]"/>
    <x v="8"/>
    <s v="osztatlan tanárképzés"/>
    <s v="TKK-OTAK-NOHU"/>
    <s v="Szombathely"/>
    <s v="Vas"/>
    <s v="Kalmár Orsolya"/>
    <s v="Magyarország"/>
    <d v="2000-01-14T00:00:00"/>
    <s v="T140867/FI80798"/>
    <x v="5"/>
    <s v="Állami ösztöndíjas"/>
    <s v="2020/21/1"/>
    <s v="Nappali"/>
    <n v="9"/>
    <n v="1"/>
    <s v="2021/22/2"/>
    <n v="10"/>
    <s v="73583406757"/>
    <n v="10"/>
    <x v="3"/>
    <s v="a központi eljárásban magyarországi képzésre"/>
    <n v="309"/>
    <m/>
    <m/>
    <s v="Felvétel"/>
    <d v="2020-09-01T00:00:00"/>
    <s v="310804825951"/>
    <s v="BDPK-SEK"/>
    <s v="Eke Norbertné"/>
    <d v="2020-07-23T00:00:00"/>
    <d v="2025-07-15T00:00:00"/>
    <n v="500000"/>
    <m/>
    <n v="3"/>
    <s v="Nő"/>
    <n v="500000"/>
    <s v="kalmarorsi777@gmail.hu"/>
    <s v="Fodor Nikoletta"/>
    <n v="4"/>
    <s v="Aktív"/>
    <n v="4"/>
    <n v="4"/>
    <s v="magyar"/>
    <m/>
  </r>
  <r>
    <s v="Horváth Petra Alexa"/>
    <s v="JFK48N"/>
    <s v="Aktív"/>
    <s v="osztatlan tanári [10 félév [testnevelő tanár; gyógytestnevelő-egészségfejlesztő tanár]]"/>
    <x v="8"/>
    <s v="osztatlan tanárképzés"/>
    <s v="TKK-OTAK-NOHU"/>
    <s v="Győr"/>
    <s v="Győr-Moson-Sopron"/>
    <s v="Horváth Petra Alexa"/>
    <s v="Magyarország"/>
    <d v="1997-03-17T00:00:00"/>
    <s v="T138683/FI80798"/>
    <x v="5"/>
    <s v="Állami ösztöndíjas"/>
    <s v="2018/19/1"/>
    <s v="Nappali"/>
    <n v="4"/>
    <n v="1"/>
    <s v="2021/22/2"/>
    <n v="10"/>
    <s v="74752776043"/>
    <n v="10"/>
    <x v="3"/>
    <s v="a központi eljárásban magyarországi képzésre"/>
    <n v="322"/>
    <m/>
    <m/>
    <s v="Felvétel"/>
    <d v="2018-09-01T00:00:00"/>
    <s v="310882576161"/>
    <s v="BDPK-SEK"/>
    <s v="Eke Norbertné"/>
    <d v="2018-07-25T00:00:00"/>
    <d v="2023-07-15T00:00:00"/>
    <n v="400000"/>
    <m/>
    <n v="7"/>
    <s v="Nő"/>
    <n v="400000"/>
    <s v="hopetra17@gmail.com"/>
    <s v="Szabó Anett"/>
    <n v="8"/>
    <s v="Aktív"/>
    <n v="8"/>
    <n v="8"/>
    <s v="magyar"/>
    <m/>
  </r>
  <r>
    <s v="Komáromy Katalin Virág"/>
    <s v="HUH6D1"/>
    <s v="Passzív"/>
    <s v="osztatlan tanári [10 félév [testnevelő tanár; gyógytestnevelő-egészségfejlesztő tanár]]"/>
    <x v="8"/>
    <s v="osztatlan tanárképzés"/>
    <s v="TKK-OTAK-NOHU"/>
    <s v="Zalaegerszeg"/>
    <s v="Zala"/>
    <s v="Komáromy Katalin Virág"/>
    <s v="Magyarország"/>
    <d v="1999-11-03T00:00:00"/>
    <s v="T144179/FI80798"/>
    <x v="5"/>
    <s v="Önköltséges"/>
    <s v="2018/19/1"/>
    <s v="Nappali"/>
    <n v="12"/>
    <m/>
    <m/>
    <n v="10"/>
    <s v="71796438268"/>
    <n v="10"/>
    <x v="3"/>
    <s v="a központi eljárásban magyarországi képzésre"/>
    <n v="280"/>
    <m/>
    <m/>
    <s v="Felvétel"/>
    <d v="2018-09-04T00:00:00"/>
    <s v="310882879383"/>
    <s v="BDPK-SEK"/>
    <s v="Eke Norbertné"/>
    <d v="2018-07-25T00:00:00"/>
    <d v="2024-07-15T00:00:00"/>
    <m/>
    <m/>
    <n v="0"/>
    <s v="Nő"/>
    <m/>
    <s v="komaromykatalin99@gmail.com"/>
    <s v="Károlyi Judit Virág"/>
    <n v="7"/>
    <s v="Passzív"/>
    <m/>
    <n v="7"/>
    <s v="magyar"/>
    <m/>
  </r>
  <r>
    <s v="Marton Dóra"/>
    <s v="Y2L8EB"/>
    <s v="Aktív"/>
    <s v="osztatlan tanári [10 félév [testnevelő tanár; gyógytestnevelő-egészségfejlesztő tanár]]"/>
    <x v="8"/>
    <s v="osztatlan tanárképzés"/>
    <s v="TKK-OTAK-NOHU"/>
    <s v="Szombathely"/>
    <s v="Vas"/>
    <s v="Marton Dóra"/>
    <s v="Magyarország"/>
    <d v="2000-11-23T00:00:00"/>
    <s v="T150561/FI80798"/>
    <x v="5"/>
    <s v="Állami ösztöndíjas"/>
    <s v="2019/20/1"/>
    <s v="Nappali"/>
    <n v="7"/>
    <n v="1"/>
    <s v="2021/22/2"/>
    <n v="10"/>
    <s v="78849210472"/>
    <n v="10"/>
    <x v="3"/>
    <s v="a központi eljárásban magyarországi képzésre"/>
    <n v="333"/>
    <m/>
    <m/>
    <s v="Felvétel"/>
    <d v="2019-09-01T00:00:00"/>
    <s v="310982757729"/>
    <s v="BDPK-SEK"/>
    <s v="Eke Norbertné"/>
    <d v="2019-07-24T00:00:00"/>
    <d v="2024-07-15T00:00:00"/>
    <n v="500000"/>
    <m/>
    <n v="5"/>
    <s v="Nő"/>
    <n v="500000"/>
    <s v="d.marton9@gmail.com"/>
    <s v="Ragasits Andrea"/>
    <n v="6"/>
    <s v="Aktív"/>
    <n v="6"/>
    <n v="6"/>
    <s v="magyar"/>
    <m/>
  </r>
  <r>
    <s v="Goldfinger Szófia"/>
    <s v="BRFXS9"/>
    <s v="Aktív"/>
    <s v="osztatlan tanári [10 félév [testnevelő tanár; gyógytestnevelő-egészségfejlesztő tanár]]"/>
    <x v="8"/>
    <s v="osztatlan tanárképzés"/>
    <s v="TKK-OTAK-NOHU"/>
    <s v="Zalaegerszeg"/>
    <s v="Zala"/>
    <s v="Goldfinger Szófia"/>
    <s v="Magyarország"/>
    <d v="1998-02-05T00:00:00"/>
    <s v="T148757/FI80798"/>
    <x v="5"/>
    <s v="Állami ösztöndíjas"/>
    <s v="2019/20/1"/>
    <s v="Nappali"/>
    <n v="7"/>
    <n v="1"/>
    <s v="2021/22/2"/>
    <n v="10"/>
    <s v="71641084149"/>
    <n v="10"/>
    <x v="3"/>
    <s v="a központi eljárásban magyarországi képzésre"/>
    <n v="310"/>
    <m/>
    <m/>
    <s v="Felvétel"/>
    <d v="2019-09-01T00:00:00"/>
    <s v="310982564711"/>
    <s v="BDPK-SEK"/>
    <s v="Eke Norbertné"/>
    <d v="2019-07-24T00:00:00"/>
    <d v="2024-07-15T00:00:00"/>
    <n v="500000"/>
    <m/>
    <n v="5"/>
    <s v="Nő"/>
    <n v="500000"/>
    <s v="szofiagoldfinger@gmail.com"/>
    <s v="Varga Erzsébet"/>
    <n v="6"/>
    <s v="Aktív"/>
    <n v="6"/>
    <n v="6"/>
    <s v="magyar"/>
    <m/>
  </r>
  <r>
    <s v="Szabó Laura"/>
    <s v="XTNFCA"/>
    <s v="Aktív"/>
    <s v="osztatlan tanári [10 félév [testnevelő tanár; gyógytestnevelő-egészségfejlesztő tanár]]"/>
    <x v="8"/>
    <s v="osztatlan tanárképzés"/>
    <s v="TKK-OTAK-NOHU"/>
    <s v="Zalaegerszeg"/>
    <s v="Zala"/>
    <s v="Szabó Laura"/>
    <s v="Magyarország"/>
    <d v="2002-01-11T00:00:00"/>
    <s v="T164263/FI80798"/>
    <x v="5"/>
    <s v="Állami ösztöndíjas"/>
    <s v="2020/21/1"/>
    <s v="Nappali"/>
    <n v="9"/>
    <n v="1"/>
    <s v="2021/22/2"/>
    <n v="10"/>
    <s v="71600808357"/>
    <n v="10"/>
    <x v="3"/>
    <s v="a központi eljárásban magyarországi képzésre"/>
    <n v="352"/>
    <m/>
    <m/>
    <s v="Felvétel"/>
    <d v="2020-09-01T00:00:00"/>
    <s v="310804571365"/>
    <s v="BDPK-SEK"/>
    <s v="Eke Norbertné"/>
    <d v="2020-07-23T00:00:00"/>
    <d v="2025-07-15T00:00:00"/>
    <n v="500000"/>
    <m/>
    <n v="3"/>
    <s v="Nő"/>
    <n v="500000"/>
    <s v="szabolauraa2002@gmail.com"/>
    <s v="Gönye Erzsébet"/>
    <n v="4"/>
    <s v="Aktív"/>
    <n v="4"/>
    <n v="4"/>
    <s v="magyar"/>
    <m/>
  </r>
  <r>
    <s v="Horváth Márk"/>
    <s v="UKKRGG"/>
    <s v="Aktív"/>
    <s v="osztatlan tanári [10 félév [testnevelő tanár; gyógytestnevelő-egészségfejlesztő tanár]]"/>
    <x v="8"/>
    <s v="osztatlan tanárképzés"/>
    <s v="TKK-OTAK-NOHU"/>
    <s v="Szombathely"/>
    <s v="Vas"/>
    <s v="Horváth Márk"/>
    <s v="Magyarország"/>
    <d v="2001-01-25T00:00:00"/>
    <s v="T163362/FI80798"/>
    <x v="5"/>
    <s v="Állami ösztöndíjas"/>
    <s v="2020/21/1"/>
    <s v="Nappali"/>
    <n v="9"/>
    <n v="1"/>
    <s v="2021/22/2"/>
    <n v="10"/>
    <s v="71467797304"/>
    <n v="10"/>
    <x v="3"/>
    <s v="a központi eljárásban magyarországi képzésre"/>
    <n v="433"/>
    <m/>
    <m/>
    <s v="Felvétel"/>
    <d v="2020-09-01T00:00:00"/>
    <s v="310804102252"/>
    <s v="BDPK-SEK"/>
    <s v="Eke Norbertné"/>
    <d v="2020-07-23T00:00:00"/>
    <d v="2025-07-15T00:00:00"/>
    <n v="500000"/>
    <m/>
    <n v="3"/>
    <s v="Férfi"/>
    <n v="500000"/>
    <s v="horvath.mark1254@gmail.com"/>
    <s v="Bujtor Brigitta Mária"/>
    <n v="4"/>
    <s v="Aktív"/>
    <n v="4"/>
    <n v="4"/>
    <s v="magyar"/>
    <m/>
  </r>
  <r>
    <s v="Tóth Máté"/>
    <s v="G87781"/>
    <s v="Aktív"/>
    <s v="osztatlan tanári [10 félév [testnevelő tanár; történelemtanár és állampolgári ismeretek tanára]]"/>
    <x v="8"/>
    <s v="osztatlan tanárképzés"/>
    <s v="TKK-OTAK-NOHU"/>
    <s v="Zalaegerszeg"/>
    <s v="Zala"/>
    <s v="Tóth Máté"/>
    <s v="Magyarország"/>
    <d v="2002-06-22T00:00:00"/>
    <s v="T179818/FI80798"/>
    <x v="5"/>
    <s v="Állami ösztöndíjas"/>
    <s v="2021/22/1"/>
    <s v="Nappali"/>
    <n v="11"/>
    <n v="1"/>
    <s v="2021/22/2"/>
    <n v="10"/>
    <s v="71634552240"/>
    <n v="10"/>
    <x v="3"/>
    <s v="a központi eljárásban magyarországi képzésre"/>
    <n v="374"/>
    <m/>
    <m/>
    <s v="Felvétel"/>
    <d v="2021-09-01T00:00:00"/>
    <s v="310814361500"/>
    <s v="BDPK-SEK"/>
    <s v="Eke Norbertné"/>
    <d v="2021-07-23T00:00:00"/>
    <d v="2026-07-15T00:00:00"/>
    <n v="500000"/>
    <m/>
    <n v="1"/>
    <s v="Férfi"/>
    <n v="500000"/>
    <s v="tmate11111@gmail.com"/>
    <s v="Péter Judit"/>
    <n v="2"/>
    <s v="Aktív"/>
    <n v="2"/>
    <n v="2"/>
    <s v="magyar"/>
    <m/>
  </r>
  <r>
    <s v="Müller Alexandra"/>
    <s v="DJ1EBK"/>
    <s v="Aktív"/>
    <s v="osztatlan tanári [10 félév [történelemtanár és állampolgári ismeretek tanára; ének-zene tanár]]"/>
    <x v="9"/>
    <s v="osztatlan tanár"/>
    <s v="BDPK-SEK-SANO-OT-NOHU"/>
    <s v="Győr"/>
    <s v="Győr-Moson-Sopron"/>
    <s v="Müller Alexandra"/>
    <s v="Magyarország"/>
    <d v="1997-02-17T00:00:00"/>
    <s v="T013742/FI21120/B"/>
    <x v="5"/>
    <s v="Állami ösztöndíjas (képzési időn túli)"/>
    <s v="2016/17/1"/>
    <s v="Nappali"/>
    <n v="1"/>
    <n v="1"/>
    <s v="2021/22/2"/>
    <n v="10"/>
    <s v="77474305230"/>
    <n v="10"/>
    <x v="3"/>
    <s v="a központi eljárásban magyarországi képzésre"/>
    <n v="380"/>
    <m/>
    <m/>
    <s v="Felvétel"/>
    <d v="2016-09-01T00:00:00"/>
    <s v="310682667004"/>
    <s v="BDPK-SEK"/>
    <s v="Eke Norbertné"/>
    <d v="2016-07-26T00:00:00"/>
    <d v="2022-07-15T00:00:00"/>
    <n v="400000"/>
    <m/>
    <n v="11"/>
    <s v="Nő"/>
    <n v="400000"/>
    <s v="mulleralexandra417@gmail.com"/>
    <s v="Labancz Mónika"/>
    <n v="12"/>
    <s v="Aktív"/>
    <n v="12"/>
    <n v="12"/>
    <s v="magyar"/>
    <m/>
  </r>
  <r>
    <s v="Fenyvesi Mirtill"/>
    <s v="S9MFRB"/>
    <s v="Passzív"/>
    <s v="osztatlan tanári [10 félév [történelemtanár és állampolgári ismeretek tanára; rajz- és vizuáliskultúra-tanár]]"/>
    <x v="9"/>
    <s v="osztatlan tanárképzés"/>
    <s v="TKK-OTAK-NOHU"/>
    <s v="Sopron"/>
    <s v="Győr-Moson-Sopron"/>
    <s v="Fenyvesi Mirtill"/>
    <s v="Magyarország"/>
    <d v="2003-06-30T00:00:00"/>
    <s v="T182033/FI80798"/>
    <x v="5"/>
    <s v="Állami ösztöndíjas"/>
    <s v="2021/22/1"/>
    <s v="Nappali"/>
    <n v="12"/>
    <m/>
    <m/>
    <n v="10"/>
    <s v="71760124099"/>
    <n v="10"/>
    <x v="3"/>
    <s v="a központi eljárásban magyarországi képzésre"/>
    <n v="420"/>
    <m/>
    <m/>
    <s v="Felvétel"/>
    <d v="2021-09-01T00:00:00"/>
    <s v="310814445618"/>
    <s v="BDPK-SEK"/>
    <s v="Eke Norbertné"/>
    <d v="2021-07-23T00:00:00"/>
    <d v="2027-07-15T00:00:00"/>
    <n v="500000"/>
    <m/>
    <m/>
    <s v="Nő"/>
    <n v="500000"/>
    <s v="fenymimi8@gmail.com"/>
    <s v="Kelemen Nikoletta"/>
    <n v="0"/>
    <s v="Passzív"/>
    <n v="0"/>
    <n v="0"/>
    <s v="magyar"/>
    <m/>
  </r>
  <r>
    <s v="Bódi Flóra Eszter"/>
    <s v="IOW01A"/>
    <s v="Aktív"/>
    <s v="osztatlan tanári [10 félév [történelemtanár és állampolgári ismeretek tanára; rajz- és vizuáliskultúra-tanár]]"/>
    <x v="9"/>
    <s v="osztatlan tanárképzés"/>
    <s v="TKK-OTAK-NOHU"/>
    <s v="Debrecen"/>
    <s v="Hajdú-Bihar"/>
    <s v="Bódi Flóra Eszter"/>
    <s v="Magyarország"/>
    <d v="2001-02-08T00:00:00"/>
    <s v="T186569/FI80798"/>
    <x v="5"/>
    <s v="Állami ösztöndíjas"/>
    <s v="2021/22/1"/>
    <s v="Nappali"/>
    <n v="11"/>
    <n v="1"/>
    <s v="2021/22/2"/>
    <n v="10"/>
    <s v="71635085356"/>
    <n v="10"/>
    <x v="3"/>
    <s v="a központi eljárásban magyarországi képzésre"/>
    <n v="350"/>
    <m/>
    <m/>
    <s v="Felvétel"/>
    <d v="2021-09-01T00:00:00"/>
    <s v="310814785971"/>
    <s v="BDPK-SEK"/>
    <s v="Eke Norbertné"/>
    <d v="2021-07-23T00:00:00"/>
    <d v="2026-07-15T00:00:00"/>
    <n v="500000"/>
    <m/>
    <n v="1"/>
    <s v="Nő"/>
    <n v="500000"/>
    <s v="floramazsi@gmail.com"/>
    <s v="Bányay Lilla"/>
    <n v="2"/>
    <s v="Aktív"/>
    <n v="2"/>
    <n v="2"/>
    <s v="magyar"/>
    <m/>
  </r>
  <r>
    <s v="Hajba Adrienn"/>
    <s v="FCIOVC"/>
    <s v="Aktív"/>
    <s v="osztatlan tanári [11 félév [angol nyelv és kultúra tanára; biológiatanár (egészségtan) (természettudományi gyakorlatok)]]"/>
    <x v="0"/>
    <s v="osztatlan tanárképzés"/>
    <s v="TKK-OTAK-NOHU"/>
    <s v="Celldömölk"/>
    <s v="Vas"/>
    <s v="Hajba Adrienn"/>
    <s v="Magyarország"/>
    <d v="2000-12-17T00:00:00"/>
    <s v="T162849/FI80798"/>
    <x v="5"/>
    <s v="Állami ösztöndíjas"/>
    <s v="2020/21/1"/>
    <s v="Nappali"/>
    <n v="11"/>
    <n v="1"/>
    <s v="2021/22/2"/>
    <n v="10"/>
    <s v="73248676396"/>
    <n v="11"/>
    <x v="3"/>
    <m/>
    <m/>
    <m/>
    <m/>
    <s v="Képzésváltás intézményen belül"/>
    <d v="2020-09-14T00:00:00"/>
    <m/>
    <s v="BDPK-SEK"/>
    <s v="Eke Norbertné"/>
    <d v="2020-07-23T00:00:00"/>
    <d v="2026-01-31T00:00:00"/>
    <n v="500000"/>
    <m/>
    <n v="3"/>
    <s v="Nő"/>
    <n v="500000"/>
    <s v="hjb.drnn17@gmail.com"/>
    <s v="Göltl Andrea"/>
    <n v="4"/>
    <s v="Aktív"/>
    <n v="4"/>
    <n v="4"/>
    <s v="magyar"/>
    <m/>
  </r>
  <r>
    <s v="Bolbos Laura"/>
    <s v="KULD36"/>
    <s v="Aktív"/>
    <s v="osztatlan tanári [11 félév [angol nyelv és kultúra tanára; ének-zene tanár]]"/>
    <x v="0"/>
    <s v="osztatlan tanárképzés"/>
    <s v="TKK-OTAK-NOHU"/>
    <s v="Ajka"/>
    <s v="Veszprém"/>
    <s v="Bolbos Laura"/>
    <s v="Magyarország"/>
    <d v="1999-06-06T00:00:00"/>
    <s v="T141848/FI80798"/>
    <x v="5"/>
    <s v="Állami ösztöndíjas"/>
    <s v="2018/19/1"/>
    <s v="Nappali"/>
    <n v="7"/>
    <n v="1"/>
    <s v="2021/22/2"/>
    <n v="10"/>
    <s v="73776213513"/>
    <n v="11"/>
    <x v="3"/>
    <m/>
    <m/>
    <m/>
    <m/>
    <s v="Képzésváltás intézményen belül"/>
    <d v="2018-09-06T00:00:00"/>
    <m/>
    <s v="BDPK-SEK"/>
    <s v="Eke Norbertné"/>
    <d v="2018-07-25T00:00:00"/>
    <d v="2024-01-31T00:00:00"/>
    <n v="400000"/>
    <m/>
    <n v="7"/>
    <s v="Nő"/>
    <n v="400000"/>
    <s v="bolboslaura@gmail.com"/>
    <s v="Homályos Szilvia"/>
    <n v="8"/>
    <s v="Aktív"/>
    <n v="8"/>
    <n v="8"/>
    <s v="magyar"/>
    <m/>
  </r>
  <r>
    <s v="Kovács Izabell Andrea"/>
    <s v="X9GD1Z"/>
    <s v="Aktív"/>
    <s v="osztatlan tanári [11 félév [angol nyelv és kultúra tanára; ének-zene tanár]]"/>
    <x v="0"/>
    <s v="osztatlan tanárképzés"/>
    <s v="TKK-OTAK-NOHU"/>
    <s v="Sárvár"/>
    <s v="Vas"/>
    <s v="Kovács Izabell Andrea"/>
    <s v="Magyarország"/>
    <d v="1999-12-17T00:00:00"/>
    <s v="T149482/FI80798"/>
    <x v="5"/>
    <s v="Állami ösztöndíjas"/>
    <s v="2019/20/1"/>
    <s v="Nappali"/>
    <n v="9"/>
    <n v="1"/>
    <s v="2021/22/2"/>
    <n v="10"/>
    <s v="73586989080"/>
    <n v="11"/>
    <x v="3"/>
    <m/>
    <m/>
    <m/>
    <m/>
    <s v="Képzésváltás intézményen belül"/>
    <d v="2019-09-14T00:00:00"/>
    <m/>
    <s v="BDPK-SEK"/>
    <s v="Eke Norbertné"/>
    <d v="2019-07-24T00:00:00"/>
    <d v="2025-01-31T00:00:00"/>
    <n v="500000"/>
    <m/>
    <n v="5"/>
    <s v="Nő"/>
    <n v="500000"/>
    <s v="izabellkovacs17@gmail.com"/>
    <s v="Oszkó Judit Katalin"/>
    <n v="6"/>
    <s v="Aktív"/>
    <n v="6"/>
    <n v="6"/>
    <s v="magyar"/>
    <m/>
  </r>
  <r>
    <s v="Nagy Laura Anita"/>
    <s v="KAQXB4"/>
    <s v="Aktív"/>
    <s v="osztatlan tanári [11 félév [angol nyelv és kultúra tanára; ének-zene tanár]]"/>
    <x v="0"/>
    <s v="osztatlan tanárképzés"/>
    <s v="TKK-OTAK-NOHU"/>
    <s v="Zalaegerszeg"/>
    <s v="Zala"/>
    <s v="Nagy Laura Anita"/>
    <s v="Magyarország"/>
    <d v="1999-05-12T00:00:00"/>
    <s v="T144267/FI80798"/>
    <x v="5"/>
    <s v="Állami ösztöndíjas"/>
    <s v="2018/19/1"/>
    <s v="Nappali"/>
    <n v="7"/>
    <n v="1"/>
    <s v="2021/22/2"/>
    <n v="10"/>
    <s v="71418663666"/>
    <n v="11"/>
    <x v="3"/>
    <m/>
    <m/>
    <m/>
    <m/>
    <s v="Képzésváltás intézményen belül"/>
    <d v="2021-09-02T00:00:00"/>
    <m/>
    <s v="BDPK-SEK"/>
    <s v="Eke Norbertné"/>
    <d v="2018-07-25T00:00:00"/>
    <d v="2025-01-31T00:00:00"/>
    <n v="500000"/>
    <m/>
    <n v="1"/>
    <s v="Nő"/>
    <n v="500000"/>
    <s v="nalala051999@gmail.com"/>
    <s v="Schreiner Anita"/>
    <n v="2"/>
    <s v="Aktív"/>
    <n v="2"/>
    <n v="8"/>
    <s v="magyar"/>
    <m/>
  </r>
  <r>
    <s v="Kiss Ábel Krisztián"/>
    <s v="HCE2RX"/>
    <s v="Aktív"/>
    <s v="osztatlan tanári [11 félév [angol nyelv és kultúra tanára; földrajztanár]]"/>
    <x v="0"/>
    <s v="osztatlan tanárképzés"/>
    <s v="TKK-OTAK-NOHU"/>
    <s v="Szombathely"/>
    <s v="Vas"/>
    <s v="Kiss Ábel Krisztián"/>
    <s v="Magyarország"/>
    <d v="1997-10-14T00:00:00"/>
    <s v="T164287/FI80798"/>
    <x v="5"/>
    <s v="Állami ösztöndíjas"/>
    <s v="2020/21/1"/>
    <s v="Nappali"/>
    <m/>
    <m/>
    <m/>
    <n v="10"/>
    <s v="73210313730"/>
    <n v="11"/>
    <x v="3"/>
    <m/>
    <m/>
    <m/>
    <m/>
    <s v="Képzésváltás intézményen belül"/>
    <d v="2020-09-14T00:00:00"/>
    <m/>
    <s v="BDPK-SEK"/>
    <s v="Eke Norbertné"/>
    <d v="2020-07-23T00:00:00"/>
    <d v="2026-01-31T00:00:00"/>
    <n v="500000"/>
    <m/>
    <n v="3"/>
    <s v="Férfi"/>
    <n v="500000"/>
    <s v="abelkrisztian@citromail.hu"/>
    <s v="Roósz Orsolya"/>
    <n v="4"/>
    <s v="Aktív"/>
    <n v="4"/>
    <n v="4"/>
    <s v="magyar"/>
    <m/>
  </r>
  <r>
    <s v="Szécsi Tímea Ágnes"/>
    <s v="I9023Y"/>
    <s v="Aktív"/>
    <s v="osztatlan tanári [11 félév [angol nyelv és kultúra tanára; magyartanár]]"/>
    <x v="0"/>
    <s v="osztatlan tanár"/>
    <s v="BDPK-SEK-SANO-OT-NOHU"/>
    <s v="Budapest"/>
    <s v="Budapest"/>
    <s v="Szécsi Tímea Ágnes"/>
    <s v="Magyarország"/>
    <d v="1996-08-02T00:00:00"/>
    <s v="T121960/FI80798"/>
    <x v="5"/>
    <s v="Állami ösztöndíjas (képzési időn túli)"/>
    <s v="2016/17/1"/>
    <s v="Nappali"/>
    <n v="3"/>
    <n v="1"/>
    <s v="2021/22/2"/>
    <n v="10"/>
    <s v="74745006229"/>
    <n v="11"/>
    <x v="3"/>
    <m/>
    <m/>
    <m/>
    <m/>
    <s v="Képzésváltás intézményen belül"/>
    <d v="2019-09-01T00:00:00"/>
    <m/>
    <s v="BDPK-SEK"/>
    <s v="Eke Norbertné"/>
    <d v="2016-07-26T00:00:00"/>
    <d v="2022-07-15T00:00:00"/>
    <n v="500000"/>
    <m/>
    <n v="5"/>
    <s v="Nő"/>
    <n v="500000"/>
    <s v="timo9654@gmail.com"/>
    <s v="Bárány Ágnes Ibolya"/>
    <n v="6"/>
    <s v="Aktív"/>
    <n v="6"/>
    <n v="12"/>
    <s v="magyar"/>
    <m/>
  </r>
  <r>
    <s v="Hoós Domonkos"/>
    <s v="T7TPJB"/>
    <s v="Aktív"/>
    <s v="osztatlan tanári [11 félév [angol nyelv és kultúra tanára; magyartanár]]"/>
    <x v="0"/>
    <s v="osztatlan tanárképzés"/>
    <s v="TKK-OTAK-NOHU"/>
    <s v="Szombathely"/>
    <s v="Vas"/>
    <s v="Hoós Domonkos"/>
    <s v="Magyarország"/>
    <d v="2000-11-29T00:00:00"/>
    <s v="T188020/FI80798"/>
    <x v="5"/>
    <s v="Állami ösztöndíjas"/>
    <s v="2021/22/1"/>
    <s v="Nappali"/>
    <n v="13"/>
    <n v="1"/>
    <s v="2021/22/2"/>
    <n v="10"/>
    <s v="71466748860"/>
    <n v="11"/>
    <x v="3"/>
    <m/>
    <m/>
    <m/>
    <m/>
    <s v="Képzésváltás intézményen belül"/>
    <d v="2021-09-13T00:00:00"/>
    <m/>
    <s v="BDPK-SEK"/>
    <s v="Eke Norbertné"/>
    <d v="2021-07-23T00:00:00"/>
    <d v="2027-01-31T00:00:00"/>
    <n v="500000"/>
    <m/>
    <n v="1"/>
    <s v="Férfi"/>
    <n v="500000"/>
    <s v="domonkoshoos@gmail.com"/>
    <s v="Illés Csilla"/>
    <n v="2"/>
    <s v="Aktív"/>
    <n v="2"/>
    <n v="2"/>
    <s v="magyar"/>
    <m/>
  </r>
  <r>
    <s v="Pénzváltó Fanni"/>
    <s v="OS9K7Q"/>
    <s v="Aktív"/>
    <s v="osztatlan tanári [11 félév [angol nyelv és kultúra tanára; matematikatanár]]"/>
    <x v="0"/>
    <s v="osztatlan tanárképzés"/>
    <s v="TKK-OTAK-NOHU"/>
    <s v="Csorna"/>
    <s v="Győr-Moson-Sopron"/>
    <s v="Pénzváltó Fanni"/>
    <s v="Magyarország"/>
    <d v="2001-03-21T00:00:00"/>
    <s v="T165574/FI80798"/>
    <x v="5"/>
    <s v="Állami ösztöndíjas"/>
    <s v="2020/21/1"/>
    <s v="Nappali"/>
    <n v="11"/>
    <n v="1"/>
    <s v="2021/22/2"/>
    <n v="10"/>
    <s v="71588954699"/>
    <n v="11"/>
    <x v="3"/>
    <m/>
    <m/>
    <m/>
    <m/>
    <s v="Képzésváltás intézményen belül"/>
    <d v="2020-09-14T00:00:00"/>
    <m/>
    <s v="BDPK-SEK"/>
    <s v="Eke Norbertné"/>
    <d v="2020-07-23T00:00:00"/>
    <d v="2026-01-31T00:00:00"/>
    <n v="500000"/>
    <m/>
    <n v="3"/>
    <s v="Nő"/>
    <n v="500000"/>
    <s v="penzvaltofanni@gmail.com"/>
    <s v="Vargyas Rita"/>
    <n v="4"/>
    <s v="Aktív"/>
    <n v="4"/>
    <n v="4"/>
    <s v="magyar"/>
    <m/>
  </r>
  <r>
    <s v="Fülöp Liza"/>
    <s v="GN63AE"/>
    <s v="Passzív"/>
    <s v="osztatlan tanári [11 félév [angol nyelv és kultúra tanára; rajz- és vizuáliskultúra-tanár]]"/>
    <x v="0"/>
    <s v="osztatlan tanárképzés"/>
    <s v="TKK-OTAK-NOHU"/>
    <s v="Győr"/>
    <s v="Győr-Moson-Sopron"/>
    <s v="Fülöp Liza"/>
    <s v="Magyarország"/>
    <d v="1999-03-26T00:00:00"/>
    <s v="T190366/FI80798"/>
    <x v="5"/>
    <s v="Állami ösztöndíjas"/>
    <s v="2021/22/1"/>
    <s v="Nappali"/>
    <n v="13"/>
    <n v="1"/>
    <s v="2021/22/1"/>
    <n v="10"/>
    <s v="79660413647"/>
    <n v="11"/>
    <x v="3"/>
    <m/>
    <m/>
    <m/>
    <m/>
    <s v="Képzésváltás intézményen belül"/>
    <d v="2021-09-13T00:00:00"/>
    <m/>
    <s v="BDPK-SEK"/>
    <s v="Eke Norbertné"/>
    <d v="2021-07-23T00:00:00"/>
    <d v="2028-01-31T00:00:00"/>
    <n v="500000"/>
    <m/>
    <n v="1"/>
    <s v="Nő"/>
    <n v="500000"/>
    <s v="liza.fulop963@gmail.com"/>
    <s v="Vass Emília"/>
    <n v="1"/>
    <s v="Passzív"/>
    <m/>
    <n v="1"/>
    <s v="magyar"/>
    <m/>
  </r>
  <r>
    <s v="Borsos Réka"/>
    <s v="BXDN9Q"/>
    <s v="Aktív"/>
    <s v="osztatlan tanári [11 félév [angol nyelv és kultúra tanára; rajz- és vizuáliskultúra-tanár]]"/>
    <x v="0"/>
    <s v="osztatlan tanárképzés"/>
    <s v="TKK-OTAK-NOHU"/>
    <s v="Keszthely"/>
    <s v="Zala"/>
    <s v="Borsos Réka"/>
    <s v="Magyarország"/>
    <d v="2000-05-29T00:00:00"/>
    <s v="T141263/FI80798"/>
    <x v="5"/>
    <s v="Állami ösztöndíjas"/>
    <s v="2018/19/1"/>
    <s v="Nappali"/>
    <n v="7"/>
    <n v="1"/>
    <s v="2021/22/2"/>
    <n v="10"/>
    <s v="71449874049"/>
    <n v="11"/>
    <x v="3"/>
    <m/>
    <m/>
    <m/>
    <m/>
    <s v="Képzésváltás intézményen belül"/>
    <d v="2018-09-06T00:00:00"/>
    <m/>
    <s v="BDPK-SEK"/>
    <s v="Eke Norbertné"/>
    <d v="2018-07-25T00:00:00"/>
    <d v="2024-01-31T00:00:00"/>
    <n v="400000"/>
    <m/>
    <n v="7"/>
    <s v="Nő"/>
    <n v="400000"/>
    <s v="borsosreka1@gmail.com"/>
    <s v="Jankó Rozália"/>
    <n v="8"/>
    <s v="Aktív"/>
    <n v="8"/>
    <n v="8"/>
    <s v="magyar"/>
    <m/>
  </r>
  <r>
    <s v="Pap Gergő"/>
    <s v="W0ZEBW"/>
    <s v="Aktív"/>
    <s v="osztatlan tanári [11 félév [angol nyelv és kultúra tanára; rajz- és vizuáliskultúra-tanár]]"/>
    <x v="0"/>
    <s v="osztatlan tanárképzés"/>
    <s v="TKK-OTAK-NOHU"/>
    <s v="Csorna"/>
    <s v="Győr-Moson-Sopron"/>
    <s v="Pap Gergő"/>
    <s v="Magyarország"/>
    <d v="1999-09-08T00:00:00"/>
    <s v="T137159/FI80798"/>
    <x v="5"/>
    <s v="Állami ösztöndíjas"/>
    <s v="2018/19/1"/>
    <s v="Nappali"/>
    <n v="7"/>
    <n v="1"/>
    <s v="2021/22/2"/>
    <n v="10"/>
    <s v="73036785893"/>
    <n v="11"/>
    <x v="3"/>
    <m/>
    <m/>
    <m/>
    <m/>
    <s v="Képzésváltás intézményen belül"/>
    <d v="2021-02-01T00:00:00"/>
    <m/>
    <s v="BDPK-SEK"/>
    <s v="Eke Norbertné"/>
    <d v="2018-07-25T00:00:00"/>
    <d v="2024-01-31T00:00:00"/>
    <m/>
    <m/>
    <n v="2"/>
    <s v="Férfi"/>
    <n v="300000"/>
    <s v="papgergo99@citromail.hu"/>
    <s v="Pászli Andrea"/>
    <n v="3"/>
    <s v="Aktív"/>
    <n v="3"/>
    <n v="8"/>
    <s v="magyar"/>
    <m/>
  </r>
  <r>
    <s v="Szekér Csongor Árpád"/>
    <s v="H7FI72"/>
    <s v="Aktív"/>
    <s v="osztatlan tanári [11 félév [angol nyelv és kultúra tanára; rajz- és vizuáliskultúra-tanár]]"/>
    <x v="0"/>
    <s v="osztatlan tanárképzés"/>
    <s v="TKK-OTAK-NOHU"/>
    <s v="Szombathely"/>
    <s v="Vas"/>
    <s v="Szekér Csongor Árpád"/>
    <s v="Magyarország"/>
    <d v="2000-08-04T00:00:00"/>
    <s v="T157009/FI80798"/>
    <x v="5"/>
    <s v="Állami ösztöndíjas"/>
    <s v="2019/20/1"/>
    <s v="Nappali"/>
    <n v="9"/>
    <n v="1"/>
    <s v="2021/22/2"/>
    <n v="10"/>
    <s v="72152262541"/>
    <n v="11"/>
    <x v="3"/>
    <m/>
    <m/>
    <m/>
    <m/>
    <s v="Képzésváltás intézményen belül"/>
    <d v="2019-09-14T00:00:00"/>
    <m/>
    <s v="BDPK-SEK"/>
    <s v="Eke Norbertné"/>
    <d v="2019-07-24T00:00:00"/>
    <d v="2025-01-31T00:00:00"/>
    <n v="500000"/>
    <m/>
    <n v="5"/>
    <s v="Férfi"/>
    <n v="500000"/>
    <s v="csongor.szeker.4@freemail.hu"/>
    <s v="Iszak Csilla"/>
    <n v="6"/>
    <s v="Aktív"/>
    <n v="6"/>
    <n v="6"/>
    <s v="magyar"/>
    <m/>
  </r>
  <r>
    <s v="Fazekas Petra Réka"/>
    <s v="SPAAPX"/>
    <s v="Aktív"/>
    <s v="osztatlan tanári [11 félév [angol nyelv és kultúra tanára; rajz- és vizuáliskultúra-tanár]]"/>
    <x v="0"/>
    <s v="osztatlan tanárképzés"/>
    <s v="TKK-OTAK-NOHU"/>
    <s v="Szombathely"/>
    <s v="Vas"/>
    <s v="Fazekas Petra Réka"/>
    <s v="Magyarország"/>
    <d v="2000-08-03T00:00:00"/>
    <s v="T153633/FI80798"/>
    <x v="5"/>
    <s v="Állami ösztöndíjas"/>
    <s v="2019/20/1"/>
    <s v="Nappali"/>
    <n v="9"/>
    <n v="1"/>
    <s v="2021/22/2"/>
    <n v="10"/>
    <s v="72281268301"/>
    <n v="11"/>
    <x v="3"/>
    <m/>
    <m/>
    <m/>
    <m/>
    <s v="Képzésváltás intézményen belül"/>
    <d v="2019-09-14T00:00:00"/>
    <m/>
    <s v="BDPK-SEK"/>
    <s v="Eke Norbertné"/>
    <d v="2019-07-24T00:00:00"/>
    <d v="2025-01-31T00:00:00"/>
    <n v="500000"/>
    <m/>
    <n v="5"/>
    <s v="Nő"/>
    <n v="500000"/>
    <s v="fazekas.petra.r@gmail.com"/>
    <s v="Malomsoki Dorina Vénusz"/>
    <n v="6"/>
    <s v="Aktív"/>
    <n v="6"/>
    <n v="6"/>
    <s v="magyar"/>
    <m/>
  </r>
  <r>
    <s v="Molnár Ádám"/>
    <s v="ARVND5"/>
    <s v="Aktív"/>
    <s v="osztatlan tanári [11 félév [angol nyelv és kultúra tanára; rajz- és vizuáliskultúra-tanár]]"/>
    <x v="0"/>
    <s v="osztatlan tanárképzés"/>
    <s v="TKK-OTAK-NOHU"/>
    <s v="Szombathely"/>
    <s v="Vas"/>
    <s v="Molnár Ádám"/>
    <s v="Magyarország"/>
    <d v="2000-06-28T00:00:00"/>
    <s v="T165031/FI80798"/>
    <x v="5"/>
    <s v="Állami ösztöndíjas"/>
    <s v="2020/21/1"/>
    <s v="Nappali"/>
    <n v="11"/>
    <n v="1"/>
    <s v="2021/22/2"/>
    <n v="10"/>
    <s v="79490072839"/>
    <n v="11"/>
    <x v="3"/>
    <m/>
    <m/>
    <m/>
    <m/>
    <s v="Képzésváltás intézményen belül"/>
    <d v="2020-09-14T00:00:00"/>
    <m/>
    <s v="BDPK-SEK"/>
    <s v="Eke Norbertné"/>
    <d v="2020-07-23T00:00:00"/>
    <d v="2026-01-31T00:00:00"/>
    <n v="500000"/>
    <m/>
    <n v="3"/>
    <s v="Férfi"/>
    <n v="500000"/>
    <s v="molnaradam72@gmail.com"/>
    <s v="Szalai Ildikó"/>
    <n v="4"/>
    <s v="Aktív"/>
    <n v="4"/>
    <n v="4"/>
    <s v="magyar"/>
    <m/>
  </r>
  <r>
    <s v="Petkó Rebeka Anna"/>
    <s v="H0EEJT"/>
    <s v="Aktív"/>
    <s v="osztatlan tanári [11 félév [angol nyelv és kultúra tanára; rajz- és vizuáliskultúra-tanár]]"/>
    <x v="0"/>
    <s v="osztatlan tanárképzés"/>
    <s v="TKK-OTAK-NOHU"/>
    <s v="Szombathely"/>
    <s v="Vas"/>
    <s v="Petkó Rebeka Anna"/>
    <s v="Magyarország"/>
    <d v="2002-05-19T00:00:00"/>
    <s v="T184022/FI80798"/>
    <x v="5"/>
    <s v="Állami ösztöndíjas"/>
    <s v="2021/22/1"/>
    <s v="Nappali"/>
    <n v="13"/>
    <n v="1"/>
    <s v="2021/22/2"/>
    <n v="10"/>
    <s v="71761713083"/>
    <n v="11"/>
    <x v="3"/>
    <m/>
    <m/>
    <m/>
    <m/>
    <s v="Képzésváltás intézményen belül"/>
    <d v="2021-09-13T00:00:00"/>
    <m/>
    <s v="BDPK-SEK"/>
    <s v="Eke Norbertné"/>
    <d v="2021-07-23T00:00:00"/>
    <d v="2027-01-31T00:00:00"/>
    <n v="500000"/>
    <m/>
    <n v="1"/>
    <s v="Nő"/>
    <n v="500000"/>
    <s v="petkorebi@gmail.hu"/>
    <s v="Borsics Orsolya"/>
    <n v="2"/>
    <s v="Aktív"/>
    <n v="2"/>
    <n v="2"/>
    <s v="magyar"/>
    <m/>
  </r>
  <r>
    <s v="Csenár Dóra"/>
    <s v="ZXHDYN"/>
    <s v="Aktív"/>
    <s v="osztatlan tanári [11 félév [angol nyelv és kultúra tanára; rajz- és vizuáliskultúra-tanár]]"/>
    <x v="0"/>
    <s v="osztatlan tanárképzés"/>
    <s v="TKK-OTAK-NOHU"/>
    <s v="Szombathely"/>
    <s v="Vas"/>
    <s v="Csenár Dóra"/>
    <s v="Magyarország"/>
    <d v="2001-10-18T00:00:00"/>
    <s v="T183053/FI80798"/>
    <x v="5"/>
    <s v="Állami ösztöndíjas"/>
    <s v="2021/22/1"/>
    <s v="Nappali"/>
    <n v="13"/>
    <n v="1"/>
    <s v="2021/22/2"/>
    <n v="10"/>
    <s v="71596796226"/>
    <n v="11"/>
    <x v="3"/>
    <m/>
    <m/>
    <m/>
    <m/>
    <s v="Képzésváltás intézményen belül"/>
    <d v="2021-09-13T00:00:00"/>
    <m/>
    <s v="BDPK-SEK"/>
    <s v="Eke Norbertné"/>
    <d v="2021-07-23T00:00:00"/>
    <d v="2027-01-31T00:00:00"/>
    <n v="500000"/>
    <m/>
    <n v="1"/>
    <s v="Nő"/>
    <n v="500000"/>
    <s v="csenardoramgs5@gmail.com"/>
    <s v="Kóbor Ildikó"/>
    <n v="2"/>
    <s v="Aktív"/>
    <n v="2"/>
    <n v="2"/>
    <s v="magyar"/>
    <m/>
  </r>
  <r>
    <s v="Huszár Vanessza Anna"/>
    <s v="X46NEK"/>
    <s v="Aktív"/>
    <s v="osztatlan tanári [11 félév [angol nyelv és kultúra tanára; történelemtanár és állampolgári ismeretek tanára]]"/>
    <x v="0"/>
    <s v="osztatlan tanárképzés"/>
    <s v="TKK-OTAK-NOHU"/>
    <s v="Szombathely"/>
    <s v="Vas"/>
    <s v="Huszár Vanessza Anna"/>
    <s v="Magyarország"/>
    <d v="1998-09-29T00:00:00"/>
    <s v="T125611/FI80798"/>
    <x v="5"/>
    <s v="Állami ösztöndíjas"/>
    <s v="2017/18/1"/>
    <s v="Nappali"/>
    <n v="5"/>
    <n v="1"/>
    <s v="2021/22/2"/>
    <n v="10"/>
    <s v="71421340101"/>
    <n v="11"/>
    <x v="3"/>
    <m/>
    <m/>
    <m/>
    <m/>
    <s v="Képzésváltás intézményen belül"/>
    <d v="2020-09-01T00:00:00"/>
    <m/>
    <s v="BDPK-SEK"/>
    <s v="Eke Norbertné"/>
    <d v="2017-07-27T00:00:00"/>
    <d v="2023-01-31T00:00:00"/>
    <n v="500000"/>
    <m/>
    <n v="3"/>
    <s v="Nő"/>
    <n v="500000"/>
    <s v="vanesszahuszar98@gmail.com"/>
    <s v="Gergely Eszter"/>
    <n v="4"/>
    <s v="Aktív"/>
    <n v="4"/>
    <n v="10"/>
    <s v="magyar"/>
    <m/>
  </r>
  <r>
    <s v="Svertsits Anna"/>
    <s v="FV8WTU"/>
    <s v="Aktív"/>
    <s v="osztatlan tanári [11 félév [biológiatanár (egészségtan); rajz- és vizuáliskultúra-tanár]]"/>
    <x v="1"/>
    <s v="osztatlan tanárképzés"/>
    <s v="TKK-OTAK-NOHU"/>
    <s v="Szombathely"/>
    <s v="Vas"/>
    <s v="Svertsits Anna"/>
    <s v="Magyarország"/>
    <d v="1999-02-09T00:00:00"/>
    <s v="T149610/FI80798"/>
    <x v="5"/>
    <s v="Állami ösztöndíjas"/>
    <s v="2019/20/1"/>
    <s v="Nappali"/>
    <n v="9"/>
    <n v="1"/>
    <s v="2021/22/2"/>
    <n v="10"/>
    <s v="72961310701"/>
    <n v="11"/>
    <x v="3"/>
    <m/>
    <m/>
    <m/>
    <m/>
    <s v="Képzésváltás intézményen belül"/>
    <d v="2019-09-14T00:00:00"/>
    <m/>
    <s v="BDPK-SEK"/>
    <s v="Eke Norbertné"/>
    <d v="2019-07-24T00:00:00"/>
    <d v="2025-01-31T00:00:00"/>
    <n v="500000"/>
    <m/>
    <n v="5"/>
    <s v="Nő"/>
    <n v="500000"/>
    <s v="annasvertsits@gmail.com"/>
    <s v="Fehér Lilla"/>
    <n v="6"/>
    <s v="Aktív"/>
    <n v="6"/>
    <n v="6"/>
    <s v="magyar"/>
    <m/>
  </r>
  <r>
    <s v="Nárai Domonkos"/>
    <s v="IYDI4K"/>
    <s v="Aktív"/>
    <s v="osztatlan tanári [11 félév [biológiatanár (egészségtan); természetismeret-környezettan tanár]]"/>
    <x v="1"/>
    <s v="osztatlan tanárképzés"/>
    <s v="TKK-OTAK-NOHU"/>
    <s v="Szombathely"/>
    <s v="Vas"/>
    <s v="Nárai Domonkos"/>
    <s v="Magyarország"/>
    <d v="1998-06-02T00:00:00"/>
    <s v="T140391/FI80798"/>
    <x v="5"/>
    <s v="Állami ösztöndíjas"/>
    <s v="2018/19/1"/>
    <s v="Nappali"/>
    <n v="7"/>
    <n v="1"/>
    <s v="2021/22/2"/>
    <n v="10"/>
    <s v="72019286350"/>
    <n v="11"/>
    <x v="3"/>
    <m/>
    <m/>
    <m/>
    <m/>
    <s v="Képzésváltás intézményen belül"/>
    <d v="2018-09-06T00:00:00"/>
    <m/>
    <s v="BDPK-SEK"/>
    <s v="Eke Norbertné"/>
    <d v="2018-08-24T00:00:00"/>
    <d v="2024-01-31T00:00:00"/>
    <n v="400000"/>
    <m/>
    <n v="5"/>
    <s v="Férfi"/>
    <n v="400000"/>
    <s v="narai1998@gmail.com"/>
    <s v="Szovák Anita"/>
    <n v="8"/>
    <s v="Aktív"/>
    <n v="6"/>
    <n v="8"/>
    <s v="magyar"/>
    <m/>
  </r>
  <r>
    <s v="Horváth Sára Anna"/>
    <s v="UQSTS2"/>
    <s v="Aktív"/>
    <s v="osztatlan tanári [11 félév [biológiatanár (egészségtan); természetismeret-környezettan tanár]]"/>
    <x v="1"/>
    <s v="osztatlan tanárképzés"/>
    <s v="TKK-OTAK-NOHU"/>
    <s v="Mosonmagyaróvár"/>
    <s v="Győr-Moson-Sopron"/>
    <s v="Horváth Sára Anna"/>
    <s v="Magyarország"/>
    <d v="2000-03-05T00:00:00"/>
    <s v="T140515/FI80798"/>
    <x v="5"/>
    <s v="Állami ösztöndíjas"/>
    <s v="2018/19/1"/>
    <s v="Nappali"/>
    <n v="7"/>
    <n v="1"/>
    <s v="2021/22/2"/>
    <n v="10"/>
    <s v="77951739322"/>
    <n v="11"/>
    <x v="3"/>
    <m/>
    <m/>
    <m/>
    <m/>
    <s v="Képzésváltás intézményen belül"/>
    <d v="2018-09-06T00:00:00"/>
    <m/>
    <s v="BDPK-SEK"/>
    <s v="Eke Norbertné"/>
    <d v="2018-07-25T00:00:00"/>
    <d v="2024-01-31T00:00:00"/>
    <n v="400000"/>
    <m/>
    <n v="7"/>
    <s v="Nő"/>
    <n v="400000"/>
    <s v="horvath.sara10@freemail.hu"/>
    <s v="Fekete Eszter"/>
    <n v="8"/>
    <s v="Aktív"/>
    <n v="8"/>
    <n v="8"/>
    <s v="magyar"/>
    <m/>
  </r>
  <r>
    <s v="Kasznár Bálint"/>
    <s v="PFES7A"/>
    <s v="Aktív"/>
    <s v="osztatlan tanári [11 félév [fizikatanár (természettudományi gyakorlatok); matematikatanár]]"/>
    <x v="3"/>
    <s v="osztatlan tanárképzés"/>
    <s v="TKK-OTAK-NOHU"/>
    <s v="Győr"/>
    <s v="Győr-Moson-Sopron"/>
    <s v="Kasznár Bálint"/>
    <s v="Magyarország"/>
    <d v="1993-10-20T00:00:00"/>
    <s v="T130292/FI80798"/>
    <x v="5"/>
    <s v="Önköltséges"/>
    <s v="2017/18/1"/>
    <s v="Nappali"/>
    <n v="4"/>
    <n v="1"/>
    <s v="2017/18/2"/>
    <n v="10"/>
    <s v="76384735188"/>
    <n v="11"/>
    <x v="3"/>
    <m/>
    <m/>
    <m/>
    <m/>
    <s v="Képzésváltás intézményen belül"/>
    <d v="2019-09-14T00:00:00"/>
    <m/>
    <s v="BDPK-SEK"/>
    <s v="Eke Norbertné"/>
    <d v="2017-08-22T00:00:00"/>
    <d v="2023-01-31T00:00:00"/>
    <m/>
    <m/>
    <n v="0"/>
    <s v="Férfi"/>
    <m/>
    <s v="kasznar.balint@gmail.com"/>
    <s v="Kopetseg Éva"/>
    <n v="6"/>
    <s v="Aktív"/>
    <n v="0"/>
    <n v="10"/>
    <s v="magyar"/>
    <n v="400000"/>
  </r>
  <r>
    <s v="Hajas Ádám"/>
    <s v="KNDFYP"/>
    <s v="Aktív"/>
    <s v="osztatlan tanári [11 félév [földrajztanár; rajz- és vizuáliskultúra-tanár]]"/>
    <x v="12"/>
    <s v="osztatlan tanár"/>
    <s v="BDPK-SEK-SANO-OT-NOHU"/>
    <s v="Székesfehérvár"/>
    <s v="Fejér"/>
    <s v="Hajas Ádám"/>
    <s v="Magyarország"/>
    <d v="1996-04-09T00:00:00"/>
    <s v="T013729/FI21120/B"/>
    <x v="5"/>
    <s v="Állami ösztöndíjas (képzési időn túli)"/>
    <s v="2016/17/1"/>
    <s v="Nappali"/>
    <n v="3"/>
    <n v="1"/>
    <s v="2021/22/2"/>
    <n v="10"/>
    <s v="79632716699"/>
    <n v="11"/>
    <x v="3"/>
    <m/>
    <m/>
    <m/>
    <m/>
    <s v="Képzésváltás intézményen belül"/>
    <d v="2019-09-03T00:00:00"/>
    <m/>
    <s v="BDPK-SEK"/>
    <s v="Eke Norbertné"/>
    <d v="2016-07-26T00:00:00"/>
    <d v="2022-07-15T00:00:00"/>
    <n v="500000"/>
    <m/>
    <n v="5"/>
    <s v="Férfi"/>
    <n v="500000"/>
    <s v="adam.h.19960409@gmail.com"/>
    <s v="Balogh Anita"/>
    <n v="6"/>
    <s v="Aktív"/>
    <n v="6"/>
    <n v="12"/>
    <s v="magyar"/>
    <m/>
  </r>
  <r>
    <s v="Söveges Bernadett"/>
    <s v="DHK1W5"/>
    <s v="Aktív"/>
    <s v="osztatlan tanári [11 félév [földrajztanár; természetismeret-környezettan tanár]]"/>
    <x v="12"/>
    <s v="osztatlan tanárképzés"/>
    <s v="TKK-OTAK-NOHU"/>
    <s v="Tapolca"/>
    <s v="Veszprém"/>
    <s v="Söveges Bernadett"/>
    <s v="Magyarország"/>
    <d v="1998-04-20T00:00:00"/>
    <s v="T130661/FI80798"/>
    <x v="5"/>
    <s v="Állami ösztöndíjas"/>
    <s v="2017/18/1"/>
    <s v="Nappali"/>
    <n v="5"/>
    <n v="1"/>
    <s v="2021/22/2"/>
    <n v="10"/>
    <s v="75046599311"/>
    <n v="11"/>
    <x v="3"/>
    <m/>
    <m/>
    <m/>
    <m/>
    <s v="Képzésváltás intézményen belül"/>
    <d v="2019-09-14T00:00:00"/>
    <m/>
    <s v="BDPK-SEK"/>
    <s v="Eke Norbertné"/>
    <d v="2017-07-27T00:00:00"/>
    <d v="2023-01-31T00:00:00"/>
    <n v="500000"/>
    <m/>
    <n v="5"/>
    <s v="Nő"/>
    <n v="500000"/>
    <s v="soveges.bernadett.0420@gmail.com"/>
    <s v="Ujvári Bernadett"/>
    <n v="6"/>
    <s v="Aktív"/>
    <n v="6"/>
    <n v="10"/>
    <s v="magyar"/>
    <m/>
  </r>
  <r>
    <s v="Molnár Dávid"/>
    <s v="RF9G04"/>
    <s v="Aktív"/>
    <s v="osztatlan tanári [11 félév [földrajztanár; történelemtanár és állampolgári ismeretek tanára]]"/>
    <x v="12"/>
    <s v="osztatlan tanár"/>
    <s v="BDPK-SEK-SANO-OT-NOHU"/>
    <s v="Pápa"/>
    <s v="Veszprém"/>
    <s v="Molnár Dávid"/>
    <s v="Magyarország"/>
    <d v="1997-10-25T00:00:00"/>
    <s v="T013740/FI21120/B"/>
    <x v="5"/>
    <s v="Állami ösztöndíjas (képzési időn túli)"/>
    <s v="2016/17/1"/>
    <s v="Nappali"/>
    <n v="3"/>
    <n v="1"/>
    <s v="2021/22/2"/>
    <n v="10"/>
    <s v="72138238410"/>
    <n v="11"/>
    <x v="3"/>
    <m/>
    <m/>
    <m/>
    <m/>
    <s v="Képzésváltás intézményen belül"/>
    <d v="2019-09-03T00:00:00"/>
    <m/>
    <s v="BDPK-SEK"/>
    <s v="Eke Norbertné"/>
    <d v="2016-07-26T00:00:00"/>
    <d v="2022-07-15T00:00:00"/>
    <n v="500000"/>
    <m/>
    <n v="5"/>
    <s v="Férfi"/>
    <n v="500000"/>
    <s v="totya971025@gmail.com"/>
    <s v="László Anett"/>
    <n v="6"/>
    <s v="Aktív"/>
    <n v="6"/>
    <n v="12"/>
    <s v="magyar"/>
    <m/>
  </r>
  <r>
    <s v="Csendes Máté"/>
    <s v="FWMEEY"/>
    <s v="Passzív"/>
    <s v="osztatlan tanári [11 félév [földrajztanár; történelemtanár és állampolgári ismeretek tanára]]"/>
    <x v="12"/>
    <s v="osztatlan tanár"/>
    <s v="BDPK-SEK-SANO-OT-NOHU"/>
    <s v="Körmend"/>
    <s v="Vas"/>
    <s v="Csendes Máté"/>
    <s v="Magyarország"/>
    <d v="1997-10-28T00:00:00"/>
    <s v="T013779/FI21120/B"/>
    <x v="5"/>
    <s v="Állami ösztöndíjas"/>
    <s v="2016/17/1"/>
    <s v="Nappali"/>
    <n v="5"/>
    <n v="1"/>
    <s v="2020/21/2"/>
    <n v="10"/>
    <s v="78585423596"/>
    <n v="11"/>
    <x v="3"/>
    <m/>
    <m/>
    <m/>
    <m/>
    <s v="Képzésváltás intézményen belül"/>
    <d v="2019-09-03T00:00:00"/>
    <m/>
    <s v="BDPK-SEK"/>
    <s v="Eke Norbertné"/>
    <d v="2016-07-26T00:00:00"/>
    <d v="2023-01-31T00:00:00"/>
    <n v="500000"/>
    <m/>
    <n v="4"/>
    <s v="Férfi"/>
    <n v="500000"/>
    <s v="csendes.mate97@gmail.com"/>
    <s v="Márton Szilvia"/>
    <n v="4"/>
    <s v="Passzív"/>
    <m/>
    <n v="10"/>
    <s v="magyar"/>
    <m/>
  </r>
  <r>
    <s v="Horváthné Dani Brigitta Roxána"/>
    <s v="XYCWNR"/>
    <s v="Aktív"/>
    <s v="osztatlan tanári [11 félév [kémiatanár (természettudományi gyakorlatok); természetismeret-környezettan tanár]]"/>
    <x v="13"/>
    <s v="osztatlan tanárképzés"/>
    <s v="TKK-OTAK-NOHU"/>
    <s v="Győr"/>
    <s v="Győr-Moson-Sopron"/>
    <s v="Dani Brigitta Roxána"/>
    <s v="Magyarország"/>
    <d v="2000-07-10T00:00:00"/>
    <s v="T148527/FI80798"/>
    <x v="5"/>
    <s v="Állami ösztöndíjas"/>
    <s v="2019/20/1"/>
    <s v="Nappali"/>
    <n v="9"/>
    <n v="1"/>
    <s v="2021/22/2"/>
    <n v="10"/>
    <s v="75143667789"/>
    <n v="11"/>
    <x v="3"/>
    <m/>
    <m/>
    <m/>
    <m/>
    <s v="Képzésváltás intézményen belül"/>
    <d v="2019-09-14T00:00:00"/>
    <m/>
    <s v="BDPK-SEK"/>
    <s v="Eke Norbertné"/>
    <d v="2019-07-24T00:00:00"/>
    <d v="2025-01-31T00:00:00"/>
    <n v="500000"/>
    <m/>
    <n v="5"/>
    <s v="Nő"/>
    <n v="500000"/>
    <s v="danibrigiroxi@gmail.com"/>
    <s v="Tavaszi Nóra Ágnes"/>
    <n v="6"/>
    <s v="Aktív"/>
    <n v="6"/>
    <n v="6"/>
    <s v="magyar"/>
    <m/>
  </r>
  <r>
    <s v="Hercz Balázs"/>
    <s v="FJZT2R"/>
    <s v="Aktív"/>
    <s v="osztatlan tanári [11 félév [magyartanár; ének-zene tanár]]"/>
    <x v="14"/>
    <s v="osztatlan tanárképzés"/>
    <s v="TKK-OTAK-NOHU"/>
    <s v="Pápa"/>
    <s v="Veszprém"/>
    <s v="Hercz Balázs"/>
    <s v="Magyarország"/>
    <d v="1996-06-18T00:00:00"/>
    <s v="T131034/FI80798"/>
    <x v="5"/>
    <s v="Állami ösztöndíjas"/>
    <s v="2017/18/1"/>
    <s v="Nappali"/>
    <n v="5"/>
    <n v="1"/>
    <s v="2021/22/2"/>
    <n v="10"/>
    <s v="78922713401"/>
    <n v="11"/>
    <x v="3"/>
    <m/>
    <m/>
    <m/>
    <m/>
    <s v="Képzésváltás intézményen belül"/>
    <d v="2019-09-14T00:00:00"/>
    <m/>
    <s v="BDPK-SEK"/>
    <s v="Eke Norbertné"/>
    <d v="2017-07-27T00:00:00"/>
    <d v="2023-01-31T00:00:00"/>
    <n v="500000"/>
    <m/>
    <n v="5"/>
    <s v="Férfi"/>
    <n v="500000"/>
    <s v="humanizom@gmail.com"/>
    <s v="Szerdahelyi Judit Mária"/>
    <n v="6"/>
    <s v="Aktív"/>
    <n v="6"/>
    <n v="10"/>
    <s v="magyar"/>
    <m/>
  </r>
  <r>
    <s v="Kővári Dorottya"/>
    <s v="QYLHE6"/>
    <s v="Aktív"/>
    <s v="osztatlan tanári [11 félév [magyartanár; ének-zene tanár]]"/>
    <x v="14"/>
    <s v="osztatlan tanárképzés"/>
    <s v="TKK-OTAK-NOHU"/>
    <s v="Szombathely"/>
    <s v="Vas"/>
    <s v="Kővári Dorottya"/>
    <s v="Magyarország"/>
    <d v="1999-07-09T00:00:00"/>
    <s v="T137297/FI80798"/>
    <x v="5"/>
    <s v="Állami ösztöndíjas"/>
    <s v="2018/19/1"/>
    <s v="Nappali"/>
    <n v="7"/>
    <n v="1"/>
    <s v="2021/22/2"/>
    <n v="10"/>
    <s v="78429525212"/>
    <n v="11"/>
    <x v="3"/>
    <m/>
    <m/>
    <m/>
    <m/>
    <s v="Képzésváltás intézményen belül"/>
    <d v="2020-09-01T00:00:00"/>
    <m/>
    <s v="BDPK-SEK"/>
    <s v="Eke Norbertné"/>
    <d v="2018-07-25T00:00:00"/>
    <d v="2024-01-31T00:00:00"/>
    <n v="500000"/>
    <m/>
    <n v="3"/>
    <s v="Nő"/>
    <n v="500000"/>
    <s v="kovari.dorottya9@gmail.com"/>
    <s v="Serfőző Szilvia"/>
    <n v="4"/>
    <s v="Aktív"/>
    <n v="4"/>
    <n v="8"/>
    <s v="magyar"/>
    <m/>
  </r>
  <r>
    <s v="Vincze Bence"/>
    <s v="V7ENAI"/>
    <s v="Aktív"/>
    <s v="osztatlan tanári [11 félév [magyartanár; orosz nyelv és kultúra tanára]]"/>
    <x v="14"/>
    <s v="osztatlan tanár"/>
    <s v="BDPK-SEK-SANO-OT-NOHU"/>
    <s v="Szombathely"/>
    <s v="Vas"/>
    <s v="Vincze Bence"/>
    <s v="Magyarország"/>
    <d v="1997-10-13T00:00:00"/>
    <s v="T014231/FI21120/B"/>
    <x v="5"/>
    <s v="Állami ösztöndíjas"/>
    <s v="2016/17/1"/>
    <s v="Nappali"/>
    <n v="4"/>
    <n v="1"/>
    <s v="2021/22/2"/>
    <n v="10"/>
    <s v="79577878969"/>
    <n v="11"/>
    <x v="3"/>
    <s v="a központi eljárásban magyarországi képzésre"/>
    <n v="352"/>
    <m/>
    <m/>
    <s v="Felvétel"/>
    <d v="2016-10-17T00:00:00"/>
    <s v="310682710168"/>
    <s v="BDPK-SEK"/>
    <s v="Eke Norbertné"/>
    <d v="2016-10-17T00:00:00"/>
    <d v="2023-01-31T00:00:00"/>
    <n v="400000"/>
    <m/>
    <n v="10"/>
    <s v="Férfi"/>
    <n v="400000"/>
    <s v="vinczebence13@gmail.com"/>
    <s v="Kupi Anita Mária"/>
    <n v="11"/>
    <s v="Aktív"/>
    <n v="11"/>
    <n v="11"/>
    <s v="magyar"/>
    <m/>
  </r>
  <r>
    <s v="Kupi Maitra"/>
    <s v="BDD7SK"/>
    <s v="Aktív"/>
    <s v="osztatlan tanári [11 félév [magyartanár; rajz- és vizuáliskultúra-tanár]]"/>
    <x v="14"/>
    <s v="osztatlan tanárképzés"/>
    <s v="TKK-OTAK-NOHU"/>
    <s v="Szombathely"/>
    <s v="Vas"/>
    <s v="Kupi Maitra"/>
    <s v="Magyarország"/>
    <d v="1999-10-29T00:00:00"/>
    <s v="T136021/FI80798"/>
    <x v="5"/>
    <s v="Állami ösztöndíjas"/>
    <s v="2018/19/1"/>
    <s v="Nappali"/>
    <n v="7"/>
    <n v="1"/>
    <s v="2021/22/2"/>
    <n v="10"/>
    <s v="79775057380"/>
    <n v="11"/>
    <x v="3"/>
    <m/>
    <m/>
    <m/>
    <m/>
    <s v="Képzésváltás intézményen belül"/>
    <d v="2021-02-15T00:00:00"/>
    <m/>
    <s v="BDPK-SEK"/>
    <s v="Eke Norbertné"/>
    <d v="2018-07-25T00:00:00"/>
    <d v="2024-01-31T00:00:00"/>
    <m/>
    <m/>
    <n v="2"/>
    <s v="Nő"/>
    <n v="300000"/>
    <s v="kupimaitra@gmail.com"/>
    <s v="Buús Brigitta"/>
    <n v="3"/>
    <s v="Aktív"/>
    <n v="3"/>
    <n v="8"/>
    <s v="magyar"/>
    <m/>
  </r>
  <r>
    <s v="Szőke Szeverina Anna"/>
    <s v="B7UM2Y"/>
    <s v="Aktív"/>
    <s v="osztatlan tanári [11 félév [magyartanár; technika-, életvitel- és gyakorlat-tanár]]"/>
    <x v="14"/>
    <s v="osztatlan tanárképzés"/>
    <s v="TKK-OTAK-NOHU"/>
    <s v="Szombathely"/>
    <s v="Vas"/>
    <s v="Szőke Szeverina Anna"/>
    <s v="Magyarország"/>
    <d v="1999-03-05T00:00:00"/>
    <s v="T166953/FI80798"/>
    <x v="5"/>
    <s v="Állami ösztöndíjas"/>
    <s v="2020/21/1"/>
    <s v="Nappali"/>
    <n v="6"/>
    <n v="1"/>
    <s v="2021/22/2"/>
    <n v="10"/>
    <s v="73928498616"/>
    <n v="11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Nő"/>
    <n v="500000"/>
    <s v="szszeverina9756@gmail.com"/>
    <s v="Varga Andrea Csilla"/>
    <n v="4"/>
    <s v="Aktív"/>
    <n v="4"/>
    <n v="4"/>
    <s v="magyar"/>
    <m/>
  </r>
  <r>
    <s v="Orbán Kristóf Attila"/>
    <s v="PVLTXZ"/>
    <s v="Aktív"/>
    <s v="osztatlan tanári [11 félév [magyartanár; történelemtanár és állampolgári ismeretek tanára]]"/>
    <x v="14"/>
    <s v="osztatlan tanárképzés"/>
    <s v="TKK-OTAK-NOHU"/>
    <s v="Ajka"/>
    <s v="Veszprém"/>
    <s v="Orbán Kristóf Attila"/>
    <s v="Magyarország"/>
    <d v="1997-12-09T00:00:00"/>
    <s v="T126710/FI80798"/>
    <x v="5"/>
    <s v="Állami ösztöndíjas"/>
    <s v="2017/18/1"/>
    <s v="Nappali"/>
    <n v="5"/>
    <n v="1"/>
    <s v="2021/22/2"/>
    <n v="10"/>
    <s v="72764407076"/>
    <n v="11"/>
    <x v="3"/>
    <m/>
    <m/>
    <m/>
    <m/>
    <s v="Képzésváltás intézményen belül"/>
    <d v="2019-09-14T00:00:00"/>
    <m/>
    <s v="BDPK-SEK"/>
    <s v="Eke Norbertné"/>
    <d v="2017-07-27T00:00:00"/>
    <d v="2023-01-31T00:00:00"/>
    <n v="500000"/>
    <m/>
    <n v="5"/>
    <s v="Férfi"/>
    <n v="500000"/>
    <s v="orbankristof6@gmail.com"/>
    <s v="Simon Erzsébet"/>
    <n v="6"/>
    <s v="Aktív"/>
    <n v="6"/>
    <n v="10"/>
    <s v="magyar"/>
    <m/>
  </r>
  <r>
    <s v="Ádám Evelin"/>
    <s v="PABI7Q"/>
    <s v="Aktív"/>
    <s v="osztatlan tanári [11 félév [magyartanár; történelemtanár és állampolgári ismeretek tanára]]"/>
    <x v="14"/>
    <s v="osztatlan tanárképzés"/>
    <s v="TKK-OTAK-NOHU"/>
    <s v="Tatabánya"/>
    <s v="Komárom-Esztergom"/>
    <s v="Ádám Evelin"/>
    <s v="Magyarország"/>
    <d v="2001-08-10T00:00:00"/>
    <s v="T164875/FI80798"/>
    <x v="5"/>
    <s v="Állami ösztöndíjas"/>
    <s v="2020/21/1"/>
    <s v="Nappali"/>
    <n v="11"/>
    <n v="1"/>
    <s v="2021/22/2"/>
    <n v="10"/>
    <s v="71615803259"/>
    <n v="11"/>
    <x v="3"/>
    <m/>
    <m/>
    <m/>
    <m/>
    <s v="Képzésváltás intézményen belül"/>
    <d v="2020-09-14T00:00:00"/>
    <m/>
    <s v="BDPK-SEK"/>
    <s v="Eke Norbertné"/>
    <d v="2020-07-23T00:00:00"/>
    <d v="2026-01-31T00:00:00"/>
    <n v="500000"/>
    <m/>
    <n v="3"/>
    <s v="Nő"/>
    <n v="500000"/>
    <s v="adamevelin0810@gmail.com"/>
    <s v="Elek Éva"/>
    <n v="4"/>
    <s v="Aktív"/>
    <n v="4"/>
    <n v="4"/>
    <s v="magyar"/>
    <m/>
  </r>
  <r>
    <s v="Fáczán Gábor Dominik"/>
    <s v="O6RGM4"/>
    <s v="Aktív"/>
    <s v="osztatlan tanári [11 félév [magyartanár; történelemtanár és állampolgári ismeretek tanára]]"/>
    <x v="14"/>
    <s v="osztatlan tanárképzés"/>
    <s v="TKK-OTAK-NOHU"/>
    <s v="Sopron"/>
    <s v="Győr-Moson-Sopron"/>
    <s v="Fáczán Gábor Dominik"/>
    <s v="Magyarország"/>
    <d v="2002-09-02T00:00:00"/>
    <s v="T188578/FI80798"/>
    <x v="5"/>
    <s v="Állami ösztöndíjas"/>
    <s v="2021/22/1"/>
    <s v="Nappali"/>
    <n v="13"/>
    <n v="1"/>
    <s v="2021/22/2"/>
    <n v="10"/>
    <s v="72151414237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Férfi"/>
    <n v="500000"/>
    <s v="dfaczan@gmail.com"/>
    <s v="Bencsik Mária Edit"/>
    <n v="2"/>
    <s v="Aktív"/>
    <n v="2"/>
    <n v="2"/>
    <s v="magyar"/>
    <m/>
  </r>
  <r>
    <s v="Körmendi Roland"/>
    <s v="K00Q80"/>
    <s v="Aktív"/>
    <s v="osztatlan tanári [11 félév [matematikatanár; természetismeret-környezettan tanár (természettudományi gyakorlatok)]]"/>
    <x v="7"/>
    <s v="osztatlan tanárképzés"/>
    <s v="TKK-OTAK-NOHU"/>
    <s v="Zalaegerszeg"/>
    <s v="Zala"/>
    <s v="Körmendi Roland"/>
    <s v="Magyarország"/>
    <d v="2001-01-21T00:00:00"/>
    <s v="T164021/FI80798"/>
    <x v="5"/>
    <s v="Állami ösztöndíjas"/>
    <s v="2020/21/1"/>
    <s v="Nappali"/>
    <n v="10"/>
    <n v="1"/>
    <s v="2021/22/2"/>
    <n v="10"/>
    <s v="72778999881"/>
    <n v="11"/>
    <x v="3"/>
    <m/>
    <m/>
    <m/>
    <m/>
    <s v="Képzésváltás intézményen belül"/>
    <d v="2020-09-14T00:00:00"/>
    <m/>
    <s v="BDPK-SEK"/>
    <s v="Eke Norbertné"/>
    <d v="2020-07-23T00:00:00"/>
    <d v="2026-01-31T00:00:00"/>
    <n v="500000"/>
    <m/>
    <n v="3"/>
    <s v="Férfi"/>
    <n v="500000"/>
    <s v="roli.k0121@gmail.com"/>
    <s v="Andor Elvira"/>
    <n v="4"/>
    <s v="Aktív"/>
    <n v="4"/>
    <n v="4"/>
    <s v="magyar"/>
    <m/>
  </r>
  <r>
    <s v="Horváth Csaba"/>
    <s v="CVSG2J"/>
    <s v="Aktív"/>
    <s v="osztatlan tanári [11 félév [matematikatanár; történelemtanár és állampolgári ismeretek tanára]]"/>
    <x v="7"/>
    <s v="osztatlan tanárképzés"/>
    <s v="TKK-OTAK-NOHU"/>
    <s v="Csorna"/>
    <s v="Győr-Moson-Sopron"/>
    <s v="Horváth Csaba"/>
    <s v="Magyarország"/>
    <d v="2002-10-15T00:00:00"/>
    <s v="T181593/FI80798"/>
    <x v="5"/>
    <s v="Állami ösztöndíjas"/>
    <s v="2021/22/1"/>
    <s v="Nappali"/>
    <n v="13"/>
    <n v="1"/>
    <s v="2021/22/2"/>
    <n v="10"/>
    <s v="72311764399"/>
    <n v="11"/>
    <x v="3"/>
    <m/>
    <m/>
    <m/>
    <m/>
    <s v="Képzésváltás intézményen belül"/>
    <d v="2021-09-13T00:00:00"/>
    <m/>
    <s v="BDPK-SEK"/>
    <s v="Eke Norbertné"/>
    <d v="2021-07-23T00:00:00"/>
    <d v="2027-01-31T00:00:00"/>
    <n v="500000"/>
    <m/>
    <n v="1"/>
    <s v="Férfi"/>
    <n v="500000"/>
    <s v="hcsabi02@gmail.com"/>
    <s v="Kristóf Katalin"/>
    <n v="2"/>
    <s v="Aktív"/>
    <n v="2"/>
    <n v="2"/>
    <s v="magyar"/>
    <m/>
  </r>
  <r>
    <s v="Termeczky Kata"/>
    <s v="HQHV7F"/>
    <s v="Aktív"/>
    <s v="osztatlan tanári [11 félév [német nyelv és kultúra tanára; rajz- és vizuáliskultúra-tanár]]"/>
    <x v="4"/>
    <s v="osztatlan tanárképzés"/>
    <s v="TKK-OTAK-NOHU"/>
    <s v="Csorna"/>
    <s v="Győr-Moson-Sopron"/>
    <s v="Termeczky Kata"/>
    <s v="Magyarország"/>
    <d v="2003-02-03T00:00:00"/>
    <s v="T184863/FI80798"/>
    <x v="5"/>
    <s v="Állami ösztöndíjas"/>
    <s v="2021/22/1"/>
    <s v="Nappali"/>
    <n v="13"/>
    <n v="1"/>
    <s v="2021/22/2"/>
    <n v="10"/>
    <s v="71765672891"/>
    <n v="11"/>
    <x v="3"/>
    <m/>
    <m/>
    <m/>
    <m/>
    <s v="Képzésváltás intézményen belül"/>
    <d v="2021-09-13T00:00:00"/>
    <m/>
    <s v="BDPK-SEK"/>
    <s v="Eke Norbertné"/>
    <d v="2021-07-23T00:00:00"/>
    <d v="2027-01-31T00:00:00"/>
    <n v="500000"/>
    <m/>
    <n v="1"/>
    <s v="Nő"/>
    <n v="500000"/>
    <s v="termeczkykata@gmail.com"/>
    <s v="Kovács Katalin"/>
    <n v="2"/>
    <s v="Aktív"/>
    <n v="2"/>
    <n v="2"/>
    <s v="magyar"/>
    <m/>
  </r>
  <r>
    <s v="Horváth Gellért Ábrahám"/>
    <s v="IL8P1W"/>
    <s v="Aktív"/>
    <s v="osztatlan tanári [11 félév [testnevelő tanár; ének-zene tanár]]"/>
    <x v="8"/>
    <s v="osztatlan tanárképzés"/>
    <s v="TKK-OTAK-NOHU"/>
    <s v="Szombathely"/>
    <s v="Vas"/>
    <s v="Horváth Gellért Ábrahám"/>
    <s v="Magyarország"/>
    <d v="2000-05-06T00:00:00"/>
    <s v="T169703/FI80798"/>
    <x v="5"/>
    <s v="Állami ösztöndíjas"/>
    <s v="2020/21/1"/>
    <s v="Nappali"/>
    <n v="11"/>
    <n v="1"/>
    <s v="2021/22/2"/>
    <n v="10"/>
    <s v="74473178325"/>
    <n v="11"/>
    <x v="3"/>
    <m/>
    <m/>
    <m/>
    <m/>
    <s v="Képzésváltás intézményen belül"/>
    <d v="2020-09-14T00:00:00"/>
    <m/>
    <s v="BDPK-SEK"/>
    <s v="Eke Norbertné"/>
    <d v="2020-07-23T00:00:00"/>
    <d v="2026-01-31T00:00:00"/>
    <n v="500000"/>
    <m/>
    <n v="3"/>
    <s v="Férfi"/>
    <n v="500000"/>
    <s v="horvath.abra@gmail.com"/>
    <s v="Kiss Erika"/>
    <n v="4"/>
    <s v="Aktív"/>
    <n v="4"/>
    <n v="4"/>
    <s v="magyar"/>
    <m/>
  </r>
  <r>
    <s v="Kelemen Gábor"/>
    <s v="UTAFFB"/>
    <s v="Aktív"/>
    <s v="osztatlan tanári [11 félév [testnevelő tanár; gyógytestnevelő-egészségfejlesztő tanár]]"/>
    <x v="8"/>
    <s v="osztatlan tanár"/>
    <s v="BDPK-SEK-SANO-OT-NOHU"/>
    <s v="Dunaszerdahely"/>
    <m/>
    <s v="Kelemen Gábor"/>
    <s v="Szlovákia"/>
    <d v="1996-12-20T00:00:00"/>
    <s v="T013724/FI21120/B"/>
    <x v="5"/>
    <s v="Állami ösztöndíjas (képzési időn túli)"/>
    <s v="2016/17/1"/>
    <s v="Nappali"/>
    <n v="3"/>
    <n v="1"/>
    <s v="2021/22/2"/>
    <n v="10"/>
    <s v="73157152787"/>
    <n v="11"/>
    <x v="3"/>
    <m/>
    <m/>
    <m/>
    <m/>
    <s v="Képzésváltás intézményen belül"/>
    <d v="2019-09-01T00:00:00"/>
    <m/>
    <s v="BDPK-SEK"/>
    <s v="Eke Norbertné"/>
    <d v="2016-07-26T00:00:00"/>
    <d v="2022-07-15T00:00:00"/>
    <n v="500000"/>
    <m/>
    <n v="5"/>
    <s v="Férfi"/>
    <n v="500000"/>
    <s v="gabus96@gmail.com"/>
    <s v="Olléová Anita"/>
    <n v="6"/>
    <s v="Aktív"/>
    <n v="6"/>
    <n v="12"/>
    <s v="szlovák"/>
    <m/>
  </r>
  <r>
    <s v="Tomcsányiné Kenderessy Virág"/>
    <s v="CRA08J"/>
    <s v="Passzív"/>
    <s v="osztatlan tanári [11 félév [testnevelő tanár; gyógytestnevelő-egészségfejlesztő tanár]]"/>
    <x v="8"/>
    <s v="osztatlan tanár"/>
    <s v="BDPK-SEK-SANO-OT-NOHU"/>
    <s v="Budapest"/>
    <s v="Budapest"/>
    <s v="Tomcsányiné Kenderessy Virág"/>
    <s v="Magyarország"/>
    <d v="1994-08-09T00:00:00"/>
    <s v="T011716/FI21120/B"/>
    <x v="5"/>
    <s v="Állami ösztöndíjas"/>
    <s v="2014/15/1"/>
    <s v="Nappali"/>
    <n v="4"/>
    <n v="1"/>
    <s v="2020/21/2"/>
    <n v="10"/>
    <s v="71685502063"/>
    <n v="11"/>
    <x v="3"/>
    <m/>
    <m/>
    <m/>
    <m/>
    <s v="Képzésváltás intézményen belül"/>
    <d v="2020-02-14T00:00:00"/>
    <m/>
    <s v="BDPK-SEK"/>
    <s v="Eke Norbertné"/>
    <d v="2014-08-28T00:00:00"/>
    <d v="2022-07-15T00:00:00"/>
    <m/>
    <m/>
    <n v="3"/>
    <s v="Nő"/>
    <n v="300000"/>
    <s v="v.kenderessy@gmail.com"/>
    <s v="Bereczky Anikó Zsuzsanna"/>
    <n v="3"/>
    <s v="Passzív"/>
    <m/>
    <n v="11"/>
    <s v="magyar"/>
    <m/>
  </r>
  <r>
    <s v="Kőfaragó Szilárd"/>
    <s v="MQ7PRM"/>
    <s v="Aktív"/>
    <s v="osztatlan tanári [11 félév [testnevelő tanár; gyógytestnevelő-egészségfejlesztő tanár]]"/>
    <x v="8"/>
    <s v="osztatlan tanárképzés"/>
    <s v="TKK-OTAK-NOHU"/>
    <s v="Sopron"/>
    <s v="Győr-Moson-Sopron"/>
    <s v="Kőfaragó Szilárd"/>
    <s v="Magyarország"/>
    <d v="1993-10-21T00:00:00"/>
    <s v="T126201/FI80798"/>
    <x v="5"/>
    <s v="Önköltséges"/>
    <s v="2017/18/1"/>
    <s v="Nappali"/>
    <n v="1"/>
    <n v="1"/>
    <s v="2020/21/2"/>
    <n v="10"/>
    <s v="72279944599"/>
    <n v="11"/>
    <x v="3"/>
    <m/>
    <m/>
    <m/>
    <m/>
    <s v="Képzésváltás intézményen belül"/>
    <d v="2019-09-14T00:00:00"/>
    <m/>
    <s v="BDPK-SEK"/>
    <s v="Eke Norbertné"/>
    <d v="2017-07-27T00:00:00"/>
    <d v="2023-01-31T00:00:00"/>
    <n v="500000"/>
    <m/>
    <n v="4"/>
    <s v="Férfi"/>
    <n v="500000"/>
    <s v="koefarago.szilard@gmail.com"/>
    <s v="Nagy Szilvia"/>
    <n v="6"/>
    <s v="Aktív"/>
    <n v="4"/>
    <n v="10"/>
    <s v="magyar"/>
    <n v="400000"/>
  </r>
  <r>
    <s v="Göndöcs Richárd"/>
    <s v="QQB1RX"/>
    <s v="Aktív"/>
    <s v="osztatlan tanári [11 félév [testnevelő tanár; gyógytestnevelő-egészségfejlesztő tanár]]"/>
    <x v="8"/>
    <s v="osztatlan tanár"/>
    <s v="BDPK-SEK-SANO-OT-NOHU"/>
    <s v="Kapuvár"/>
    <s v="Győr-Moson-Sopron"/>
    <s v="Göndöcs Richárd"/>
    <s v="Magyarország"/>
    <d v="1996-12-25T00:00:00"/>
    <s v="T013726/FI21120/B"/>
    <x v="5"/>
    <s v="Állami ösztöndíjas (képzési időn túli)"/>
    <s v="2016/17/1"/>
    <s v="Nappali"/>
    <n v="3"/>
    <n v="1"/>
    <s v="2021/22/2"/>
    <n v="10"/>
    <s v="72026830456"/>
    <n v="11"/>
    <x v="3"/>
    <m/>
    <m/>
    <m/>
    <m/>
    <s v="Képzésváltás intézményen belül"/>
    <d v="2019-09-03T00:00:00"/>
    <m/>
    <s v="BDPK-SEK"/>
    <s v="Eke Norbertné"/>
    <d v="2016-07-26T00:00:00"/>
    <d v="2022-07-15T00:00:00"/>
    <n v="500000"/>
    <m/>
    <n v="5"/>
    <s v="Férfi"/>
    <n v="500000"/>
    <s v="gricsi1225@freemail.hu"/>
    <s v="Rubint Erika"/>
    <n v="6"/>
    <s v="Aktív"/>
    <n v="6"/>
    <n v="12"/>
    <s v="magyar"/>
    <m/>
  </r>
  <r>
    <s v="Mátyás Fanni"/>
    <s v="G1QNWD"/>
    <s v="Aktív"/>
    <s v="osztatlan tanári [11 félév [testnevelő tanár; gyógytestnevelő-egészségfejlesztő tanár]]"/>
    <x v="8"/>
    <s v="osztatlan tanár"/>
    <s v="BDPK-SEK-SANO-OT-NOHU"/>
    <s v="Zalaegerszeg"/>
    <s v="Zala"/>
    <s v="Mátyás Fanni"/>
    <s v="Magyarország"/>
    <d v="1997-08-25T00:00:00"/>
    <s v="T133834/FI80798"/>
    <x v="5"/>
    <s v="Állami ösztöndíjas (képzési időn túli)"/>
    <s v="2016/17/1"/>
    <s v="Nappali"/>
    <n v="5"/>
    <n v="1"/>
    <s v="2021/22/2"/>
    <n v="10"/>
    <s v="74547737951"/>
    <n v="11"/>
    <x v="3"/>
    <m/>
    <m/>
    <m/>
    <m/>
    <s v="Képzésváltás intézményen belül"/>
    <d v="2019-09-03T00:00:00"/>
    <m/>
    <s v="BDPK-SEK"/>
    <s v="Eke Norbertné"/>
    <d v="2016-08-25T00:00:00"/>
    <d v="2022-07-15T00:00:00"/>
    <n v="500000"/>
    <m/>
    <n v="5"/>
    <s v="Nő"/>
    <n v="500000"/>
    <s v="fanecli2@gmail.com"/>
    <s v="Czigány Klára"/>
    <n v="6"/>
    <s v="Aktív"/>
    <n v="6"/>
    <n v="12"/>
    <s v="magyar"/>
    <m/>
  </r>
  <r>
    <s v="Vörös Ármin"/>
    <s v="KH6FSP"/>
    <s v="Aktív"/>
    <s v="osztatlan tanári [11 félév [testnevelő tanár; gyógytestnevelő-egészségfejlesztő tanár]]"/>
    <x v="8"/>
    <s v="osztatlan tanár"/>
    <s v="BDPK-SEK-SANO-OT-NOHU"/>
    <s v="Kapuvár"/>
    <s v="Győr-Moson-Sopron"/>
    <s v="Vörös Ármin"/>
    <s v="Magyarország"/>
    <d v="1997-07-04T00:00:00"/>
    <s v="T013778/FI21120/B"/>
    <x v="5"/>
    <s v="Állami ösztöndíjas (képzési időn túli)"/>
    <s v="2016/17/1"/>
    <s v="Nappali"/>
    <n v="3"/>
    <n v="1"/>
    <s v="2021/22/2"/>
    <n v="10"/>
    <s v="76597391464"/>
    <n v="11"/>
    <x v="3"/>
    <m/>
    <m/>
    <m/>
    <m/>
    <s v="Képzésváltás intézményen belül"/>
    <d v="2019-09-03T00:00:00"/>
    <m/>
    <s v="BDPK-SEK"/>
    <s v="Eke Norbertné"/>
    <d v="2016-07-26T00:00:00"/>
    <d v="2022-07-15T00:00:00"/>
    <n v="500000"/>
    <m/>
    <n v="5"/>
    <s v="Férfi"/>
    <n v="500000"/>
    <s v="varmin12@gmail.com"/>
    <s v="Hegyi Éva"/>
    <n v="6"/>
    <s v="Aktív"/>
    <n v="6"/>
    <n v="12"/>
    <s v="magyar"/>
    <m/>
  </r>
  <r>
    <s v="Petrovics Alex Roland"/>
    <s v="XXLXFL"/>
    <s v="Aktív"/>
    <s v="osztatlan tanári [11 félév [testnevelő tanár; gyógytestnevelő-egészségfejlesztő tanár]]"/>
    <x v="8"/>
    <s v="osztatlan tanár"/>
    <s v="BDPK-SEK-SANO-OT-NOHU"/>
    <s v="Szeged"/>
    <s v="Csongrád"/>
    <s v="Petrovics Alex Roland"/>
    <s v="Magyarország"/>
    <d v="1997-01-10T00:00:00"/>
    <s v="T013749/FI21120/B"/>
    <x v="5"/>
    <s v="Állami ösztöndíjas (képzési időn túli)"/>
    <s v="2016/17/1"/>
    <s v="Nappali"/>
    <n v="3"/>
    <n v="1"/>
    <s v="2021/22/2"/>
    <n v="10"/>
    <s v="75374685554"/>
    <n v="11"/>
    <x v="3"/>
    <m/>
    <m/>
    <m/>
    <m/>
    <s v="Képzésváltás intézményen belül"/>
    <d v="2019-09-14T00:00:00"/>
    <m/>
    <s v="BDPK-SEK"/>
    <s v="Eke Norbertné"/>
    <d v="2016-07-26T00:00:00"/>
    <d v="2022-07-15T00:00:00"/>
    <n v="500000"/>
    <m/>
    <n v="5"/>
    <s v="Férfi"/>
    <n v="500000"/>
    <s v="petali97@gmail.com"/>
    <s v="Tanács Judit"/>
    <n v="6"/>
    <s v="Aktív"/>
    <n v="6"/>
    <n v="12"/>
    <s v="magyar"/>
    <m/>
  </r>
  <r>
    <s v="Antal Viktória"/>
    <s v="QOVXZ1"/>
    <s v="Aktív"/>
    <s v="osztatlan tanári [11 félév [testnevelő tanár; gyógytestnevelő-egészségfejlesztő tanár]]"/>
    <x v="8"/>
    <s v="osztatlan tanárképzés"/>
    <s v="TKK-OTAK-NOHU"/>
    <s v="Tapolca"/>
    <s v="Veszprém"/>
    <s v="Antal Viktória"/>
    <s v="Magyarország"/>
    <d v="1998-08-09T00:00:00"/>
    <s v="T125549/FI80798"/>
    <x v="5"/>
    <s v="Állami ösztöndíjas"/>
    <s v="2017/18/1"/>
    <s v="Nappali"/>
    <n v="5"/>
    <n v="1"/>
    <s v="2021/22/2"/>
    <n v="10"/>
    <s v="72815728572"/>
    <n v="11"/>
    <x v="3"/>
    <m/>
    <m/>
    <m/>
    <m/>
    <s v="Képzésváltás intézményen belül"/>
    <d v="2019-09-14T00:00:00"/>
    <m/>
    <s v="BDPK-SEK"/>
    <s v="Eke Norbertné"/>
    <d v="2017-07-27T00:00:00"/>
    <d v="2023-01-31T00:00:00"/>
    <n v="500000"/>
    <m/>
    <n v="5"/>
    <s v="Nő"/>
    <n v="500000"/>
    <s v="vikici0809@gmail.com"/>
    <s v="Papp Mária Magdolna"/>
    <n v="6"/>
    <s v="Aktív"/>
    <n v="6"/>
    <n v="10"/>
    <s v="magyar"/>
    <m/>
  </r>
  <r>
    <s v="Barbalics Mátyás"/>
    <s v="GQYABC"/>
    <s v="Aktív"/>
    <s v="osztatlan tanári [11 félév [testnevelő tanár; gyógytestnevelő-egészségfejlesztő tanár]]"/>
    <x v="8"/>
    <s v="osztatlan tanárképzés"/>
    <s v="TKK-OTAK-NOHU"/>
    <s v="Szombathely"/>
    <s v="Vas"/>
    <s v="Barbalics Mátyás"/>
    <s v="Magyarország"/>
    <d v="1997-02-26T00:00:00"/>
    <s v="T124774/FI80798"/>
    <x v="5"/>
    <s v="Állami ösztöndíjas"/>
    <s v="2017/18/1"/>
    <s v="Nappali"/>
    <n v="5"/>
    <n v="1"/>
    <s v="2021/22/2"/>
    <n v="10"/>
    <s v="75855477024"/>
    <n v="11"/>
    <x v="3"/>
    <m/>
    <m/>
    <m/>
    <m/>
    <s v="Képzésváltás intézményen belül"/>
    <d v="2020-02-14T00:00:00"/>
    <m/>
    <s v="BDPK-SEK"/>
    <s v="Eke Norbertné"/>
    <d v="2017-07-27T00:00:00"/>
    <d v="2023-01-31T00:00:00"/>
    <m/>
    <m/>
    <n v="4"/>
    <s v="Férfi"/>
    <n v="300000"/>
    <s v="b.matyas97@gmail.com"/>
    <s v="Kapinya Edit"/>
    <n v="5"/>
    <s v="Aktív"/>
    <n v="5"/>
    <n v="10"/>
    <s v="magyar"/>
    <m/>
  </r>
  <r>
    <s v="Benkő Bence"/>
    <s v="GHBZHW"/>
    <s v="Aktív"/>
    <s v="osztatlan tanári [11 félév [testnevelő tanár; gyógytestnevelő-egészségfejlesztő tanár]]"/>
    <x v="8"/>
    <s v="osztatlan tanárképzés"/>
    <s v="TKK-OTAK-NOHU"/>
    <s v="Celldömölk"/>
    <s v="Vas"/>
    <s v="Benkő Bence"/>
    <s v="Magyarország"/>
    <d v="1998-04-03T00:00:00"/>
    <s v="T123031/FI80798"/>
    <x v="5"/>
    <s v="Állami ösztöndíjas"/>
    <s v="2017/18/1"/>
    <s v="Nappali"/>
    <n v="5"/>
    <n v="1"/>
    <s v="2021/22/2"/>
    <n v="10"/>
    <s v="76317007432"/>
    <n v="11"/>
    <x v="3"/>
    <m/>
    <m/>
    <m/>
    <m/>
    <s v="Képzésváltás intézményen belül"/>
    <d v="2019-09-14T00:00:00"/>
    <m/>
    <s v="BDPK-SEK"/>
    <s v="Eke Norbertné"/>
    <d v="2017-07-27T00:00:00"/>
    <d v="2023-01-31T00:00:00"/>
    <n v="500000"/>
    <m/>
    <n v="5"/>
    <s v="Férfi"/>
    <n v="500000"/>
    <s v="bencike311@gmail.com"/>
    <s v="Kovács Andrea"/>
    <n v="6"/>
    <s v="Aktív"/>
    <n v="6"/>
    <n v="10"/>
    <s v="magyar"/>
    <m/>
  </r>
  <r>
    <s v="Molnár Klaudia"/>
    <s v="ET4AD8"/>
    <s v="Aktív"/>
    <s v="osztatlan tanári [11 félév [testnevelő tanár; gyógytestnevelő-egészségfejlesztő tanár]]"/>
    <x v="8"/>
    <s v="osztatlan tanárképzés"/>
    <s v="TKK-OTAK-NOHU"/>
    <s v="Zalaegerszeg"/>
    <s v="Zala"/>
    <s v="Molnár Klaudia"/>
    <s v="Magyarország"/>
    <d v="1998-08-12T00:00:00"/>
    <s v="T125840/FI80798"/>
    <x v="5"/>
    <s v="Állami ösztöndíjas"/>
    <s v="2017/18/1"/>
    <s v="Nappali"/>
    <n v="5"/>
    <n v="1"/>
    <s v="2021/22/2"/>
    <n v="10"/>
    <s v="74934015403"/>
    <n v="11"/>
    <x v="3"/>
    <m/>
    <m/>
    <m/>
    <m/>
    <s v="Képzésváltás intézményen belül"/>
    <d v="2019-09-14T00:00:00"/>
    <m/>
    <s v="BDPK-SEK"/>
    <s v="Eke Norbertné"/>
    <d v="2017-07-27T00:00:00"/>
    <d v="2023-01-31T00:00:00"/>
    <n v="500000"/>
    <m/>
    <n v="5"/>
    <s v="Nő"/>
    <n v="500000"/>
    <s v="mklaucica@gmail.com"/>
    <s v="Oláh Krisztina"/>
    <n v="6"/>
    <s v="Aktív"/>
    <n v="6"/>
    <n v="10"/>
    <s v="magyar"/>
    <m/>
  </r>
  <r>
    <s v="Nyári Krisztina"/>
    <s v="VN79KQ"/>
    <s v="Aktív"/>
    <s v="osztatlan tanári [11 félév [testnevelő tanár; gyógytestnevelő-egészségfejlesztő tanár]]"/>
    <x v="8"/>
    <s v="osztatlan tanárképzés"/>
    <s v="TKK-OTAK-NOHU"/>
    <s v="Tatabánya"/>
    <s v="Komárom-Esztergom"/>
    <s v="Nyári Krisztina"/>
    <s v="Magyarország"/>
    <d v="1999-03-19T00:00:00"/>
    <s v="T149648/FI80798"/>
    <x v="5"/>
    <s v="Állami ösztöndíjas"/>
    <s v="2019/20/1"/>
    <s v="Nappali"/>
    <n v="7"/>
    <n v="1"/>
    <s v="2021/22/2"/>
    <n v="10"/>
    <s v="73921638466"/>
    <n v="11"/>
    <x v="3"/>
    <m/>
    <m/>
    <m/>
    <m/>
    <s v="Képzésváltás intézményen belül"/>
    <d v="2019-09-14T00:00:00"/>
    <m/>
    <s v="BDPK-SEK"/>
    <s v="Eke Norbertné"/>
    <d v="2019-07-24T00:00:00"/>
    <d v="2025-01-31T00:00:00"/>
    <n v="500000"/>
    <m/>
    <n v="5"/>
    <s v="Nő"/>
    <n v="500000"/>
    <s v="kriszti19990319@gmail.com"/>
    <s v="Bába Regina"/>
    <n v="6"/>
    <s v="Aktív"/>
    <n v="6"/>
    <n v="6"/>
    <s v="magyar"/>
    <m/>
  </r>
  <r>
    <s v="Pólya Márton András"/>
    <s v="HEGN9C"/>
    <s v="Aktív"/>
    <s v="osztatlan tanári [11 félév [testnevelő tanár; gyógytestnevelő-egészségfejlesztő tanár]]"/>
    <x v="8"/>
    <s v="osztatlan tanárképzés"/>
    <s v="TKK-OTAK-NOHU"/>
    <s v="Győr"/>
    <s v="Győr-Moson-Sopron"/>
    <s v="Pólya Márton András"/>
    <s v="Magyarország"/>
    <d v="1998-01-28T00:00:00"/>
    <s v="T129293/FI80798"/>
    <x v="5"/>
    <s v="Állami ösztöndíjas"/>
    <s v="2018/19/1"/>
    <s v="Nappali"/>
    <n v="7"/>
    <n v="1"/>
    <s v="2021/22/2"/>
    <n v="10"/>
    <s v="74094337226"/>
    <n v="11"/>
    <x v="3"/>
    <m/>
    <m/>
    <m/>
    <m/>
    <s v="Képzésváltás intézményen belül"/>
    <d v="2018-09-06T00:00:00"/>
    <m/>
    <s v="BDPK-SEK"/>
    <s v="Eke Norbertné"/>
    <d v="2018-07-25T00:00:00"/>
    <d v="2024-01-30T00:00:00"/>
    <n v="400000"/>
    <m/>
    <n v="7"/>
    <s v="Férfi"/>
    <n v="400000"/>
    <s v="marton9828@gmail.com"/>
    <s v="Ősze Zsuzsanna"/>
    <n v="8"/>
    <s v="Aktív"/>
    <n v="8"/>
    <n v="8"/>
    <s v="magyar"/>
    <m/>
  </r>
  <r>
    <s v="Tamási László Sámuel"/>
    <s v="I7WKFS"/>
    <s v="Aktív"/>
    <s v="osztatlan tanári [11 félév [testnevelő tanár; gyógytestnevelő-egészségfejlesztő tanár]]"/>
    <x v="8"/>
    <s v="osztatlan tanárképzés"/>
    <s v="TKK-OTAK-NOHU"/>
    <s v="Szombathely"/>
    <s v="Vas"/>
    <s v="Tamási László Sámuel"/>
    <s v="Magyarország"/>
    <d v="1998-01-26T00:00:00"/>
    <s v="T124778/FI80798"/>
    <x v="5"/>
    <s v="Állami ösztöndíjas"/>
    <s v="2017/18/1"/>
    <s v="Nappali"/>
    <n v="7"/>
    <n v="1"/>
    <s v="2021/22/2"/>
    <n v="10"/>
    <s v="78924570587"/>
    <n v="11"/>
    <x v="3"/>
    <m/>
    <m/>
    <m/>
    <m/>
    <s v="Képzésváltás intézményen belül"/>
    <d v="2019-09-14T00:00:00"/>
    <m/>
    <s v="BDPK-SEK"/>
    <s v="Eke Norbertné"/>
    <d v="2017-07-27T00:00:00"/>
    <d v="2024-01-31T00:00:00"/>
    <n v="500000"/>
    <m/>
    <n v="5"/>
    <s v="Férfi"/>
    <n v="500000"/>
    <s v="tamasilaszlo1966@gmail.com"/>
    <s v="Bencsics Szilvia"/>
    <n v="6"/>
    <s v="Aktív"/>
    <n v="6"/>
    <n v="8"/>
    <s v="magyar"/>
    <m/>
  </r>
  <r>
    <s v="Németh Zsófia"/>
    <s v="CHW430"/>
    <s v="Aktív"/>
    <s v="osztatlan tanári [11 félév [testnevelő tanár; gyógytestnevelő-egészségfejlesztő tanár]]"/>
    <x v="8"/>
    <s v="osztatlan tanárképzés"/>
    <s v="TKK-OTAK-NOHU"/>
    <s v="Győr"/>
    <s v="Győr-Moson-Sopron"/>
    <s v="Németh Zsófia"/>
    <s v="Magyarország"/>
    <d v="1998-12-12T00:00:00"/>
    <s v="T125717/FI80798"/>
    <x v="5"/>
    <s v="Állami ösztöndíjas"/>
    <s v="2017/18/1"/>
    <s v="Nappali"/>
    <n v="5"/>
    <n v="1"/>
    <s v="2021/22/2"/>
    <n v="10"/>
    <s v="76887809574"/>
    <n v="11"/>
    <x v="3"/>
    <m/>
    <m/>
    <m/>
    <m/>
    <s v="Képzésváltás intézményen belül"/>
    <d v="2019-09-14T00:00:00"/>
    <m/>
    <s v="BDPK-SEK"/>
    <s v="Eke Norbertné"/>
    <d v="2017-07-27T00:00:00"/>
    <d v="2023-01-31T00:00:00"/>
    <n v="500000"/>
    <m/>
    <n v="5"/>
    <s v="Nő"/>
    <n v="500000"/>
    <s v="nzsofy96@freemail.hu"/>
    <s v="Kiss Katalin"/>
    <n v="6"/>
    <s v="Aktív"/>
    <n v="6"/>
    <n v="10"/>
    <s v="magyar"/>
    <m/>
  </r>
  <r>
    <s v="Nagy Enikő"/>
    <s v="T8VXA5"/>
    <s v="Aktív"/>
    <s v="osztatlan tanári [11 félév [testnevelő tanár; gyógytestnevelő-egészségfejlesztő tanár]]"/>
    <x v="8"/>
    <s v="osztatlan tanárképzés"/>
    <s v="TKK-OTAK-NOHU"/>
    <s v="Ajka"/>
    <s v="Veszprém"/>
    <s v="Nagy Enikő"/>
    <s v="Magyarország"/>
    <d v="1997-04-26T00:00:00"/>
    <s v="T138089/FI80798"/>
    <x v="5"/>
    <s v="Állami ösztöndíjas"/>
    <s v="2018/19/1"/>
    <s v="Nappali"/>
    <n v="5"/>
    <n v="1"/>
    <s v="2021/22/2"/>
    <n v="10"/>
    <s v="74028516391"/>
    <n v="11"/>
    <x v="3"/>
    <m/>
    <m/>
    <m/>
    <m/>
    <s v="Képzésváltás intézményen belül"/>
    <d v="2018-09-06T00:00:00"/>
    <m/>
    <s v="BDPK-SEK"/>
    <s v="Eke Norbertné"/>
    <d v="2018-07-25T00:00:00"/>
    <d v="2024-01-30T00:00:00"/>
    <n v="400000"/>
    <m/>
    <n v="8"/>
    <s v="Nő"/>
    <n v="400000"/>
    <s v="eniko970426@gmail.com"/>
    <s v="Gyalog Judit"/>
    <n v="8"/>
    <s v="Aktív"/>
    <n v="8"/>
    <n v="8"/>
    <s v="magyar"/>
    <m/>
  </r>
  <r>
    <s v="Boda Boldizsár"/>
    <s v="VPJVRN"/>
    <s v="Aktív"/>
    <s v="osztatlan tanári [11 félév [testnevelő tanár; gyógytestnevelő-egészségfejlesztő tanár]]"/>
    <x v="8"/>
    <s v="osztatlan tanárképzés"/>
    <s v="TKK-OTAK-NOHU"/>
    <s v="Szombathely"/>
    <s v="Vas"/>
    <s v="Boda Boldizsár"/>
    <s v="Magyarország"/>
    <d v="1998-08-28T00:00:00"/>
    <s v="T130424/FI80798"/>
    <x v="5"/>
    <s v="Állami ösztöndíjas"/>
    <s v="2019/20/1"/>
    <s v="Nappali"/>
    <n v="4"/>
    <n v="1"/>
    <s v="2021/22/2"/>
    <n v="10"/>
    <s v="76157734660"/>
    <n v="11"/>
    <x v="3"/>
    <m/>
    <m/>
    <m/>
    <m/>
    <s v="Képzésváltás intézményen belül"/>
    <d v="2019-09-14T00:00:00"/>
    <m/>
    <s v="BDPK-SEK"/>
    <s v="Eke Norbertné"/>
    <d v="2019-07-24T00:00:00"/>
    <d v="2025-01-31T00:00:00"/>
    <n v="500000"/>
    <m/>
    <n v="5"/>
    <s v="Férfi"/>
    <n v="500000"/>
    <s v="boldi.boda98@gmail.com"/>
    <s v="Milisics Erika"/>
    <n v="6"/>
    <s v="Aktív"/>
    <n v="6"/>
    <n v="6"/>
    <s v="magyar"/>
    <m/>
  </r>
  <r>
    <s v="Biró Martin"/>
    <s v="LFFWHO"/>
    <s v="Aktív"/>
    <s v="osztatlan tanári [11 félév [testnevelő tanár; gyógytestnevelő-egészségfejlesztő tanár]]"/>
    <x v="8"/>
    <s v="osztatlan tanárképzés"/>
    <s v="TKK-OTAK-NOHU"/>
    <s v="Marcali"/>
    <s v="Somogy"/>
    <s v="Biró Martin"/>
    <s v="Magyarország"/>
    <d v="1992-11-21T00:00:00"/>
    <s v="T124876/FI80798"/>
    <x v="5"/>
    <s v="Állami ösztöndíjas"/>
    <s v="2017/18/1"/>
    <s v="Nappali"/>
    <n v="5"/>
    <n v="1"/>
    <s v="2021/22/2"/>
    <n v="10"/>
    <s v="72096175947"/>
    <n v="11"/>
    <x v="3"/>
    <m/>
    <m/>
    <m/>
    <m/>
    <s v="Képzésváltás intézményen belül"/>
    <d v="2020-02-14T00:00:00"/>
    <m/>
    <s v="BDPK-SEK"/>
    <s v="Eke Norbertné"/>
    <d v="2017-07-27T00:00:00"/>
    <d v="2023-01-31T00:00:00"/>
    <m/>
    <m/>
    <n v="4"/>
    <s v="Férfi"/>
    <n v="300000"/>
    <s v="jejemedve@gmail.com"/>
    <s v="Tóth Valéria"/>
    <n v="5"/>
    <s v="Aktív"/>
    <n v="5"/>
    <n v="10"/>
    <s v="magyar"/>
    <m/>
  </r>
  <r>
    <s v="Domonkos Róbert Tibor"/>
    <s v="X0BP3W"/>
    <s v="Aktív"/>
    <s v="osztatlan tanári [11 félév [testnevelő tanár; gyógytestnevelő-egészségfejlesztő tanár]]"/>
    <x v="8"/>
    <s v="osztatlan tanárképzés"/>
    <s v="TKK-OTAK-NOHU"/>
    <s v="Celldömölk"/>
    <s v="Vas"/>
    <s v="Domonkos Róbert Tibor"/>
    <s v="Magyarország"/>
    <d v="1998-05-29T00:00:00"/>
    <s v="T122889/FI80798"/>
    <x v="5"/>
    <s v="Állami ösztöndíjas"/>
    <s v="2017/18/1"/>
    <s v="Nappali"/>
    <n v="5"/>
    <n v="1"/>
    <s v="2021/22/2"/>
    <n v="10"/>
    <s v="75500224405"/>
    <n v="11"/>
    <x v="3"/>
    <m/>
    <m/>
    <m/>
    <m/>
    <s v="Képzésváltás intézményen belül"/>
    <d v="2019-09-14T00:00:00"/>
    <m/>
    <s v="BDPK-SEK"/>
    <s v="Eke Norbertné"/>
    <d v="2017-07-27T00:00:00"/>
    <d v="2023-01-31T00:00:00"/>
    <n v="500000"/>
    <m/>
    <n v="5"/>
    <s v="Férfi"/>
    <n v="500000"/>
    <s v="domonkosrobert98@gmail.com"/>
    <s v="Ágoston Renáta"/>
    <n v="6"/>
    <s v="Aktív"/>
    <n v="6"/>
    <n v="10"/>
    <s v="magyar"/>
    <m/>
  </r>
  <r>
    <s v="Vicze Kristóf"/>
    <s v="A9CTR0"/>
    <s v="Aktív"/>
    <s v="osztatlan tanári [11 félév [testnevelő tanár; gyógytestnevelő-egészségfejlesztő tanár]]"/>
    <x v="8"/>
    <s v="osztatlan tanárképzés"/>
    <s v="TKK-OTAK-NOHU"/>
    <s v="Pécs"/>
    <s v="Baranya"/>
    <s v="Vicze Kristóf"/>
    <s v="Magyarország"/>
    <d v="1999-01-10T00:00:00"/>
    <s v="T130613/FI80798"/>
    <x v="5"/>
    <s v="Állami ösztöndíjas"/>
    <s v="2017/18/1"/>
    <s v="Nappali"/>
    <n v="4"/>
    <n v="2"/>
    <s v="2021/22/2"/>
    <n v="10"/>
    <s v="75621798287"/>
    <n v="11"/>
    <x v="3"/>
    <m/>
    <m/>
    <m/>
    <m/>
    <s v="Képzésváltás intézményen belül"/>
    <d v="2019-09-14T00:00:00"/>
    <m/>
    <s v="BDPK-SEK"/>
    <s v="Eke Norbertné"/>
    <d v="2017-07-27T00:00:00"/>
    <d v="2023-01-31T00:00:00"/>
    <n v="500000"/>
    <m/>
    <n v="5"/>
    <s v="Férfi"/>
    <n v="500000"/>
    <s v="vicze.k@freemail.hu"/>
    <s v="Bárány Mónika"/>
    <n v="6"/>
    <s v="Aktív"/>
    <n v="6"/>
    <n v="10"/>
    <s v="magyar"/>
    <m/>
  </r>
  <r>
    <s v="Fülöp Virág"/>
    <s v="EZJDIM"/>
    <s v="Aktív"/>
    <s v="osztatlan tanári [11 félév [testnevelő tanár; gyógytestnevelő-egészségfejlesztő tanár]]"/>
    <x v="8"/>
    <s v="osztatlan tanárképzés"/>
    <s v="TKK-OTAK-NOHU"/>
    <s v="Veszprém"/>
    <s v="Veszprém"/>
    <s v="Fülöp Virág"/>
    <s v="Magyarország"/>
    <d v="1998-04-28T00:00:00"/>
    <s v="T130263/FI80798"/>
    <x v="5"/>
    <s v="Állami ösztöndíjas"/>
    <s v="2017/18/1"/>
    <s v="Nappali"/>
    <n v="5"/>
    <n v="1"/>
    <s v="2021/22/2"/>
    <n v="10"/>
    <s v="75227208171"/>
    <n v="11"/>
    <x v="3"/>
    <m/>
    <m/>
    <m/>
    <m/>
    <s v="Képzésváltás intézményen belül"/>
    <d v="2019-09-14T00:00:00"/>
    <m/>
    <s v="BDPK-SEK"/>
    <s v="Eke Norbertné"/>
    <d v="2017-07-27T00:00:00"/>
    <d v="2023-01-31T00:00:00"/>
    <n v="500000"/>
    <m/>
    <n v="5"/>
    <s v="Nő"/>
    <n v="500000"/>
    <s v="virag.fulop98@gmail.com"/>
    <s v="Biró Zsuzsanna"/>
    <n v="6"/>
    <s v="Aktív"/>
    <n v="6"/>
    <n v="10"/>
    <s v="magyar"/>
    <m/>
  </r>
  <r>
    <s v="Horváth Loretta"/>
    <s v="RSFQ8F"/>
    <s v="Aktív"/>
    <s v="osztatlan tanári [11 félév [testnevelő tanár; gyógytestnevelő-egészségfejlesztő tanár]]"/>
    <x v="8"/>
    <s v="osztatlan tanárképzés"/>
    <s v="TKK-OTAK-NOHU"/>
    <s v="Nagykanizsa"/>
    <s v="Zala"/>
    <s v="Horváth Loretta"/>
    <s v="Magyarország"/>
    <d v="1998-12-04T00:00:00"/>
    <s v="T126308/FI80798"/>
    <x v="5"/>
    <s v="Állami ösztöndíjas"/>
    <s v="2017/18/1"/>
    <s v="Nappali"/>
    <n v="4"/>
    <n v="1"/>
    <s v="2021/22/2"/>
    <n v="10"/>
    <s v="73525887629"/>
    <n v="11"/>
    <x v="3"/>
    <m/>
    <m/>
    <m/>
    <m/>
    <s v="Képzésváltás intézményen belül"/>
    <d v="2019-09-14T00:00:00"/>
    <m/>
    <s v="BDPK-SEK"/>
    <s v="Eke Norbertné"/>
    <d v="2017-07-27T00:00:00"/>
    <d v="2023-01-31T00:00:00"/>
    <n v="500000"/>
    <m/>
    <n v="5"/>
    <s v="Nő"/>
    <n v="500000"/>
    <s v="horvathlori@icloud.com"/>
    <s v="Imre Katalin"/>
    <n v="6"/>
    <s v="Aktív"/>
    <n v="6"/>
    <n v="10"/>
    <s v="magyar"/>
    <m/>
  </r>
  <r>
    <s v="Luter Kristóf"/>
    <s v="B225B8"/>
    <s v="Aktív"/>
    <s v="osztatlan tanári [11 félév [testnevelő tanár; gyógytestnevelő-egészségfejlesztő tanár]]"/>
    <x v="8"/>
    <s v="osztatlan tanárképzés"/>
    <s v="TKK-OTAK-NOHU"/>
    <s v="Zalaegerszeg"/>
    <s v="Zala"/>
    <s v="Luter Kristóf"/>
    <s v="Magyarország"/>
    <d v="1999-01-10T00:00:00"/>
    <s v="T131090/FI80798"/>
    <x v="5"/>
    <s v="Állami ösztöndíjas"/>
    <s v="2017/18/1"/>
    <s v="Nappali"/>
    <n v="5"/>
    <n v="1"/>
    <s v="2021/22/2"/>
    <n v="10"/>
    <s v="73275350873"/>
    <n v="11"/>
    <x v="3"/>
    <m/>
    <m/>
    <m/>
    <m/>
    <s v="Képzésváltás intézményen belül"/>
    <d v="2019-09-14T00:00:00"/>
    <m/>
    <s v="BDPK-SEK"/>
    <s v="Eke Norbertné"/>
    <d v="2017-07-27T00:00:00"/>
    <d v="2023-01-31T00:00:00"/>
    <n v="500000"/>
    <m/>
    <n v="5"/>
    <s v="Férfi"/>
    <n v="500000"/>
    <s v="luter.kristof@gmail.com"/>
    <s v="Németh Veronika"/>
    <n v="6"/>
    <s v="Aktív"/>
    <n v="6"/>
    <n v="10"/>
    <s v="magyar"/>
    <m/>
  </r>
  <r>
    <s v="Takács Soma Tibor"/>
    <s v="BFXJTJ"/>
    <s v="Aktív"/>
    <s v="osztatlan tanári [11 félév [testnevelő tanár; gyógytestnevelő-egészségfejlesztő tanár]]"/>
    <x v="8"/>
    <s v="osztatlan tanárképzés"/>
    <s v="TKK-OTAK-NOHU"/>
    <s v="Zalaegerszeg"/>
    <s v="Zala"/>
    <s v="Takács Soma Tibor"/>
    <s v="Magyarország"/>
    <d v="1998-06-28T00:00:00"/>
    <s v="T125763/FI80798"/>
    <x v="5"/>
    <s v="Állami ösztöndíjas"/>
    <s v="2017/18/1"/>
    <s v="Nappali"/>
    <n v="7"/>
    <n v="1"/>
    <s v="2021/22/2"/>
    <n v="10"/>
    <s v="72642039444"/>
    <n v="11"/>
    <x v="3"/>
    <m/>
    <m/>
    <m/>
    <m/>
    <s v="Képzésváltás intézményen belül"/>
    <d v="2019-09-14T00:00:00"/>
    <m/>
    <s v="BDPK-SEK"/>
    <s v="Eke Norbertné"/>
    <d v="2017-07-27T00:00:00"/>
    <d v="2023-01-31T00:00:00"/>
    <n v="500000"/>
    <m/>
    <n v="5"/>
    <s v="Férfi"/>
    <n v="500000"/>
    <s v="soma.takacs12@gmail.com"/>
    <s v="Gál Andrea"/>
    <n v="6"/>
    <s v="Aktív"/>
    <n v="6"/>
    <n v="10"/>
    <s v="magyar"/>
    <m/>
  </r>
  <r>
    <s v="Kassai Diána"/>
    <s v="TIC34H"/>
    <s v="Aktív"/>
    <s v="osztatlan tanári [11 félév [testnevelő tanár; gyógytestnevelő-egészségfejlesztő tanár]]"/>
    <x v="8"/>
    <s v="osztatlan tanárképzés"/>
    <s v="TKK-OTAK-NOHU"/>
    <s v="Gyula"/>
    <s v="Békés"/>
    <s v="Kassai Diána"/>
    <s v="Magyarország"/>
    <d v="1991-08-10T00:00:00"/>
    <s v="T142249/FI80798"/>
    <x v="5"/>
    <s v="Állami ösztöndíjas"/>
    <s v="2018/19/1"/>
    <s v="Nappali"/>
    <n v="3"/>
    <n v="1"/>
    <s v="2021/22/2"/>
    <n v="10"/>
    <s v="74251233354"/>
    <n v="11"/>
    <x v="3"/>
    <m/>
    <m/>
    <m/>
    <m/>
    <s v="Képzésváltás intézményen belül"/>
    <d v="2018-09-06T00:00:00"/>
    <m/>
    <s v="BDPK-SEK"/>
    <s v="Eke Norbertné"/>
    <d v="2018-07-25T00:00:00"/>
    <d v="2024-01-30T00:00:00"/>
    <n v="400000"/>
    <m/>
    <n v="7"/>
    <s v="Nő"/>
    <n v="400000"/>
    <s v="kassaid91@gmail.com"/>
    <s v="Szabó Andrea"/>
    <n v="8"/>
    <s v="Aktív"/>
    <n v="8"/>
    <n v="8"/>
    <s v="magyar"/>
    <m/>
  </r>
  <r>
    <s v="Arany Daniel"/>
    <s v="HXSMFE"/>
    <s v="Erasmus"/>
    <s v="osztatlan tanári [11 félév [testnevelő tanár; gyógytestnevelő-egészségfejlesztő tanár]]"/>
    <x v="8"/>
    <s v="osztatlan tanárképzés"/>
    <s v="TKK-OTAK-NOHU"/>
    <s v="Dunajska Streda"/>
    <m/>
    <s v="Arany Daniel"/>
    <s v="Szlovákia"/>
    <d v="1998-03-09T00:00:00"/>
    <s v="T126016/FI80798"/>
    <x v="5"/>
    <s v="Állami ösztöndíjas"/>
    <s v="2017/18/1"/>
    <s v="Nappali"/>
    <n v="5"/>
    <n v="1"/>
    <s v="2021/22/2"/>
    <n v="10"/>
    <s v="72410595730"/>
    <n v="11"/>
    <x v="3"/>
    <m/>
    <m/>
    <m/>
    <m/>
    <s v="Képzésváltás intézményen belül"/>
    <d v="2020-02-14T00:00:00"/>
    <m/>
    <s v="BDPK-SEK"/>
    <s v="Eke Norbertné"/>
    <d v="2017-07-27T00:00:00"/>
    <d v="2023-01-31T00:00:00"/>
    <m/>
    <m/>
    <n v="4"/>
    <s v="Férfi"/>
    <n v="300000"/>
    <s v="aranydani17@gmail.com"/>
    <s v="Vargová Zuzana"/>
    <n v="5"/>
    <s v="Erasmus"/>
    <n v="5"/>
    <n v="10"/>
    <s v="magyar"/>
    <m/>
  </r>
  <r>
    <s v="Domsi Erzsébet Anna"/>
    <s v="FM32JN"/>
    <s v="Aktív"/>
    <s v="osztatlan tanári [11 félév [testnevelő tanár; gyógytestnevelő-egészségfejlesztő tanár]]"/>
    <x v="8"/>
    <s v="osztatlan tanárképzés"/>
    <s v="TKK-OTAK-NOHU"/>
    <s v="Mosonmagyaróvár"/>
    <s v="Győr-Moson-Sopron"/>
    <s v="Domsi Erzsébet Anna"/>
    <s v="Magyarország"/>
    <d v="1998-06-07T00:00:00"/>
    <s v="T124992/FI80798"/>
    <x v="5"/>
    <s v="Állami ösztöndíjas"/>
    <s v="2017/18/1"/>
    <s v="Nappali"/>
    <n v="5"/>
    <n v="1"/>
    <s v="2021/22/2"/>
    <n v="10"/>
    <s v="77170562788"/>
    <n v="11"/>
    <x v="3"/>
    <m/>
    <m/>
    <m/>
    <m/>
    <s v="Képzésváltás intézményen belül"/>
    <d v="2019-09-14T00:00:00"/>
    <m/>
    <s v="BDPK-SEK"/>
    <s v="Eke Norbertné"/>
    <d v="2017-07-27T00:00:00"/>
    <d v="2023-01-31T00:00:00"/>
    <n v="500000"/>
    <m/>
    <n v="5"/>
    <s v="Nő"/>
    <n v="500000"/>
    <s v="domsibetti@freemail.hu"/>
    <s v="Szelle Erzsébet"/>
    <n v="6"/>
    <s v="Aktív"/>
    <n v="6"/>
    <n v="10"/>
    <s v="magyar"/>
    <m/>
  </r>
  <r>
    <s v="Gordos Kristóf Márk"/>
    <s v="T1KFK3"/>
    <s v="Aktív"/>
    <s v="osztatlan tanári [11 félév [testnevelő tanár; gyógytestnevelő-egészségfejlesztő tanár]]"/>
    <x v="8"/>
    <s v="osztatlan tanárképzés"/>
    <s v="TKK-OTAK-NOHU"/>
    <s v="Balassagyarmat"/>
    <s v="Nógrád"/>
    <s v="Gordos Kristóf Márk"/>
    <s v="Magyarország"/>
    <d v="1993-06-13T00:00:00"/>
    <s v="T124790/FI80798"/>
    <x v="5"/>
    <s v="Állami ösztöndíjas"/>
    <s v="2017/18/1"/>
    <s v="Nappali"/>
    <n v="5"/>
    <n v="1"/>
    <s v="2021/22/2"/>
    <n v="10"/>
    <s v="71822077998"/>
    <n v="11"/>
    <x v="3"/>
    <m/>
    <m/>
    <m/>
    <m/>
    <s v="Képzésváltás intézményen belül"/>
    <d v="2019-09-14T00:00:00"/>
    <m/>
    <s v="BDPK-SEK"/>
    <s v="Eke Norbertné"/>
    <d v="2017-07-27T00:00:00"/>
    <d v="2023-01-31T00:00:00"/>
    <n v="500000"/>
    <m/>
    <n v="5"/>
    <s v="Férfi"/>
    <n v="500000"/>
    <s v="gordoskristof@gmail.com"/>
    <s v="Percze Erika"/>
    <n v="6"/>
    <s v="Aktív"/>
    <n v="6"/>
    <n v="10"/>
    <s v="magyar"/>
    <m/>
  </r>
  <r>
    <s v="Vadas Balázs Imre"/>
    <s v="B2NJ55"/>
    <s v="Aktív"/>
    <s v="osztatlan tanári [11 félév [testnevelő tanár; gyógytestnevelő-egészségfejlesztő tanár]]"/>
    <x v="8"/>
    <s v="osztatlan tanárképzés"/>
    <s v="TKK-OTAK-NOHU"/>
    <s v="Tapolca"/>
    <s v="Veszprém"/>
    <s v="Vadas Balázs Imre"/>
    <s v="Magyarország"/>
    <d v="1999-01-22T00:00:00"/>
    <s v="T130502/FI80798"/>
    <x v="5"/>
    <s v="Állami ösztöndíjas"/>
    <s v="2017/18/1"/>
    <s v="Nappali"/>
    <n v="5"/>
    <n v="1"/>
    <s v="2021/22/2"/>
    <n v="10"/>
    <s v="73542640053"/>
    <n v="11"/>
    <x v="3"/>
    <m/>
    <m/>
    <m/>
    <m/>
    <s v="Képzésváltás intézményen belül"/>
    <d v="2019-09-14T00:00:00"/>
    <m/>
    <s v="BDPK-SEK"/>
    <s v="Eke Norbertné"/>
    <d v="2017-07-27T00:00:00"/>
    <d v="2023-01-31T00:00:00"/>
    <n v="500000"/>
    <m/>
    <n v="5"/>
    <s v="Férfi"/>
    <n v="500000"/>
    <s v="vadibali89@gmail.com"/>
    <s v="Vadas Viktória"/>
    <n v="6"/>
    <s v="Aktív"/>
    <n v="6"/>
    <n v="10"/>
    <s v="magyar"/>
    <m/>
  </r>
  <r>
    <s v="Kulcsár Márió"/>
    <s v="HU44AS"/>
    <s v="Aktív"/>
    <s v="osztatlan tanári [11 félév [testnevelő tanár; gyógytestnevelő-egészségfejlesztő tanár]]"/>
    <x v="8"/>
    <s v="osztatlan tanárképzés"/>
    <s v="TKK-OTAK-NOHU"/>
    <s v="Szombathely"/>
    <s v="Vas"/>
    <s v="Kulcsár Márió"/>
    <s v="Magyarország"/>
    <d v="1998-05-06T00:00:00"/>
    <s v="T133242/FI80798"/>
    <x v="5"/>
    <s v="Állami ösztöndíjas"/>
    <s v="2017/18/1"/>
    <s v="Nappali"/>
    <n v="5"/>
    <n v="1"/>
    <s v="2021/22/2"/>
    <n v="10"/>
    <s v="77158857264"/>
    <n v="11"/>
    <x v="3"/>
    <m/>
    <m/>
    <m/>
    <m/>
    <s v="Képzésváltás intézményen belül"/>
    <d v="2019-09-14T00:00:00"/>
    <m/>
    <s v="BDPK-SEK"/>
    <s v="Eke Norbertné"/>
    <d v="2017-07-27T00:00:00"/>
    <d v="2023-01-31T00:00:00"/>
    <n v="500000"/>
    <m/>
    <n v="5"/>
    <s v="Férfi"/>
    <n v="500000"/>
    <s v="supermario101010@gmail.com"/>
    <s v="Oszwald Tímea"/>
    <n v="6"/>
    <s v="Aktív"/>
    <n v="6"/>
    <n v="10"/>
    <s v="magyar"/>
    <m/>
  </r>
  <r>
    <s v="Varga Laura"/>
    <s v="F9D2L8"/>
    <s v="Erasmus"/>
    <s v="osztatlan tanári [11 félév [testnevelő tanár; gyógytestnevelő-egészségfejlesztő tanár]]"/>
    <x v="8"/>
    <s v="osztatlan tanárképzés"/>
    <s v="TKK-OTAK-NOHU"/>
    <s v="Körmend"/>
    <s v="Vas"/>
    <s v="Varga Laura"/>
    <s v="Magyarország"/>
    <d v="1998-02-20T00:00:00"/>
    <s v="T136345/FI80798"/>
    <x v="5"/>
    <s v="Állami ösztöndíjas"/>
    <s v="2018/19/1"/>
    <s v="Nappali"/>
    <n v="7"/>
    <n v="1"/>
    <s v="2021/22/2"/>
    <n v="10"/>
    <s v="73609204298"/>
    <n v="11"/>
    <x v="3"/>
    <m/>
    <m/>
    <m/>
    <m/>
    <s v="Képzésváltás intézményen belül"/>
    <d v="2021-09-02T00:00:00"/>
    <m/>
    <s v="BDPK-SEK"/>
    <s v="Eke Norbertné"/>
    <d v="2018-07-25T00:00:00"/>
    <d v="2024-01-31T00:00:00"/>
    <n v="500000"/>
    <m/>
    <n v="1"/>
    <s v="Nő"/>
    <n v="500000"/>
    <s v="laura.varga98@gmail.com"/>
    <s v="Szabó Katalin"/>
    <n v="2"/>
    <s v="Erasmus"/>
    <n v="2"/>
    <n v="8"/>
    <s v="magyar"/>
    <m/>
  </r>
  <r>
    <s v="Németh Kevin"/>
    <s v="EUVTP7"/>
    <s v="Aktív"/>
    <s v="osztatlan tanári [11 félév [testnevelő tanár; gyógytestnevelő-egészségfejlesztő tanár]]"/>
    <x v="8"/>
    <s v="osztatlan tanárképzés"/>
    <s v="TKK-OTAK-NOHU"/>
    <s v="Körmend"/>
    <s v="Vas"/>
    <s v="Németh Kevin"/>
    <s v="Magyarország"/>
    <d v="1995-03-25T00:00:00"/>
    <s v="T126327/FI80798"/>
    <x v="5"/>
    <s v="Állami ösztöndíjas"/>
    <s v="2017/18/1"/>
    <s v="Nappali"/>
    <n v="5"/>
    <n v="1"/>
    <s v="2021/22/2"/>
    <n v="10"/>
    <s v="75245732780"/>
    <n v="11"/>
    <x v="3"/>
    <m/>
    <m/>
    <m/>
    <m/>
    <s v="Képzésváltás intézményen belül"/>
    <d v="2019-09-14T00:00:00"/>
    <m/>
    <s v="BDPK-SEK"/>
    <s v="Eke Norbertné"/>
    <d v="2017-07-27T00:00:00"/>
    <d v="2023-01-31T00:00:00"/>
    <n v="500000"/>
    <m/>
    <n v="5"/>
    <s v="Férfi"/>
    <n v="500000"/>
    <s v="kevin95@gmail.hu"/>
    <s v="Németh Mónika"/>
    <n v="6"/>
    <s v="Aktív"/>
    <n v="6"/>
    <n v="10"/>
    <s v="magyar"/>
    <m/>
  </r>
  <r>
    <s v="Juhász Máté"/>
    <s v="U38XRZ"/>
    <s v="Aktív"/>
    <s v="osztatlan tanári [11 félév [testnevelő tanár; gyógytestnevelő-egészségfejlesztő tanár]]"/>
    <x v="8"/>
    <s v="osztatlan tanár"/>
    <s v="BDPK-SEK-SANO-OT-NOHU"/>
    <s v="Mosonmagyaróvár"/>
    <s v="Győr-Moson-Sopron"/>
    <s v="Juhász Máté"/>
    <s v="Magyarország"/>
    <d v="1994-08-07T00:00:00"/>
    <s v="T013721/FI21120/B"/>
    <x v="5"/>
    <s v="Állami ösztöndíjas"/>
    <s v="2016/17/1"/>
    <s v="Nappali"/>
    <n v="4"/>
    <n v="1"/>
    <s v="2021/22/2"/>
    <n v="10"/>
    <s v="74602708051"/>
    <n v="11"/>
    <x v="3"/>
    <m/>
    <m/>
    <m/>
    <m/>
    <s v="Képzésváltás intézményen belül"/>
    <d v="2019-09-03T00:00:00"/>
    <m/>
    <s v="BDPK-SEK"/>
    <s v="Eke Norbertné"/>
    <d v="2016-07-26T00:00:00"/>
    <d v="2023-01-31T00:00:00"/>
    <n v="500000"/>
    <m/>
    <n v="4"/>
    <s v="Férfi"/>
    <n v="500000"/>
    <s v="mate9408@gmail.com"/>
    <s v="Tolnai Klára"/>
    <n v="5"/>
    <s v="Aktív"/>
    <n v="5"/>
    <n v="11"/>
    <s v="magyar"/>
    <m/>
  </r>
  <r>
    <s v="Horváth Csaba"/>
    <s v="NGDQZM"/>
    <s v="Aktív"/>
    <s v="osztatlan tanári [11 félév [testnevelő tanár; gyógytestnevelő-egészségfejlesztő tanár]]"/>
    <x v="8"/>
    <s v="osztatlan tanárképzés"/>
    <s v="TKK-OTAK-NOHU"/>
    <s v="Sopron"/>
    <s v="Győr-Moson-Sopron"/>
    <s v="Horváth Csaba"/>
    <s v="Magyarország"/>
    <d v="1998-06-21T00:00:00"/>
    <s v="T137763/FI80798"/>
    <x v="5"/>
    <s v="Állami ösztöndíjas"/>
    <s v="2018/19/1"/>
    <s v="Nappali"/>
    <n v="7"/>
    <n v="1"/>
    <s v="2021/22/2"/>
    <n v="10"/>
    <s v="72584580574"/>
    <n v="11"/>
    <x v="3"/>
    <m/>
    <m/>
    <m/>
    <m/>
    <s v="Képzésváltás intézményen belül"/>
    <d v="2018-09-06T00:00:00"/>
    <m/>
    <s v="BDPK-SEK"/>
    <s v="Eke Norbertné"/>
    <d v="2018-07-25T00:00:00"/>
    <d v="2024-01-30T00:00:00"/>
    <n v="400000"/>
    <m/>
    <n v="7"/>
    <s v="Férfi"/>
    <n v="400000"/>
    <s v="h.csabesz98@gmail.com"/>
    <s v="Horváth Krisztina"/>
    <n v="8"/>
    <s v="Aktív"/>
    <n v="8"/>
    <n v="8"/>
    <s v="magyar"/>
    <m/>
  </r>
  <r>
    <s v="Horváth Konrád"/>
    <s v="R2H26X"/>
    <s v="Aktív"/>
    <s v="osztatlan tanári [11 félév [testnevelő tanár; gyógytestnevelő-egészségfejlesztő tanár]]"/>
    <x v="8"/>
    <s v="osztatlan tanárképzés"/>
    <s v="TKK-OTAK-NOHU"/>
    <s v="Celldömölk"/>
    <s v="Vas"/>
    <s v="Horváth Konrád"/>
    <s v="Magyarország"/>
    <d v="2000-03-17T00:00:00"/>
    <s v="T136156/FI80798"/>
    <x v="5"/>
    <s v="Állami ösztöndíjas"/>
    <s v="2018/19/1"/>
    <s v="Nappali"/>
    <n v="7"/>
    <n v="1"/>
    <s v="2021/22/2"/>
    <n v="10"/>
    <s v="77948126580"/>
    <n v="11"/>
    <x v="3"/>
    <m/>
    <m/>
    <m/>
    <m/>
    <s v="Képzésváltás intézményen belül"/>
    <d v="2018-09-06T00:00:00"/>
    <m/>
    <s v="BDPK-SEK"/>
    <s v="Eke Norbertné"/>
    <d v="2018-07-25T00:00:00"/>
    <d v="2024-01-30T00:00:00"/>
    <n v="400000"/>
    <m/>
    <n v="7"/>
    <s v="Férfi"/>
    <n v="400000"/>
    <s v="horvathkoni@gmail.com"/>
    <s v="Csihar Anita"/>
    <n v="8"/>
    <s v="Aktív"/>
    <n v="8"/>
    <n v="8"/>
    <s v="magyar"/>
    <m/>
  </r>
  <r>
    <s v="Janszky Flóra"/>
    <s v="GZ3PKA"/>
    <s v="Aktív"/>
    <s v="osztatlan tanári [11 félév [testnevelő tanár; gyógytestnevelő-egészségfejlesztő tanár]]"/>
    <x v="8"/>
    <s v="osztatlan tanárképzés"/>
    <s v="TKK-OTAK-NOHU"/>
    <s v="Győr"/>
    <s v="Győr-Moson-Sopron"/>
    <s v="Janszky Flóra"/>
    <s v="Magyarország"/>
    <d v="1999-11-09T00:00:00"/>
    <s v="T144099/FI80798"/>
    <x v="5"/>
    <s v="Állami ösztöndíjas"/>
    <s v="2018/19/1"/>
    <s v="Nappali"/>
    <n v="9"/>
    <n v="1"/>
    <s v="2021/22/2"/>
    <n v="10"/>
    <s v="74638586841"/>
    <n v="11"/>
    <x v="3"/>
    <m/>
    <m/>
    <m/>
    <m/>
    <s v="Képzésváltás intézményen belül"/>
    <d v="2019-09-14T00:00:00"/>
    <m/>
    <s v="BDPK-SEK"/>
    <s v="Eke Norbertné"/>
    <d v="2018-07-25T00:00:00"/>
    <d v="2025-01-31T00:00:00"/>
    <n v="500000"/>
    <m/>
    <n v="5"/>
    <s v="Nő"/>
    <n v="500000"/>
    <s v="janszkyflo99@gmail.com"/>
    <s v="Máté Rita"/>
    <n v="6"/>
    <s v="Aktív"/>
    <n v="6"/>
    <n v="6"/>
    <s v="magyar"/>
    <m/>
  </r>
  <r>
    <s v="Dévai Vanessza Ilona"/>
    <s v="AFLASU"/>
    <s v="Aktív"/>
    <s v="osztatlan tanári [11 félév [testnevelő tanár; gyógytestnevelő-egészségfejlesztő tanár]]"/>
    <x v="8"/>
    <s v="osztatlan tanárképzés"/>
    <s v="TKK-OTAK-NOHU"/>
    <s v="Szombathely"/>
    <s v="Vas"/>
    <s v="Dévai Vanessza Ilona"/>
    <s v="Magyarország"/>
    <d v="1999-11-01T00:00:00"/>
    <s v="T135885/FI80798"/>
    <x v="5"/>
    <s v="Állami ösztöndíjas"/>
    <s v="2018/19/1"/>
    <s v="Nappali"/>
    <n v="7"/>
    <n v="1"/>
    <s v="2021/22/2"/>
    <n v="10"/>
    <s v="72108492193"/>
    <n v="11"/>
    <x v="3"/>
    <m/>
    <m/>
    <m/>
    <m/>
    <s v="Képzésváltás intézményen belül"/>
    <d v="2018-09-06T00:00:00"/>
    <m/>
    <s v="BDPK-SEK"/>
    <s v="Eke Norbertné"/>
    <d v="2018-07-25T00:00:00"/>
    <d v="2024-01-30T00:00:00"/>
    <n v="400000"/>
    <m/>
    <n v="7"/>
    <s v="Nő"/>
    <n v="400000"/>
    <s v="dvanessza01@gmail.com"/>
    <s v="Devecseri Ilona"/>
    <n v="8"/>
    <s v="Aktív"/>
    <n v="8"/>
    <n v="8"/>
    <s v="magyar"/>
    <m/>
  </r>
  <r>
    <s v="Forgács Tamás Leon"/>
    <s v="XGANEZ"/>
    <s v="Aktív"/>
    <s v="osztatlan tanári [11 félév [testnevelő tanár; gyógytestnevelő-egészségfejlesztő tanár]]"/>
    <x v="8"/>
    <s v="osztatlan tanárképzés"/>
    <s v="TKK-OTAK-NOHU"/>
    <s v="Budapest"/>
    <s v="Budapest"/>
    <s v="Forgács Tamás Leon"/>
    <s v="Magyarország"/>
    <d v="1998-04-01T00:00:00"/>
    <s v="T141841/FI80798"/>
    <x v="5"/>
    <s v="Állami ösztöndíjas"/>
    <s v="2018/19/1"/>
    <s v="Nappali"/>
    <n v="7"/>
    <n v="1"/>
    <s v="2021/22/2"/>
    <n v="10"/>
    <s v="78665786524"/>
    <n v="11"/>
    <x v="3"/>
    <m/>
    <m/>
    <m/>
    <m/>
    <s v="Képzésváltás intézményen belül"/>
    <d v="2021-09-01T00:00:00"/>
    <m/>
    <s v="BDPK-SEK"/>
    <s v="Eke Norbertné"/>
    <d v="2018-07-25T00:00:00"/>
    <d v="2024-01-31T00:00:00"/>
    <n v="500000"/>
    <m/>
    <n v="1"/>
    <s v="Férfi"/>
    <n v="500000"/>
    <s v="f.tamass2000@gmail.com"/>
    <s v="Láng Ibolya"/>
    <n v="2"/>
    <s v="Aktív"/>
    <n v="2"/>
    <n v="8"/>
    <s v="magyar"/>
    <m/>
  </r>
  <r>
    <s v="Gécsek Olivér István"/>
    <s v="F60KND"/>
    <s v="Aktív"/>
    <s v="osztatlan tanári [11 félév [testnevelő tanár; gyógytestnevelő-egészségfejlesztő tanár]]"/>
    <x v="8"/>
    <s v="osztatlan tanárképzés"/>
    <s v="TKK-OTAK-NOHU"/>
    <s v="Szombathely"/>
    <s v="Vas"/>
    <s v="Gécsek Olivér István"/>
    <s v="Magyarország"/>
    <d v="1999-06-11T00:00:00"/>
    <s v="T137403/FI80798"/>
    <x v="5"/>
    <s v="Állami ösztöndíjas"/>
    <s v="2018/19/1"/>
    <s v="Nappali"/>
    <n v="7"/>
    <n v="1"/>
    <s v="2021/22/2"/>
    <n v="10"/>
    <s v="78976153527"/>
    <n v="11"/>
    <x v="3"/>
    <m/>
    <m/>
    <m/>
    <m/>
    <s v="Képzésváltás intézményen belül"/>
    <d v="2019-09-14T00:00:00"/>
    <m/>
    <s v="BDPK-SEK"/>
    <s v="Eke Norbertné"/>
    <d v="2018-07-25T00:00:00"/>
    <d v="2024-01-31T00:00:00"/>
    <n v="500000"/>
    <m/>
    <n v="5"/>
    <s v="Férfi"/>
    <n v="500000"/>
    <s v="gecsekoliver99@gmail.com"/>
    <s v="Hermán Andrea"/>
    <n v="6"/>
    <s v="Aktív"/>
    <n v="6"/>
    <n v="8"/>
    <s v="magyar"/>
    <m/>
  </r>
  <r>
    <s v="Nagy Dávid"/>
    <s v="VW3ME6"/>
    <s v="Aktív"/>
    <s v="osztatlan tanári [11 félév [testnevelő tanár; gyógytestnevelő-egészségfejlesztő tanár]]"/>
    <x v="8"/>
    <s v="osztatlan tanárképzés"/>
    <s v="TKK-OTAK-NOHU"/>
    <s v="Kaposvár"/>
    <s v="Somogy"/>
    <s v="Nagy Dávid"/>
    <s v="Magyarország"/>
    <d v="1999-02-12T00:00:00"/>
    <s v="T142084/FI80798"/>
    <x v="5"/>
    <s v="Állami ösztöndíjas"/>
    <s v="2018/19/1"/>
    <s v="Nappali"/>
    <n v="9"/>
    <n v="1"/>
    <s v="2021/22/2"/>
    <n v="10"/>
    <s v="76627117220"/>
    <n v="11"/>
    <x v="3"/>
    <m/>
    <m/>
    <m/>
    <m/>
    <s v="Képzésváltás intézményen belül"/>
    <d v="2018-09-06T00:00:00"/>
    <m/>
    <s v="BDPK-SEK"/>
    <s v="Eke Norbertné"/>
    <d v="2018-07-25T00:00:00"/>
    <d v="2024-01-30T00:00:00"/>
    <n v="400000"/>
    <m/>
    <n v="5"/>
    <s v="Férfi"/>
    <n v="400000"/>
    <s v="nagy.nada.david99@gmail.com"/>
    <s v="Pauska Zília"/>
    <n v="8"/>
    <s v="Aktív"/>
    <n v="6"/>
    <n v="8"/>
    <s v="magyar"/>
    <m/>
  </r>
  <r>
    <s v="Baumgartner Bálint"/>
    <s v="JRBH0T"/>
    <s v="Aktív"/>
    <s v="osztatlan tanári [11 félév [testnevelő tanár; gyógytestnevelő-egészségfejlesztő tanár]]"/>
    <x v="8"/>
    <s v="osztatlan tanárképzés"/>
    <s v="TKK-OTAK-NOHU"/>
    <s v="Szombathely"/>
    <s v="Vas"/>
    <s v="Baumgartner Bálint"/>
    <s v="Magyarország"/>
    <d v="1999-08-18T00:00:00"/>
    <s v="T142125/FI80798"/>
    <x v="5"/>
    <s v="Állami ösztöndíjas"/>
    <s v="2018/19/1"/>
    <s v="Nappali"/>
    <n v="7"/>
    <n v="1"/>
    <s v="2021/22/2"/>
    <n v="10"/>
    <s v="78395714303"/>
    <n v="11"/>
    <x v="3"/>
    <m/>
    <m/>
    <m/>
    <m/>
    <s v="Képzésváltás intézményen belül"/>
    <d v="2019-07-05T00:00:00"/>
    <m/>
    <s v="BDPK-SEK"/>
    <s v="Eke Norbertné"/>
    <d v="2018-07-25T00:00:00"/>
    <d v="2024-01-31T00:00:00"/>
    <n v="500000"/>
    <m/>
    <n v="5"/>
    <s v="Férfi"/>
    <n v="500000"/>
    <s v="b.balint0818@gmail.com"/>
    <s v="Farkas Klára"/>
    <n v="6"/>
    <s v="Aktív"/>
    <n v="6"/>
    <n v="8"/>
    <s v="magyar"/>
    <m/>
  </r>
  <r>
    <s v="Bontó Marcell"/>
    <s v="N4DRTG"/>
    <s v="Aktív"/>
    <s v="osztatlan tanári [11 félév [testnevelő tanár; gyógytestnevelő-egészségfejlesztő tanár]]"/>
    <x v="8"/>
    <s v="osztatlan tanárképzés"/>
    <s v="TKK-OTAK-NOHU"/>
    <s v="Keszthely"/>
    <s v="Zala"/>
    <s v="Bontó Marcell"/>
    <s v="Magyarország"/>
    <d v="1999-02-03T00:00:00"/>
    <s v="T142863/FI80798"/>
    <x v="5"/>
    <s v="Állami ösztöndíjas"/>
    <s v="2018/19/1"/>
    <s v="Nappali"/>
    <n v="7"/>
    <n v="1"/>
    <s v="2021/22/2"/>
    <n v="10"/>
    <s v="76088689933"/>
    <n v="11"/>
    <x v="3"/>
    <m/>
    <m/>
    <m/>
    <m/>
    <s v="Képzésváltás intézményen belül"/>
    <d v="2018-09-06T00:00:00"/>
    <m/>
    <s v="BDPK-SEK"/>
    <s v="Eke Norbertné"/>
    <d v="2018-07-25T00:00:00"/>
    <d v="2024-01-30T00:00:00"/>
    <n v="400000"/>
    <m/>
    <n v="7"/>
    <s v="Férfi"/>
    <n v="400000"/>
    <s v="bonto99@gmail.com"/>
    <s v="Varga Zita"/>
    <n v="8"/>
    <s v="Aktív"/>
    <n v="8"/>
    <n v="8"/>
    <s v="magyar"/>
    <m/>
  </r>
  <r>
    <s v="Czakó Csenge Friderika"/>
    <s v="CU5H5V"/>
    <s v="Aktív"/>
    <s v="osztatlan tanári [11 félév [testnevelő tanár; gyógytestnevelő-egészségfejlesztő tanár]]"/>
    <x v="8"/>
    <s v="osztatlan tanárképzés"/>
    <s v="TKK-OTAK-NOHU"/>
    <s v="Zalaegerszeg"/>
    <s v="Zala"/>
    <s v="Czakó Csenge Friderika"/>
    <s v="Magyarország"/>
    <d v="1999-02-17T00:00:00"/>
    <s v="T138803/FI80798"/>
    <x v="5"/>
    <s v="Állami ösztöndíjas"/>
    <s v="2018/19/1"/>
    <s v="Nappali"/>
    <n v="7"/>
    <n v="1"/>
    <s v="2021/22/2"/>
    <n v="10"/>
    <s v="76731092470"/>
    <n v="11"/>
    <x v="3"/>
    <m/>
    <m/>
    <m/>
    <m/>
    <s v="Képzésváltás intézményen belül"/>
    <d v="2018-09-06T00:00:00"/>
    <m/>
    <s v="BDPK-SEK"/>
    <s v="Eke Norbertné"/>
    <d v="2018-07-25T00:00:00"/>
    <d v="2024-01-30T00:00:00"/>
    <n v="400000"/>
    <m/>
    <n v="7"/>
    <s v="Nő"/>
    <n v="400000"/>
    <s v="csepanguci@gmail.com"/>
    <s v="Rosta Andrea"/>
    <n v="8"/>
    <s v="Aktív"/>
    <n v="8"/>
    <n v="8"/>
    <s v="magyar"/>
    <m/>
  </r>
  <r>
    <s v="Gál Fanni"/>
    <s v="W4V64W"/>
    <s v="Aktív"/>
    <s v="osztatlan tanári [11 félév [testnevelő tanár; gyógytestnevelő-egészségfejlesztő tanár]]"/>
    <x v="8"/>
    <s v="osztatlan tanárképzés"/>
    <s v="TKK-OTAK-NOHU"/>
    <s v="Sopron"/>
    <s v="Győr-Moson-Sopron"/>
    <s v="Gál Fanni"/>
    <s v="Magyarország"/>
    <d v="1999-10-09T00:00:00"/>
    <s v="T140341/FI80798"/>
    <x v="5"/>
    <s v="Állami ösztöndíjas"/>
    <s v="2018/19/1"/>
    <s v="Nappali"/>
    <n v="7"/>
    <n v="1"/>
    <s v="2021/22/2"/>
    <n v="10"/>
    <s v="71562684964"/>
    <n v="11"/>
    <x v="3"/>
    <m/>
    <m/>
    <m/>
    <m/>
    <s v="Képzésváltás intézményen belül"/>
    <d v="2018-09-06T00:00:00"/>
    <m/>
    <s v="BDPK-SEK"/>
    <s v="Eke Norbertné"/>
    <d v="2018-07-25T00:00:00"/>
    <d v="2024-01-30T00:00:00"/>
    <n v="400000"/>
    <m/>
    <n v="7"/>
    <s v="Nő"/>
    <n v="400000"/>
    <s v="galfanni1@gmail.com"/>
    <s v="Gazda Patrícia"/>
    <n v="8"/>
    <s v="Aktív"/>
    <n v="8"/>
    <n v="8"/>
    <s v="magyar"/>
    <m/>
  </r>
  <r>
    <s v="Horváth András Levente"/>
    <s v="D9CY9V"/>
    <s v="Aktív"/>
    <s v="osztatlan tanári [11 félév [testnevelő tanár; gyógytestnevelő-egészségfejlesztő tanár]]"/>
    <x v="8"/>
    <s v="osztatlan tanárképzés"/>
    <s v="TKK-OTAK-NOHU"/>
    <s v="Pápa"/>
    <s v="Veszprém"/>
    <s v="Horváth András Levente"/>
    <s v="Magyarország"/>
    <d v="1998-12-10T00:00:00"/>
    <s v="T141937/FI80798"/>
    <x v="5"/>
    <s v="Állami ösztöndíjas"/>
    <s v="2018/19/1"/>
    <s v="Nappali"/>
    <n v="7"/>
    <n v="1"/>
    <s v="2021/22/2"/>
    <n v="10"/>
    <s v="76521715757"/>
    <n v="11"/>
    <x v="3"/>
    <m/>
    <m/>
    <m/>
    <m/>
    <s v="Képzésváltás intézményen belül"/>
    <d v="2019-07-05T00:00:00"/>
    <m/>
    <s v="BDPK-SEK"/>
    <s v="Eke Norbertné"/>
    <d v="2018-07-25T00:00:00"/>
    <d v="2024-01-31T00:00:00"/>
    <n v="500000"/>
    <m/>
    <n v="5"/>
    <s v="Férfi"/>
    <n v="500000"/>
    <s v="handras98@citromail.hu"/>
    <s v="Fehér Zsófia"/>
    <n v="6"/>
    <s v="Aktív"/>
    <n v="6"/>
    <n v="8"/>
    <s v="magyar"/>
    <m/>
  </r>
  <r>
    <s v="Péter Ábrahám"/>
    <s v="SLTD2T"/>
    <s v="Aktív"/>
    <s v="osztatlan tanári [11 félév [testnevelő tanár; gyógytestnevelő-egészségfejlesztő tanár]]"/>
    <x v="8"/>
    <s v="osztatlan tanárképzés"/>
    <s v="TKK-OTAK-NOHU"/>
    <s v="Körmend"/>
    <s v="Vas"/>
    <s v="Péter Ábrahám"/>
    <s v="Magyarország"/>
    <d v="1999-08-22T00:00:00"/>
    <s v="T135302/FI80798"/>
    <x v="5"/>
    <s v="Állami ösztöndíjas"/>
    <s v="2018/19/1"/>
    <s v="Nappali"/>
    <n v="7"/>
    <n v="1"/>
    <s v="2021/22/2"/>
    <n v="10"/>
    <s v="72796585819"/>
    <n v="11"/>
    <x v="3"/>
    <m/>
    <m/>
    <m/>
    <m/>
    <s v="Képzésváltás intézményen belül"/>
    <d v="2018-09-06T00:00:00"/>
    <m/>
    <s v="BDPK-SEK"/>
    <s v="Eke Norbertné"/>
    <d v="2018-07-25T00:00:00"/>
    <d v="2024-01-30T00:00:00"/>
    <n v="400000"/>
    <m/>
    <n v="7"/>
    <s v="Férfi"/>
    <n v="400000"/>
    <s v="13abris@gmail.com"/>
    <s v="Vörös Éva"/>
    <n v="8"/>
    <s v="Aktív"/>
    <n v="8"/>
    <n v="8"/>
    <s v="magyar"/>
    <m/>
  </r>
  <r>
    <s v="Devecseri Kornél"/>
    <s v="D8KJCP"/>
    <s v="Aktív"/>
    <s v="osztatlan tanári [11 félév [testnevelő tanár; gyógytestnevelő-egészségfejlesztő tanár]]"/>
    <x v="8"/>
    <s v="osztatlan tanárképzés"/>
    <s v="TKK-OTAK-NOHU"/>
    <s v="Szombathely"/>
    <s v="Vas"/>
    <s v="Devecseri Kornél"/>
    <s v="Magyarország"/>
    <d v="1998-09-27T00:00:00"/>
    <s v="T189629/FI80798"/>
    <x v="5"/>
    <s v="Önköltséges"/>
    <s v="2021/22/1"/>
    <s v="Nappali"/>
    <n v="10"/>
    <n v="1"/>
    <s v="2020/21/1"/>
    <n v="10"/>
    <s v="77914366739"/>
    <n v="11"/>
    <x v="3"/>
    <m/>
    <m/>
    <m/>
    <m/>
    <s v="Képzésváltás intézményen belül"/>
    <d v="2021-09-13T00:00:00"/>
    <m/>
    <s v="BDPK-SEK"/>
    <s v="Eke Norbertné"/>
    <d v="2021-07-23T00:00:00"/>
    <d v="2027-01-31T00:00:00"/>
    <m/>
    <m/>
    <n v="0"/>
    <s v="Férfi"/>
    <m/>
    <s v="kornel.devecseri1998@gmail.com"/>
    <s v="Bita Veronika"/>
    <n v="2"/>
    <s v="Aktív"/>
    <n v="0"/>
    <n v="2"/>
    <s v="magyar"/>
    <n v="500000"/>
  </r>
  <r>
    <s v="Simon Sándor"/>
    <s v="DOYR8I"/>
    <s v="Aktív"/>
    <s v="osztatlan tanári [11 félév [testnevelő tanár; gyógytestnevelő-egészségfejlesztő tanár]]"/>
    <x v="8"/>
    <s v="osztatlan tanárképzés"/>
    <s v="TKK-OTAK-NOHU"/>
    <s v="Dercen"/>
    <m/>
    <s v="Simon Sándor"/>
    <s v="Ukrajna"/>
    <d v="2000-11-21T00:00:00"/>
    <s v="T142441/FI80798"/>
    <x v="5"/>
    <s v="Állami ösztöndíjas"/>
    <s v="2018/19/1"/>
    <s v="Nappali"/>
    <n v="7"/>
    <n v="1"/>
    <s v="2021/22/2"/>
    <n v="10"/>
    <s v="73350764695"/>
    <n v="11"/>
    <x v="3"/>
    <m/>
    <m/>
    <m/>
    <m/>
    <s v="Képzésváltás intézményen belül"/>
    <d v="2018-09-06T00:00:00"/>
    <m/>
    <s v="BDPK-SEK"/>
    <s v="Eke Norbertné"/>
    <d v="2018-07-25T00:00:00"/>
    <d v="2024-01-30T00:00:00"/>
    <n v="400000"/>
    <m/>
    <n v="7"/>
    <s v="Férfi"/>
    <n v="400000"/>
    <s v="simonsandors.2000@gmail.com"/>
    <s v="Szabó Klára"/>
    <n v="8"/>
    <s v="Aktív"/>
    <n v="8"/>
    <n v="8"/>
    <s v="magyar, ukrán"/>
    <m/>
  </r>
  <r>
    <s v="Papp Barna"/>
    <s v="I5J5JA"/>
    <s v="Aktív"/>
    <s v="osztatlan tanári [11 félév [testnevelő tanár; gyógytestnevelő-egészségfejlesztő tanár]]"/>
    <x v="8"/>
    <s v="osztatlan tanárképzés"/>
    <s v="TKK-OTAK-NOHU"/>
    <s v="Sopron"/>
    <s v="Győr-Moson-Sopron"/>
    <s v="Papp Barna"/>
    <s v="Magyarország"/>
    <d v="1999-03-17T00:00:00"/>
    <s v="T137798/FI80798"/>
    <x v="5"/>
    <s v="Állami ösztöndíjas"/>
    <s v="2018/19/1"/>
    <s v="Nappali"/>
    <n v="7"/>
    <n v="1"/>
    <s v="2021/22/2"/>
    <n v="10"/>
    <s v="79059613442"/>
    <n v="11"/>
    <x v="3"/>
    <m/>
    <m/>
    <m/>
    <m/>
    <s v="Képzésváltás intézményen belül"/>
    <d v="2018-09-06T00:00:00"/>
    <m/>
    <s v="BDPK-SEK"/>
    <s v="Eke Norbertné"/>
    <d v="2018-07-25T00:00:00"/>
    <d v="2024-01-30T00:00:00"/>
    <n v="400000"/>
    <m/>
    <n v="7"/>
    <s v="Férfi"/>
    <n v="400000"/>
    <s v="pappbarna@gmail.com"/>
    <s v="Kiss Gabriella Mária"/>
    <n v="8"/>
    <s v="Aktív"/>
    <n v="8"/>
    <n v="8"/>
    <s v="magyar"/>
    <m/>
  </r>
  <r>
    <s v="Tóth Vencel"/>
    <s v="ZFYQ8M"/>
    <s v="Aktív"/>
    <s v="osztatlan tanári [11 félév [testnevelő tanár; gyógytestnevelő-egészségfejlesztő tanár]]"/>
    <x v="8"/>
    <s v="osztatlan tanárképzés"/>
    <s v="TKK-OTAK-NOHU"/>
    <s v="Budapest"/>
    <s v="Budapest"/>
    <s v="Tóth Vencel"/>
    <s v="Magyarország"/>
    <d v="1999-09-02T00:00:00"/>
    <s v="T140153/FI80798"/>
    <x v="5"/>
    <s v="Állami ösztöndíjas"/>
    <s v="2018/19/1"/>
    <s v="Nappali"/>
    <n v="7"/>
    <n v="1"/>
    <s v="2021/22/2"/>
    <n v="10"/>
    <s v="76345194417"/>
    <n v="11"/>
    <x v="3"/>
    <m/>
    <m/>
    <m/>
    <m/>
    <s v="Képzésváltás intézményen belül"/>
    <d v="2018-09-06T00:00:00"/>
    <m/>
    <s v="BDPK-SEK"/>
    <s v="Eke Norbertné"/>
    <d v="2018-07-25T00:00:00"/>
    <d v="2024-01-30T00:00:00"/>
    <n v="400000"/>
    <m/>
    <n v="7"/>
    <s v="Férfi"/>
    <n v="400000"/>
    <s v="vencel.toth444@gmail.com"/>
    <s v="Zsebe Zsuzsanna"/>
    <n v="8"/>
    <s v="Aktív"/>
    <n v="8"/>
    <n v="8"/>
    <s v="magyar"/>
    <m/>
  </r>
  <r>
    <s v="Varga Eszter"/>
    <s v="FWRG8U"/>
    <s v="Aktív"/>
    <s v="osztatlan tanári [11 félév [testnevelő tanár; gyógytestnevelő-egészségfejlesztő tanár]]"/>
    <x v="8"/>
    <s v="osztatlan tanárképzés"/>
    <s v="TKK-OTAK-NOHU"/>
    <s v="Nagykanizsa"/>
    <s v="Zala"/>
    <s v="Varga Eszter"/>
    <s v="Magyarország"/>
    <d v="2000-05-21T00:00:00"/>
    <s v="T138309/FI80798"/>
    <x v="5"/>
    <s v="Állami ösztöndíjas"/>
    <s v="2018/19/1"/>
    <s v="Nappali"/>
    <n v="6"/>
    <n v="1"/>
    <s v="2021/22/2"/>
    <n v="10"/>
    <s v="77906298750"/>
    <n v="11"/>
    <x v="3"/>
    <m/>
    <m/>
    <m/>
    <m/>
    <s v="Képzésváltás intézményen belül"/>
    <d v="2021-09-01T00:00:00"/>
    <m/>
    <s v="BDPK-SEK"/>
    <s v="Eke Norbertné"/>
    <d v="2018-07-25T00:00:00"/>
    <d v="2024-01-31T00:00:00"/>
    <n v="500000"/>
    <m/>
    <n v="1"/>
    <s v="Nő"/>
    <n v="500000"/>
    <s v="eszter.varga2100@gmail.com"/>
    <s v="Bokán Edit"/>
    <n v="2"/>
    <s v="Aktív"/>
    <n v="2"/>
    <n v="8"/>
    <s v="magyar"/>
    <m/>
  </r>
  <r>
    <s v="Bertha József"/>
    <s v="R1O9I4"/>
    <s v="Aktív"/>
    <s v="osztatlan tanári [11 félév [testnevelő tanár; gyógytestnevelő-egészségfejlesztő tanár]]"/>
    <x v="8"/>
    <s v="osztatlan tanárképzés"/>
    <s v="TKK-OTAK-NOHU"/>
    <s v="Körmend"/>
    <s v="Vas"/>
    <s v="Bertha József"/>
    <s v="Magyarország"/>
    <d v="1999-11-24T00:00:00"/>
    <s v="T141101/FI80798"/>
    <x v="5"/>
    <s v="Állami ösztöndíjas"/>
    <s v="2018/19/1"/>
    <s v="Nappali"/>
    <n v="7"/>
    <n v="1"/>
    <s v="2021/22/2"/>
    <n v="10"/>
    <s v="77421964911"/>
    <n v="11"/>
    <x v="3"/>
    <m/>
    <m/>
    <m/>
    <m/>
    <s v="Képzésváltás intézményen belül"/>
    <d v="2018-09-06T00:00:00"/>
    <m/>
    <s v="BDPK-SEK"/>
    <s v="Eke Norbertné"/>
    <d v="2018-07-25T00:00:00"/>
    <d v="2024-01-30T00:00:00"/>
    <n v="400000"/>
    <m/>
    <n v="7"/>
    <s v="Férfi"/>
    <n v="400000"/>
    <s v="bertha.jozsef2@gmail.com"/>
    <s v="Pap Gabriella"/>
    <n v="8"/>
    <s v="Aktív"/>
    <n v="8"/>
    <n v="8"/>
    <s v="magyar"/>
    <m/>
  </r>
  <r>
    <s v="Budai Dominik"/>
    <s v="JKRG4K"/>
    <s v="Passzív"/>
    <s v="osztatlan tanári [11 félév [testnevelő tanár; gyógytestnevelő-egészségfejlesztő tanár]]"/>
    <x v="8"/>
    <s v="osztatlan tanárképzés"/>
    <s v="TKK-OTAK-NOHU"/>
    <s v="Győr"/>
    <s v="Győr-Moson-Sopron"/>
    <s v="Budai Dominik"/>
    <s v="Magyarország"/>
    <d v="1999-06-21T00:00:00"/>
    <s v="T137402/FI80798"/>
    <x v="5"/>
    <s v="Állami ösztöndíjas"/>
    <s v="2018/19/1"/>
    <s v="Nappali"/>
    <n v="9"/>
    <n v="1"/>
    <s v="2020/21/2"/>
    <n v="10"/>
    <s v="72199507426"/>
    <n v="11"/>
    <x v="3"/>
    <m/>
    <m/>
    <m/>
    <m/>
    <s v="Képzésváltás intézményen belül"/>
    <d v="2018-09-06T00:00:00"/>
    <m/>
    <s v="BDPK-SEK"/>
    <s v="Eke Norbertné"/>
    <d v="2018-07-25T00:00:00"/>
    <d v="2025-07-15T00:00:00"/>
    <n v="400000"/>
    <m/>
    <n v="6"/>
    <s v="Férfi"/>
    <n v="400000"/>
    <s v="bdominik20@gmail.com"/>
    <s v="Varga Ildikó"/>
    <n v="6"/>
    <s v="Passzív"/>
    <n v="6"/>
    <n v="6"/>
    <s v="magyar"/>
    <m/>
  </r>
  <r>
    <s v="Frisnyák Dániel Ádám"/>
    <s v="KWQ64L"/>
    <s v="Aktív"/>
    <s v="osztatlan tanári [11 félév [testnevelő tanár; gyógytestnevelő-egészségfejlesztő tanár]]"/>
    <x v="8"/>
    <s v="osztatlan tanárképzés"/>
    <s v="TKK-OTAK-NOHU"/>
    <s v="Budapest"/>
    <s v="Budapest"/>
    <s v="Frisnyák Dániel Ádám"/>
    <s v="Magyarország"/>
    <d v="1999-05-26T00:00:00"/>
    <s v="T143506/FI80798"/>
    <x v="5"/>
    <s v="Állami ösztöndíjas"/>
    <s v="2018/19/1"/>
    <s v="Nappali"/>
    <n v="6"/>
    <n v="1"/>
    <s v="2021/22/2"/>
    <n v="10"/>
    <s v="75463699400"/>
    <n v="11"/>
    <x v="3"/>
    <m/>
    <m/>
    <m/>
    <m/>
    <s v="Képzésváltás intézményen belül"/>
    <d v="2019-09-14T00:00:00"/>
    <m/>
    <s v="BDPK-SEK"/>
    <s v="Eke Norbertné"/>
    <d v="2018-07-25T00:00:00"/>
    <d v="2024-01-31T00:00:00"/>
    <n v="500000"/>
    <m/>
    <n v="5"/>
    <s v="Férfi"/>
    <n v="500000"/>
    <s v="frisnyakdani@gmail.com"/>
    <s v="Pinnyey Mária"/>
    <n v="6"/>
    <s v="Aktív"/>
    <n v="6"/>
    <n v="8"/>
    <s v="magyar"/>
    <m/>
  </r>
  <r>
    <s v="Körmendi Bence"/>
    <s v="VJDRXT"/>
    <s v="Passzív"/>
    <s v="osztatlan tanári [11 félév [testnevelő tanár; gyógytestnevelő-egészségfejlesztő tanár]]"/>
    <x v="8"/>
    <s v="osztatlan tanárképzés"/>
    <s v="TKK-OTAK-NOHU"/>
    <s v="Szombathely"/>
    <s v="Vas"/>
    <s v="Körmendi Bence"/>
    <s v="Magyarország"/>
    <d v="2000-03-11T00:00:00"/>
    <s v="T135392/FI80798"/>
    <x v="5"/>
    <s v="Állami ösztöndíjas"/>
    <s v="2018/19/1"/>
    <s v="Nappali"/>
    <n v="9"/>
    <n v="1"/>
    <s v="2020/21/2"/>
    <n v="10"/>
    <s v="75630917734"/>
    <n v="11"/>
    <x v="3"/>
    <m/>
    <m/>
    <m/>
    <m/>
    <s v="Képzésváltás intézményen belül"/>
    <d v="2018-09-06T00:00:00"/>
    <m/>
    <s v="BDPK-SEK"/>
    <s v="Eke Norbertné"/>
    <d v="2018-07-25T00:00:00"/>
    <d v="2025-07-15T00:00:00"/>
    <n v="400000"/>
    <m/>
    <n v="6"/>
    <s v="Férfi"/>
    <n v="400000"/>
    <s v="kormendi.bence.m@gmail.com"/>
    <s v="Boros Krisztina"/>
    <n v="6"/>
    <s v="Passzív"/>
    <n v="6"/>
    <n v="6"/>
    <s v="magyar"/>
    <m/>
  </r>
  <r>
    <s v="Soós Bence"/>
    <s v="K2Y9JW"/>
    <s v="Aktív"/>
    <s v="osztatlan tanári [11 félév [testnevelő tanár; gyógytestnevelő-egészségfejlesztő tanár]]"/>
    <x v="8"/>
    <s v="osztatlan tanárképzés"/>
    <s v="TKK-OTAK-NOHU"/>
    <s v="Sopron"/>
    <s v="Győr-Moson-Sopron"/>
    <s v="Soós Bence"/>
    <s v="Magyarország"/>
    <d v="1999-03-11T00:00:00"/>
    <s v="T138468/FI80798"/>
    <x v="5"/>
    <s v="Állami ösztöndíjas"/>
    <s v="2018/19/1"/>
    <s v="Nappali"/>
    <n v="7"/>
    <n v="1"/>
    <s v="2021/22/2"/>
    <n v="10"/>
    <s v="79775590892"/>
    <n v="11"/>
    <x v="3"/>
    <m/>
    <m/>
    <m/>
    <m/>
    <s v="Képzésváltás intézményen belül"/>
    <d v="2018-09-06T00:00:00"/>
    <m/>
    <s v="BDPK-SEK"/>
    <s v="Eke Norbertné"/>
    <d v="2018-07-25T00:00:00"/>
    <d v="2024-01-30T00:00:00"/>
    <n v="400000"/>
    <m/>
    <n v="7"/>
    <s v="Férfi"/>
    <n v="400000"/>
    <s v="soosbence219@gmail.com"/>
    <s v="Pölcz Erika"/>
    <n v="8"/>
    <s v="Aktív"/>
    <n v="8"/>
    <n v="8"/>
    <s v="magyar"/>
    <m/>
  </r>
  <r>
    <s v="Tasnádi Renáta"/>
    <s v="SCDYJ2"/>
    <s v="Aktív"/>
    <s v="osztatlan tanári [11 félév [testnevelő tanár; gyógytestnevelő-egészségfejlesztő tanár]]"/>
    <x v="8"/>
    <s v="osztatlan tanárképzés"/>
    <s v="TKK-OTAK-NOHU"/>
    <s v="Zalaegerszeg"/>
    <s v="Zala"/>
    <s v="Tasnádi Renáta"/>
    <s v="Magyarország"/>
    <d v="1997-06-27T00:00:00"/>
    <s v="T135194/FI80798"/>
    <x v="5"/>
    <s v="Állami ösztöndíjas"/>
    <s v="2018/19/1"/>
    <s v="Nappali"/>
    <n v="7"/>
    <n v="1"/>
    <s v="2021/22/2"/>
    <n v="10"/>
    <s v="76118399387"/>
    <n v="11"/>
    <x v="3"/>
    <m/>
    <m/>
    <m/>
    <m/>
    <s v="Képzésváltás intézményen belül"/>
    <d v="2018-09-06T00:00:00"/>
    <m/>
    <s v="BDPK-SEK"/>
    <s v="Eke Norbertné"/>
    <d v="2018-07-25T00:00:00"/>
    <d v="2024-01-30T00:00:00"/>
    <n v="400000"/>
    <m/>
    <n v="7"/>
    <s v="Nő"/>
    <n v="400000"/>
    <s v="renata.tasnadi@gmail.com"/>
    <s v="Fehér Gyöngyi"/>
    <n v="8"/>
    <s v="Aktív"/>
    <n v="8"/>
    <n v="8"/>
    <s v="magyar"/>
    <m/>
  </r>
  <r>
    <s v="Valaczka Viktória Andrea"/>
    <s v="UEKLN0"/>
    <s v="Aktív"/>
    <s v="osztatlan tanári [11 félév [testnevelő tanár; gyógytestnevelő-egészségfejlesztő tanár]]"/>
    <x v="8"/>
    <s v="osztatlan tanárképzés"/>
    <s v="TKK-OTAK-NOHU"/>
    <s v="Szabadszállás"/>
    <s v="Bács-Kiskun"/>
    <s v="Valaczka Viktória Andrea"/>
    <s v="Magyarország"/>
    <d v="1998-06-20T00:00:00"/>
    <s v="T137445/FI80798"/>
    <x v="5"/>
    <s v="Állami ösztöndíjas"/>
    <s v="2018/19/1"/>
    <s v="Nappali"/>
    <n v="6"/>
    <n v="1"/>
    <s v="2021/22/2"/>
    <n v="10"/>
    <s v="72813527495"/>
    <n v="11"/>
    <x v="3"/>
    <m/>
    <m/>
    <m/>
    <m/>
    <s v="Képzésváltás intézményen belül"/>
    <d v="2021-09-01T00:00:00"/>
    <m/>
    <s v="BDPK-SEK"/>
    <s v="Eke Norbertné"/>
    <d v="2018-07-25T00:00:00"/>
    <d v="2024-01-31T00:00:00"/>
    <n v="500000"/>
    <m/>
    <n v="1"/>
    <s v="Nő"/>
    <n v="500000"/>
    <s v="v.v.andrea1998@gmail.com"/>
    <s v="Mudra Veronika"/>
    <n v="2"/>
    <s v="Aktív"/>
    <n v="2"/>
    <n v="8"/>
    <s v="magyar"/>
    <m/>
  </r>
  <r>
    <s v="Imre Dániel"/>
    <s v="CJMIIR"/>
    <s v="Aktív"/>
    <s v="osztatlan tanári [11 félév [testnevelő tanár; gyógytestnevelő-egészségfejlesztő tanár]]"/>
    <x v="8"/>
    <s v="osztatlan tanárképzés"/>
    <s v="TKK-OTAK-NOHU"/>
    <s v="Székesfehérvár"/>
    <s v="Fejér"/>
    <s v="Imre Dániel"/>
    <s v="Magyarország"/>
    <d v="1997-12-12T00:00:00"/>
    <s v="T128103/FI80798"/>
    <x v="5"/>
    <s v="Állami ösztöndíjas"/>
    <s v="2017/18/1"/>
    <s v="Nappali"/>
    <n v="5"/>
    <n v="1"/>
    <s v="2021/22/2"/>
    <n v="10"/>
    <s v="72266576628"/>
    <n v="11"/>
    <x v="3"/>
    <m/>
    <m/>
    <m/>
    <m/>
    <s v="Képzésváltás intézményen belül"/>
    <d v="2019-09-14T00:00:00"/>
    <m/>
    <s v="BDPK-SEK"/>
    <s v="Eke Norbertné"/>
    <d v="2017-07-27T00:00:00"/>
    <d v="2023-01-31T00:00:00"/>
    <n v="500000"/>
    <m/>
    <n v="5"/>
    <s v="Férfi"/>
    <n v="500000"/>
    <s v="ImreDani1211@gmail.com"/>
    <s v="Eszényi Beáta"/>
    <n v="6"/>
    <s v="Aktív"/>
    <n v="6"/>
    <n v="10"/>
    <s v="magyar"/>
    <m/>
  </r>
  <r>
    <s v="Koller Domonkos"/>
    <s v="DJDI3K"/>
    <s v="Aktív"/>
    <s v="osztatlan tanári [11 félév [testnevelő tanár; gyógytestnevelő-egészségfejlesztő tanár]]"/>
    <x v="8"/>
    <s v="osztatlan tanárképzés"/>
    <s v="TKK-OTAK-NOHU"/>
    <s v="Szombathely"/>
    <s v="Vas"/>
    <s v="Koller Domonkos"/>
    <s v="Magyarország"/>
    <d v="1999-03-24T00:00:00"/>
    <s v="T139634/FI80798"/>
    <x v="5"/>
    <s v="Állami ösztöndíjas"/>
    <s v="2018/19/1"/>
    <s v="Nappali"/>
    <n v="7"/>
    <n v="1"/>
    <s v="2021/22/2"/>
    <n v="10"/>
    <s v="72870934284"/>
    <n v="11"/>
    <x v="3"/>
    <m/>
    <m/>
    <m/>
    <m/>
    <s v="Képzésváltás intézményen belül"/>
    <d v="2018-09-06T00:00:00"/>
    <m/>
    <s v="BDPK-SEK"/>
    <s v="Eke Norbertné"/>
    <d v="2018-07-25T00:00:00"/>
    <d v="2024-01-30T00:00:00"/>
    <n v="400000"/>
    <m/>
    <n v="7"/>
    <s v="Férfi"/>
    <n v="400000"/>
    <s v="kollerdomonkos99@gmail.com"/>
    <s v="Dani Magdolna"/>
    <n v="8"/>
    <s v="Aktív"/>
    <n v="8"/>
    <n v="8"/>
    <s v="magyar"/>
    <m/>
  </r>
  <r>
    <s v="Komáromi Ákos"/>
    <s v="KJI56D"/>
    <s v="Aktív"/>
    <s v="osztatlan tanári [11 félév [testnevelő tanár; gyógytestnevelő-egészségfejlesztő tanár]]"/>
    <x v="8"/>
    <s v="osztatlan tanárképzés"/>
    <s v="TKK-OTAK-NOHU"/>
    <s v="Szombathely"/>
    <s v="Vas"/>
    <s v="Komáromi Ákos"/>
    <s v="Magyarország"/>
    <d v="1997-07-23T00:00:00"/>
    <s v="T140488/FI80798"/>
    <x v="5"/>
    <s v="Állami ösztöndíjas"/>
    <s v="2018/19/1"/>
    <s v="Nappali"/>
    <n v="7"/>
    <n v="1"/>
    <s v="2021/22/2"/>
    <n v="10"/>
    <s v="75291820604"/>
    <n v="11"/>
    <x v="3"/>
    <m/>
    <m/>
    <m/>
    <m/>
    <s v="Képzésváltás intézményen belül"/>
    <d v="2018-09-06T00:00:00"/>
    <m/>
    <s v="BDPK-SEK"/>
    <s v="Eke Norbertné"/>
    <d v="2018-07-25T00:00:00"/>
    <d v="2024-01-30T00:00:00"/>
    <n v="400000"/>
    <m/>
    <n v="7"/>
    <s v="Férfi"/>
    <n v="400000"/>
    <s v="komaromiaki7@hotmail.com"/>
    <s v="Kapustka Lívia"/>
    <n v="8"/>
    <s v="Aktív"/>
    <n v="8"/>
    <n v="8"/>
    <s v="magyar"/>
    <m/>
  </r>
  <r>
    <s v="Polgár Dóra"/>
    <s v="G1BFIB"/>
    <s v="Aktív"/>
    <s v="osztatlan tanári [11 félév [testnevelő tanár; gyógytestnevelő-egészségfejlesztő tanár]]"/>
    <x v="8"/>
    <s v="osztatlan tanárképzés"/>
    <s v="TKK-OTAK-NOHU"/>
    <s v="Tatabánya"/>
    <s v="Komárom-Esztergom"/>
    <s v="Polgár Dóra"/>
    <s v="Magyarország"/>
    <d v="1997-09-09T00:00:00"/>
    <s v="T136013/FI80798"/>
    <x v="5"/>
    <s v="Állami ösztöndíjas"/>
    <s v="2018/19/1"/>
    <s v="Nappali"/>
    <n v="6"/>
    <n v="1"/>
    <s v="2021/22/2"/>
    <n v="10"/>
    <s v="75599034979"/>
    <n v="11"/>
    <x v="3"/>
    <m/>
    <m/>
    <m/>
    <m/>
    <s v="Képzésváltás intézményen belül"/>
    <d v="2019-07-24T00:00:00"/>
    <m/>
    <s v="BDPK-SEK"/>
    <s v="Eke Norbertné"/>
    <d v="2018-07-25T00:00:00"/>
    <d v="2024-01-31T00:00:00"/>
    <n v="500000"/>
    <m/>
    <n v="5"/>
    <s v="Nő"/>
    <n v="500000"/>
    <s v="polgar.dora1997@gmail.com"/>
    <s v="Kránicz Katalin"/>
    <n v="6"/>
    <s v="Aktív"/>
    <n v="6"/>
    <n v="8"/>
    <s v="magyar"/>
    <m/>
  </r>
  <r>
    <s v="Szenner Szabina"/>
    <s v="A3YOG8"/>
    <s v="Aktív"/>
    <s v="osztatlan tanári [11 félév [testnevelő tanár; gyógytestnevelő-egészségfejlesztő tanár]]"/>
    <x v="8"/>
    <s v="osztatlan tanárképzés"/>
    <s v="TKK-OTAK-NOHU"/>
    <s v="Pécs"/>
    <s v="Baranya"/>
    <s v="Szenner Szabina"/>
    <s v="Magyarország"/>
    <d v="1998-05-21T00:00:00"/>
    <s v="T143293/FI80798"/>
    <x v="5"/>
    <s v="Állami ösztöndíjas"/>
    <s v="2018/19/1"/>
    <s v="Nappali"/>
    <n v="9"/>
    <n v="1"/>
    <s v="2021/22/2"/>
    <n v="10"/>
    <s v="72785783129"/>
    <n v="11"/>
    <x v="3"/>
    <m/>
    <m/>
    <m/>
    <m/>
    <s v="Képzésváltás intézményen belül"/>
    <d v="2019-09-14T00:00:00"/>
    <m/>
    <s v="BDPK-SEK"/>
    <s v="Eke Norbertné"/>
    <d v="2018-07-25T00:00:00"/>
    <d v="2025-01-31T00:00:00"/>
    <n v="500000"/>
    <m/>
    <n v="5"/>
    <s v="Nő"/>
    <n v="500000"/>
    <s v="szasza.szenner@gmail.com"/>
    <s v="Szilasi Rita"/>
    <n v="6"/>
    <s v="Aktív"/>
    <n v="6"/>
    <n v="6"/>
    <s v="magyar"/>
    <m/>
  </r>
  <r>
    <s v="Tóth Enikő"/>
    <s v="Y2URTC"/>
    <s v="Aktív"/>
    <s v="osztatlan tanári [11 félév [testnevelő tanár; gyógytestnevelő-egészségfejlesztő tanár]]"/>
    <x v="8"/>
    <s v="osztatlan tanárképzés"/>
    <s v="TKK-OTAK-NOHU"/>
    <s v="Sopron"/>
    <s v="Győr-Moson-Sopron"/>
    <s v="Tóth Enikő"/>
    <s v="Magyarország"/>
    <d v="1999-08-10T00:00:00"/>
    <s v="T138162/FI80798"/>
    <x v="5"/>
    <s v="Állami ösztöndíjas"/>
    <s v="2018/19/1"/>
    <s v="Nappali"/>
    <n v="7"/>
    <n v="1"/>
    <s v="2021/22/2"/>
    <n v="10"/>
    <s v="77720284571"/>
    <n v="11"/>
    <x v="3"/>
    <m/>
    <m/>
    <m/>
    <m/>
    <s v="Képzésváltás intézményen belül"/>
    <d v="2018-09-06T00:00:00"/>
    <m/>
    <s v="BDPK-SEK"/>
    <s v="Eke Norbertné"/>
    <d v="2018-07-25T00:00:00"/>
    <d v="2024-01-31T00:00:00"/>
    <n v="400000"/>
    <m/>
    <n v="7"/>
    <s v="Nő"/>
    <n v="400000"/>
    <s v="enikoe1999@gmail.com"/>
    <s v="Egresits Éva Borbála"/>
    <n v="8"/>
    <s v="Aktív"/>
    <n v="8"/>
    <n v="8"/>
    <s v="magyar"/>
    <m/>
  </r>
  <r>
    <s v="Wágner Péter"/>
    <s v="EYWYJN"/>
    <s v="Aktív"/>
    <s v="osztatlan tanári [11 félév [testnevelő tanár; gyógytestnevelő-egészségfejlesztő tanár]]"/>
    <x v="8"/>
    <s v="osztatlan tanárképzés"/>
    <s v="TKK-OTAK-NOHU"/>
    <s v="Szombathely"/>
    <s v="Vas"/>
    <s v="Wágner Péter"/>
    <s v="Magyarország"/>
    <d v="1997-06-04T00:00:00"/>
    <s v="T190653/FI80798"/>
    <x v="5"/>
    <s v="Állami ösztöndíjas"/>
    <s v="2021/22/1"/>
    <s v="Nappali"/>
    <n v="11"/>
    <n v="1"/>
    <s v="2021/22/2"/>
    <n v="10"/>
    <s v="73180640559"/>
    <n v="11"/>
    <x v="3"/>
    <m/>
    <m/>
    <m/>
    <m/>
    <s v="Képzésváltás intézményen belül"/>
    <d v="2021-09-13T00:00:00"/>
    <m/>
    <s v="BDPK-SEK"/>
    <s v="Eke Norbertné"/>
    <d v="2021-07-23T00:00:00"/>
    <d v="2027-01-31T00:00:00"/>
    <n v="500000"/>
    <m/>
    <n v="2"/>
    <s v="Férfi"/>
    <n v="500000"/>
    <s v="wag9706@gmail.com"/>
    <s v="Szakos Éva"/>
    <n v="2"/>
    <s v="Aktív"/>
    <n v="2"/>
    <n v="2"/>
    <s v="magyar"/>
    <m/>
  </r>
  <r>
    <s v="Varga Richárd"/>
    <s v="X52PAM"/>
    <s v="Aktív"/>
    <s v="osztatlan tanári [11 félév [testnevelő tanár; gyógytestnevelő-egészségfejlesztő tanár]]"/>
    <x v="8"/>
    <s v="osztatlan tanárképzés"/>
    <s v="TKK-OTAK-NOHU"/>
    <s v="Mosonmagyaróvár"/>
    <s v="Győr-Moson-Sopron"/>
    <s v="Varga Richárd"/>
    <s v="Magyarország"/>
    <d v="2000-04-06T00:00:00"/>
    <s v="T147439/FI80798"/>
    <x v="5"/>
    <s v="Állami ösztöndíjas"/>
    <s v="2018/19/1"/>
    <s v="Nappali"/>
    <n v="7"/>
    <n v="1"/>
    <s v="2021/22/2"/>
    <n v="10"/>
    <s v="77767943152"/>
    <n v="11"/>
    <x v="3"/>
    <m/>
    <m/>
    <m/>
    <m/>
    <s v="Képzésváltás intézményen belül"/>
    <d v="2019-07-05T00:00:00"/>
    <m/>
    <s v="BDPK-SEK"/>
    <s v="Eke Norbertné"/>
    <d v="2018-07-25T00:00:00"/>
    <d v="2024-01-31T00:00:00"/>
    <n v="500000"/>
    <m/>
    <n v="5"/>
    <s v="Férfi"/>
    <n v="500000"/>
    <s v="vargaricsi99@gmail.com"/>
    <s v="Jánó Viktória"/>
    <n v="6"/>
    <s v="Aktív"/>
    <n v="6"/>
    <n v="8"/>
    <s v="magyar"/>
    <m/>
  </r>
  <r>
    <s v="Csiznier Nikolett"/>
    <s v="EQBLEH"/>
    <s v="Aktív"/>
    <s v="osztatlan tanári [11 félév [testnevelő tanár; gyógytestnevelő-egészségfejlesztő tanár]]"/>
    <x v="8"/>
    <s v="osztatlan tanárképzés"/>
    <s v="TKK-OTAK-NOHU"/>
    <s v="Budapest"/>
    <s v="Budapest"/>
    <s v="Csiznier Nikolett"/>
    <s v="Magyarország"/>
    <d v="2000-05-07T00:00:00"/>
    <s v="T135077/FI80798"/>
    <x v="5"/>
    <s v="Állami ösztöndíjas"/>
    <s v="2018/19/1"/>
    <s v="Nappali"/>
    <n v="7"/>
    <n v="1"/>
    <s v="2021/22/2"/>
    <n v="10"/>
    <s v="71663017750"/>
    <n v="11"/>
    <x v="3"/>
    <m/>
    <m/>
    <m/>
    <m/>
    <s v="Képzésváltás intézményen belül"/>
    <d v="2018-09-06T00:00:00"/>
    <m/>
    <s v="BDPK-SEK"/>
    <s v="Eke Norbertné"/>
    <d v="2018-07-25T00:00:00"/>
    <d v="2024-01-30T00:00:00"/>
    <n v="400000"/>
    <m/>
    <n v="7"/>
    <s v="Nő"/>
    <n v="400000"/>
    <s v="nikicsizi@gmail.com"/>
    <s v="Wloch Viktória"/>
    <n v="8"/>
    <s v="Aktív"/>
    <n v="8"/>
    <n v="8"/>
    <s v="magyar"/>
    <m/>
  </r>
  <r>
    <s v="Major Norbert"/>
    <s v="P0MVPU"/>
    <s v="Aktív"/>
    <s v="osztatlan tanári [11 félév [testnevelő tanár; gyógytestnevelő-egészségfejlesztő tanár]]"/>
    <x v="8"/>
    <s v="osztatlan tanárképzés"/>
    <s v="TKK-OTAK-NOHU"/>
    <s v="Sopron"/>
    <s v="Győr-Moson-Sopron"/>
    <s v="Major Norbert"/>
    <s v="Magyarország"/>
    <d v="1997-06-30T00:00:00"/>
    <s v="T135401/FI80798"/>
    <x v="5"/>
    <s v="Állami ösztöndíjas"/>
    <s v="2018/19/1"/>
    <s v="Nappali"/>
    <n v="7"/>
    <n v="1"/>
    <s v="2021/22/2"/>
    <n v="10"/>
    <s v="73214870830"/>
    <n v="11"/>
    <x v="3"/>
    <m/>
    <m/>
    <m/>
    <m/>
    <s v="Képzésváltás intézményen belül"/>
    <d v="2018-09-06T00:00:00"/>
    <m/>
    <s v="BDPK-SEK"/>
    <s v="Eke Norbertné"/>
    <d v="2018-07-25T00:00:00"/>
    <d v="2024-01-30T00:00:00"/>
    <n v="400000"/>
    <m/>
    <n v="7"/>
    <s v="Férfi"/>
    <n v="400000"/>
    <s v="norrys1997@gmail.com"/>
    <s v="Füzi Blanka"/>
    <n v="8"/>
    <s v="Aktív"/>
    <n v="8"/>
    <n v="8"/>
    <s v="magyar"/>
    <m/>
  </r>
  <r>
    <s v="Dévai Boglárka"/>
    <s v="WSJB08"/>
    <s v="Aktív"/>
    <s v="osztatlan tanári [11 félév [testnevelő tanár; gyógytestnevelő-egészségfejlesztő tanár]]"/>
    <x v="8"/>
    <s v="osztatlan tanárképzés"/>
    <s v="TKK-OTAK-NOHU"/>
    <s v="Szombathely"/>
    <s v="Vas"/>
    <s v="Dévai Boglárka"/>
    <s v="Magyarország"/>
    <d v="1999-11-12T00:00:00"/>
    <s v="T143956/FI80798"/>
    <x v="5"/>
    <s v="Állami ösztöndíjas"/>
    <s v="2018/19/1"/>
    <s v="Nappali"/>
    <n v="9"/>
    <n v="1"/>
    <s v="2021/22/2"/>
    <n v="10"/>
    <s v="72627250715"/>
    <n v="11"/>
    <x v="3"/>
    <m/>
    <m/>
    <m/>
    <m/>
    <s v="Képzésváltás intézményen belül"/>
    <d v="2019-09-14T00:00:00"/>
    <m/>
    <s v="BDPK-SEK"/>
    <s v="Eke Norbertné"/>
    <d v="2018-07-25T00:00:00"/>
    <d v="2025-01-31T00:00:00"/>
    <n v="500000"/>
    <m/>
    <n v="5"/>
    <s v="Nő"/>
    <n v="500000"/>
    <s v="bogi.devai@gmail.com"/>
    <s v="Kovács Krisztina"/>
    <n v="6"/>
    <s v="Aktív"/>
    <n v="6"/>
    <n v="6"/>
    <s v="magyar"/>
    <m/>
  </r>
  <r>
    <s v="Dombi Richárd"/>
    <s v="B21OYN"/>
    <s v="Aktív"/>
    <s v="osztatlan tanári [11 félév [testnevelő tanár; gyógytestnevelő-egészségfejlesztő tanár]]"/>
    <x v="8"/>
    <s v="osztatlan tanárképzés"/>
    <s v="TKK-OTAK-NOHU"/>
    <s v="Győr"/>
    <s v="Győr-Moson-Sopron"/>
    <s v="Dombi Richárd"/>
    <s v="Magyarország"/>
    <d v="1999-07-10T00:00:00"/>
    <s v="T135829/FI80798"/>
    <x v="5"/>
    <s v="Állami ösztöndíjas"/>
    <s v="2018/19/1"/>
    <s v="Nappali"/>
    <n v="7"/>
    <n v="1"/>
    <s v="2021/22/2"/>
    <n v="10"/>
    <s v="74764809263"/>
    <n v="11"/>
    <x v="3"/>
    <m/>
    <m/>
    <m/>
    <m/>
    <s v="Képzésváltás intézményen belül"/>
    <d v="2018-09-06T00:00:00"/>
    <m/>
    <s v="BDPK-SEK"/>
    <s v="Eke Norbertné"/>
    <d v="2018-07-25T00:00:00"/>
    <d v="2024-01-30T00:00:00"/>
    <n v="400000"/>
    <m/>
    <n v="7"/>
    <s v="Férfi"/>
    <n v="400000"/>
    <s v="dombiricsi1999@gmail.com"/>
    <s v="Horváth Orsolya Anna"/>
    <n v="8"/>
    <s v="Aktív"/>
    <n v="8"/>
    <n v="8"/>
    <s v="magyar"/>
    <m/>
  </r>
  <r>
    <s v="Gál Petra"/>
    <s v="L5P0CS"/>
    <s v="Aktív"/>
    <s v="osztatlan tanári [11 félév [testnevelő tanár; gyógytestnevelő-egészségfejlesztő tanár]]"/>
    <x v="8"/>
    <s v="osztatlan tanárképzés"/>
    <s v="TKK-OTAK-NOHU"/>
    <s v="Sopron"/>
    <s v="Győr-Moson-Sopron"/>
    <s v="Gál Petra"/>
    <s v="Magyarország"/>
    <d v="1999-10-09T00:00:00"/>
    <s v="T140575/FI80798"/>
    <x v="5"/>
    <s v="Állami ösztöndíjas"/>
    <s v="2018/19/1"/>
    <s v="Nappali"/>
    <n v="7"/>
    <n v="1"/>
    <s v="2021/22/2"/>
    <n v="10"/>
    <s v="71886871290"/>
    <n v="11"/>
    <x v="3"/>
    <m/>
    <m/>
    <m/>
    <m/>
    <s v="Képzésváltás intézményen belül"/>
    <d v="2018-09-06T00:00:00"/>
    <m/>
    <s v="BDPK-SEK"/>
    <s v="Eke Norbertné"/>
    <d v="2018-07-25T00:00:00"/>
    <d v="2024-01-30T00:00:00"/>
    <n v="400000"/>
    <m/>
    <n v="7"/>
    <s v="Nő"/>
    <n v="400000"/>
    <s v="galpetraaa@gmail.com"/>
    <s v="Gazda Patrícia"/>
    <n v="8"/>
    <s v="Aktív"/>
    <n v="8"/>
    <n v="8"/>
    <s v="magyar"/>
    <m/>
  </r>
  <r>
    <s v="Demcsik Máté"/>
    <s v="JLUBQ1"/>
    <s v="Aktív"/>
    <s v="osztatlan tanári [11 félév [testnevelő tanár; gyógytestnevelő-egészségfejlesztő tanár]]"/>
    <x v="8"/>
    <s v="osztatlan tanárképzés"/>
    <s v="TKK-OTAK-NOHU"/>
    <s v="Sopron"/>
    <s v="Győr-Moson-Sopron"/>
    <s v="Demcsik Máté"/>
    <s v="Magyarország"/>
    <d v="1999-12-07T00:00:00"/>
    <s v="T148634/FI80798"/>
    <x v="5"/>
    <s v="Állami ösztöndíjas"/>
    <s v="2019/20/1"/>
    <s v="Nappali"/>
    <n v="10"/>
    <n v="2"/>
    <s v="2021/22/2"/>
    <n v="10"/>
    <s v="73406291169"/>
    <n v="11"/>
    <x v="3"/>
    <m/>
    <m/>
    <m/>
    <m/>
    <s v="Képzésváltás intézményen belül"/>
    <d v="2019-09-14T00:00:00"/>
    <m/>
    <s v="BDPK-SEK"/>
    <s v="Eke Norbertné"/>
    <d v="2019-07-24T00:00:00"/>
    <d v="2025-01-31T00:00:00"/>
    <n v="500000"/>
    <m/>
    <n v="3"/>
    <s v="Férfi"/>
    <n v="500000"/>
    <s v="demcsik.mate99@gmail.com"/>
    <s v="Tasnádi Krisztina"/>
    <n v="6"/>
    <s v="Aktív"/>
    <n v="4"/>
    <n v="6"/>
    <s v="magyar"/>
    <m/>
  </r>
  <r>
    <s v="Szabó Martin"/>
    <s v="COX4UY"/>
    <s v="Aktív"/>
    <s v="osztatlan tanári [11 félév [testnevelő tanár; gyógytestnevelő-egészségfejlesztő tanár]]"/>
    <x v="8"/>
    <s v="osztatlan tanárképzés"/>
    <s v="TKK-OTAK-NOHU"/>
    <s v="Zalaegerszeg"/>
    <s v="Zala"/>
    <s v="Szabó Martin"/>
    <s v="Magyarország"/>
    <d v="1999-12-31T00:00:00"/>
    <s v="T156827/FI80798"/>
    <x v="5"/>
    <s v="Állami ösztöndíjas"/>
    <s v="2019/20/1"/>
    <s v="Nappali"/>
    <n v="9"/>
    <n v="1"/>
    <s v="2021/22/2"/>
    <n v="10"/>
    <s v="77685589502"/>
    <n v="11"/>
    <x v="3"/>
    <m/>
    <m/>
    <m/>
    <m/>
    <s v="Képzésváltás intézményen belül"/>
    <d v="2019-09-14T00:00:00"/>
    <m/>
    <s v="BDPK-SEK"/>
    <s v="Eke Norbertné"/>
    <d v="2019-07-24T00:00:00"/>
    <d v="2025-01-31T00:00:00"/>
    <n v="500000"/>
    <m/>
    <n v="5"/>
    <s v="Férfi"/>
    <n v="500000"/>
    <s v="szabomartin99@gmail.com"/>
    <s v="Kovács Bernadett"/>
    <n v="6"/>
    <s v="Aktív"/>
    <n v="6"/>
    <n v="6"/>
    <s v="magyar"/>
    <m/>
  </r>
  <r>
    <s v="Kerkai Alex"/>
    <s v="HXPRC2"/>
    <s v="Aktív"/>
    <s v="osztatlan tanári [11 félév [testnevelő tanár; gyógytestnevelő-egészségfejlesztő tanár]]"/>
    <x v="8"/>
    <s v="osztatlan tanárképzés"/>
    <s v="TKK-OTAK-NOHU"/>
    <s v="Zalaegerszeg"/>
    <s v="Zala"/>
    <s v="Kerkai Alex"/>
    <s v="Magyarország"/>
    <d v="2000-07-01T00:00:00"/>
    <s v="T152740/FI80798"/>
    <x v="5"/>
    <s v="Állami ösztöndíjas"/>
    <s v="2019/20/1"/>
    <s v="Nappali"/>
    <n v="9"/>
    <n v="1"/>
    <s v="2021/22/2"/>
    <n v="10"/>
    <s v="75142091562"/>
    <n v="11"/>
    <x v="3"/>
    <m/>
    <m/>
    <m/>
    <m/>
    <s v="Képzésváltás intézményen belül"/>
    <d v="2019-09-14T00:00:00"/>
    <m/>
    <s v="BDPK-SEK"/>
    <s v="Eke Norbertné"/>
    <d v="2019-07-24T00:00:00"/>
    <d v="2025-01-31T00:00:00"/>
    <n v="500000"/>
    <m/>
    <n v="5"/>
    <s v="Férfi"/>
    <n v="500000"/>
    <s v="kerkaialex@citromail.hu"/>
    <s v="Böröndi Csilla"/>
    <n v="6"/>
    <s v="Aktív"/>
    <n v="6"/>
    <n v="6"/>
    <s v="magyar"/>
    <m/>
  </r>
  <r>
    <s v="Kovács Márton"/>
    <s v="CTEP0V"/>
    <s v="Aktív"/>
    <s v="osztatlan tanári [11 félév [testnevelő tanár; gyógytestnevelő-egészségfejlesztő tanár]]"/>
    <x v="8"/>
    <s v="osztatlan tanárképzés"/>
    <s v="TKK-OTAK-NOHU"/>
    <s v="Nagykanizsa"/>
    <s v="Zala"/>
    <s v="Kovács Márton"/>
    <s v="Magyarország"/>
    <d v="2000-11-18T00:00:00"/>
    <s v="T152881/FI80798"/>
    <x v="5"/>
    <s v="Állami ösztöndíjas"/>
    <s v="2019/20/1"/>
    <s v="Nappali"/>
    <n v="9"/>
    <n v="1"/>
    <s v="2021/22/2"/>
    <n v="10"/>
    <s v="78893102752"/>
    <n v="11"/>
    <x v="3"/>
    <m/>
    <m/>
    <m/>
    <m/>
    <s v="Képzésváltás intézményen belül"/>
    <d v="2019-09-14T00:00:00"/>
    <m/>
    <s v="BDPK-SEK"/>
    <s v="Eke Norbertné"/>
    <d v="2019-07-24T00:00:00"/>
    <d v="2025-01-31T00:00:00"/>
    <n v="500000"/>
    <m/>
    <n v="5"/>
    <s v="Férfi"/>
    <n v="500000"/>
    <s v="kovacsmarci00@gmail.com"/>
    <s v="Tóth Beáta"/>
    <n v="6"/>
    <s v="Aktív"/>
    <n v="6"/>
    <n v="6"/>
    <s v="magyar"/>
    <m/>
  </r>
  <r>
    <s v="Fodróczy Márk"/>
    <s v="XM785J"/>
    <s v="Aktív"/>
    <s v="osztatlan tanári [11 félév [testnevelő tanár; gyógytestnevelő-egészségfejlesztő tanár]]"/>
    <x v="8"/>
    <s v="osztatlan tanárképzés"/>
    <s v="TKK-OTAK-NOHU"/>
    <s v="Sopron"/>
    <s v="Győr-Moson-Sopron"/>
    <s v="Fodróczy Márk"/>
    <s v="Magyarország"/>
    <d v="1999-01-19T00:00:00"/>
    <s v="T148748/FI80798"/>
    <x v="5"/>
    <s v="Állami ösztöndíjas"/>
    <s v="2019/20/1"/>
    <s v="Nappali"/>
    <n v="9"/>
    <n v="1"/>
    <s v="2021/22/2"/>
    <n v="10"/>
    <s v="76628298505"/>
    <n v="11"/>
    <x v="3"/>
    <m/>
    <m/>
    <m/>
    <m/>
    <s v="Képzésváltás intézményen belül"/>
    <d v="2019-09-14T00:00:00"/>
    <m/>
    <s v="BDPK-SEK"/>
    <s v="Eke Norbertné"/>
    <d v="2019-07-24T00:00:00"/>
    <d v="2025-01-31T00:00:00"/>
    <n v="500000"/>
    <m/>
    <n v="5"/>
    <s v="Férfi"/>
    <n v="500000"/>
    <s v="fodek0119@icloud.com"/>
    <s v="Fersli Valéria"/>
    <n v="6"/>
    <s v="Aktív"/>
    <n v="6"/>
    <n v="6"/>
    <s v="magyar"/>
    <m/>
  </r>
  <r>
    <s v="Papp Bence"/>
    <s v="CDL45A"/>
    <s v="Aktív"/>
    <s v="osztatlan tanári [11 félév [testnevelő tanár; gyógytestnevelő-egészségfejlesztő tanár]]"/>
    <x v="8"/>
    <s v="osztatlan tanárképzés"/>
    <s v="TKK-OTAK-NOHU"/>
    <s v="Dombóvár"/>
    <s v="Tolna"/>
    <s v="Papp Bence"/>
    <s v="Magyarország"/>
    <d v="1999-04-02T00:00:00"/>
    <s v="T156839/FI80798"/>
    <x v="5"/>
    <s v="Állami ösztöndíjas"/>
    <s v="2019/20/1"/>
    <s v="Nappali"/>
    <n v="8"/>
    <n v="2"/>
    <s v="2021/22/2"/>
    <n v="10"/>
    <s v="79360316298"/>
    <n v="11"/>
    <x v="3"/>
    <m/>
    <m/>
    <m/>
    <m/>
    <s v="Képzésváltás intézményen belül"/>
    <d v="2019-09-14T00:00:00"/>
    <m/>
    <s v="BDPK-SEK"/>
    <s v="Eke Norbertné"/>
    <d v="2019-07-24T00:00:00"/>
    <d v="2025-01-31T00:00:00"/>
    <n v="500000"/>
    <m/>
    <n v="5"/>
    <s v="Férfi"/>
    <n v="500000"/>
    <s v="xbxxcxx@gmail.com"/>
    <s v="Rajczi Beáta"/>
    <n v="6"/>
    <s v="Aktív"/>
    <n v="6"/>
    <n v="6"/>
    <s v="magyar"/>
    <m/>
  </r>
  <r>
    <s v="Kamondi Péter"/>
    <s v="C97ZL4"/>
    <s v="Aktív"/>
    <s v="osztatlan tanári [11 félév [testnevelő tanár; gyógytestnevelő-egészségfejlesztő tanár]]"/>
    <x v="8"/>
    <s v="osztatlan tanárképzés"/>
    <s v="TKK-OTAK-NOHU"/>
    <s v="Tapolca"/>
    <s v="Veszprém"/>
    <s v="Kamondi Péter"/>
    <s v="Magyarország"/>
    <d v="2000-10-18T00:00:00"/>
    <s v="T148784/FI80798"/>
    <x v="5"/>
    <s v="Állami ösztöndíjas"/>
    <s v="2019/20/1"/>
    <s v="Nappali"/>
    <n v="9"/>
    <n v="1"/>
    <s v="2021/22/2"/>
    <n v="10"/>
    <s v="72113618160"/>
    <n v="11"/>
    <x v="3"/>
    <m/>
    <m/>
    <m/>
    <m/>
    <s v="Képzésváltás intézményen belül"/>
    <d v="2019-09-14T00:00:00"/>
    <m/>
    <s v="BDPK-SEK"/>
    <s v="Eke Norbertné"/>
    <d v="2019-07-24T00:00:00"/>
    <d v="2025-01-31T00:00:00"/>
    <n v="500000"/>
    <m/>
    <n v="5"/>
    <s v="Férfi"/>
    <n v="500000"/>
    <s v="kamondip33@gmail.com"/>
    <s v="Pungor Helga Zsuzsanna"/>
    <n v="6"/>
    <s v="Aktív"/>
    <n v="6"/>
    <n v="6"/>
    <s v="magyar"/>
    <m/>
  </r>
  <r>
    <s v="Sebesi Patrik Lajos"/>
    <s v="NACIGH"/>
    <s v="Aktív"/>
    <s v="osztatlan tanári [11 félév [testnevelő tanár; gyógytestnevelő-egészségfejlesztő tanár]]"/>
    <x v="8"/>
    <s v="osztatlan tanárképzés"/>
    <s v="TKK-OTAK-NOHU"/>
    <s v="Szombathely"/>
    <s v="Vas"/>
    <s v="Sebesi Patrik Lajos"/>
    <s v="Magyarország"/>
    <d v="1999-08-07T00:00:00"/>
    <s v="T148741/FI80798"/>
    <x v="5"/>
    <s v="Állami ösztöndíjas"/>
    <s v="2019/20/1"/>
    <s v="Nappali"/>
    <n v="9"/>
    <n v="1"/>
    <s v="2021/22/2"/>
    <n v="10"/>
    <s v="76402228162"/>
    <n v="11"/>
    <x v="3"/>
    <m/>
    <m/>
    <m/>
    <m/>
    <s v="Képzésváltás intézményen belül"/>
    <d v="2019-09-14T00:00:00"/>
    <m/>
    <s v="BDPK-SEK"/>
    <s v="Eke Norbertné"/>
    <d v="2019-07-24T00:00:00"/>
    <d v="2025-01-31T00:00:00"/>
    <n v="500000"/>
    <m/>
    <n v="5"/>
    <s v="Férfi"/>
    <n v="500000"/>
    <s v="sebesipatrik1999@gmail.com"/>
    <s v="Németh Laura Ilona"/>
    <n v="6"/>
    <s v="Aktív"/>
    <n v="6"/>
    <n v="6"/>
    <s v="magyar"/>
    <m/>
  </r>
  <r>
    <s v="Gordos Bianka"/>
    <s v="F9TUZA"/>
    <s v="Passzív"/>
    <s v="osztatlan tanári [11 félév [testnevelő tanár; gyógytestnevelő-egészségfejlesztő tanár]]"/>
    <x v="8"/>
    <s v="osztatlan tanárképzés"/>
    <s v="TKK-OTAK-NOHU"/>
    <s v="Balassagyarmat"/>
    <s v="Nógrád"/>
    <s v="Gordos Bianka"/>
    <s v="Magyarország"/>
    <d v="2000-03-30T00:00:00"/>
    <s v="T150682/FI80798"/>
    <x v="5"/>
    <s v="Állami ösztöndíjas"/>
    <s v="2019/20/1"/>
    <s v="Nappali"/>
    <n v="11"/>
    <n v="1"/>
    <s v="2020/21/2"/>
    <n v="10"/>
    <s v="78521664900"/>
    <n v="11"/>
    <x v="3"/>
    <m/>
    <m/>
    <m/>
    <m/>
    <s v="Képzésváltás intézményen belül"/>
    <d v="2019-09-14T00:00:00"/>
    <m/>
    <s v="BDPK-SEK"/>
    <s v="Eke Norbertné"/>
    <d v="2019-07-24T00:00:00"/>
    <d v="2026-07-15T00:00:00"/>
    <n v="500000"/>
    <m/>
    <n v="4"/>
    <s v="Nő"/>
    <n v="500000"/>
    <s v="gordosbia@gmail.com"/>
    <s v="Percze Erika"/>
    <n v="4"/>
    <s v="Passzív"/>
    <n v="4"/>
    <n v="4"/>
    <s v="magyar"/>
    <m/>
  </r>
  <r>
    <s v="Góczán Pál"/>
    <s v="GGUOER"/>
    <s v="Aktív"/>
    <s v="osztatlan tanári [11 félév [testnevelő tanár; gyógytestnevelő-egészségfejlesztő tanár]]"/>
    <x v="8"/>
    <s v="osztatlan tanárképzés"/>
    <s v="TKK-OTAK-NOHU"/>
    <s v="Szombathely"/>
    <s v="Vas"/>
    <s v="Góczán Pál"/>
    <s v="Magyarország"/>
    <d v="2000-11-15T00:00:00"/>
    <s v="T148838/FI80798"/>
    <x v="5"/>
    <s v="Állami ösztöndíjas"/>
    <s v="2019/20/1"/>
    <s v="Nappali"/>
    <n v="9"/>
    <n v="1"/>
    <s v="2021/22/2"/>
    <n v="10"/>
    <s v="78327925778"/>
    <n v="11"/>
    <x v="3"/>
    <m/>
    <m/>
    <m/>
    <m/>
    <s v="Képzésváltás intézményen belül"/>
    <d v="2019-09-14T00:00:00"/>
    <m/>
    <s v="BDPK-SEK"/>
    <s v="Eke Norbertné"/>
    <d v="2019-07-24T00:00:00"/>
    <d v="2025-01-31T00:00:00"/>
    <n v="500000"/>
    <m/>
    <n v="5"/>
    <s v="Férfi"/>
    <n v="500000"/>
    <s v="goczan.pali@gmail.com"/>
    <s v="Nardai Anikó"/>
    <n v="6"/>
    <s v="Aktív"/>
    <n v="6"/>
    <n v="6"/>
    <s v="magyar"/>
    <m/>
  </r>
  <r>
    <s v="Haraszti Márk"/>
    <s v="UI5MC4"/>
    <s v="Aktív"/>
    <s v="osztatlan tanári [11 félév [testnevelő tanár; gyógytestnevelő-egészségfejlesztő tanár]]"/>
    <x v="8"/>
    <s v="osztatlan tanárképzés"/>
    <s v="TKK-OTAK-NOHU"/>
    <s v="Budapest"/>
    <s v="Budapest"/>
    <s v="Haraszti Márk"/>
    <s v="Magyarország"/>
    <d v="1999-01-20T00:00:00"/>
    <s v="T150588/FI80798"/>
    <x v="5"/>
    <s v="Állami ösztöndíjas"/>
    <s v="2019/20/1"/>
    <s v="Nappali"/>
    <n v="9"/>
    <n v="1"/>
    <s v="2021/22/2"/>
    <n v="10"/>
    <s v="72144401758"/>
    <n v="11"/>
    <x v="3"/>
    <m/>
    <m/>
    <m/>
    <m/>
    <s v="Képzésváltás intézményen belül"/>
    <d v="2019-09-14T00:00:00"/>
    <m/>
    <s v="BDPK-SEK"/>
    <s v="Eke Norbertné"/>
    <d v="2019-07-24T00:00:00"/>
    <d v="2025-01-31T00:00:00"/>
    <n v="500000"/>
    <m/>
    <n v="5"/>
    <s v="Férfi"/>
    <n v="500000"/>
    <s v="harasztymark@gmail.com"/>
    <s v="Szenzenstein Györgyi Adrienn"/>
    <n v="6"/>
    <s v="Aktív"/>
    <n v="6"/>
    <n v="6"/>
    <s v="magyar"/>
    <m/>
  </r>
  <r>
    <s v="Bauer András"/>
    <s v="NZOAQ0"/>
    <s v="Aktív"/>
    <s v="osztatlan tanári [11 félév [testnevelő tanár; gyógytestnevelő-egészségfejlesztő tanár]]"/>
    <x v="8"/>
    <s v="osztatlan tanárképzés"/>
    <s v="TKK-OTAK-NOHU"/>
    <s v="Siófok"/>
    <s v="Somogy"/>
    <s v="Bauer András"/>
    <s v="Magyarország"/>
    <d v="1999-10-30T00:00:00"/>
    <s v="T151482/FI80798"/>
    <x v="5"/>
    <s v="Állami ösztöndíjas"/>
    <s v="2019/20/1"/>
    <s v="Nappali"/>
    <n v="9"/>
    <n v="1"/>
    <s v="2021/22/2"/>
    <n v="10"/>
    <s v="74066766907"/>
    <n v="11"/>
    <x v="3"/>
    <m/>
    <m/>
    <m/>
    <m/>
    <s v="Képzésváltás intézményen belül"/>
    <d v="2019-09-14T00:00:00"/>
    <m/>
    <s v="BDPK-SEK"/>
    <s v="Eke Norbertné"/>
    <d v="2019-07-24T00:00:00"/>
    <d v="2025-01-31T00:00:00"/>
    <n v="500000"/>
    <m/>
    <n v="5"/>
    <s v="Férfi"/>
    <n v="500000"/>
    <s v="b.a.andris1999@gmail.com"/>
    <s v="Bartos Krisztina"/>
    <n v="6"/>
    <s v="Aktív"/>
    <n v="6"/>
    <n v="6"/>
    <s v="magyar"/>
    <m/>
  </r>
  <r>
    <s v="Cséber Kristóf"/>
    <s v="URY92F"/>
    <s v="Aktív"/>
    <s v="osztatlan tanári [11 félév [testnevelő tanár; gyógytestnevelő-egészségfejlesztő tanár]]"/>
    <x v="8"/>
    <s v="osztatlan tanárképzés"/>
    <s v="TKK-OTAK-NOHU"/>
    <s v="Zalaegerszeg"/>
    <s v="Zala"/>
    <s v="Cséber Kristóf"/>
    <s v="Magyarország"/>
    <d v="1998-06-02T00:00:00"/>
    <s v="T149532/FI80798"/>
    <x v="5"/>
    <s v="Állami ösztöndíjas"/>
    <s v="2019/20/1"/>
    <s v="Nappali"/>
    <n v="7"/>
    <n v="1"/>
    <s v="2021/22/2"/>
    <n v="10"/>
    <s v="77218232995"/>
    <n v="11"/>
    <x v="3"/>
    <m/>
    <m/>
    <m/>
    <m/>
    <s v="Képzésváltás intézményen belül"/>
    <d v="2019-09-14T00:00:00"/>
    <m/>
    <s v="BDPK-SEK"/>
    <s v="Eke Norbertné"/>
    <d v="2019-07-24T00:00:00"/>
    <d v="2025-01-31T00:00:00"/>
    <n v="500000"/>
    <m/>
    <n v="5"/>
    <s v="Férfi"/>
    <n v="500000"/>
    <s v="cseberkristof@gmail.com"/>
    <s v="Varga Zsuzsanna"/>
    <n v="6"/>
    <s v="Aktív"/>
    <n v="6"/>
    <n v="6"/>
    <s v="magyar"/>
    <m/>
  </r>
  <r>
    <s v="Czepek Péter"/>
    <s v="GA9MO1"/>
    <s v="Aktív"/>
    <s v="osztatlan tanári [11 félév [testnevelő tanár; gyógytestnevelő-egészségfejlesztő tanár]]"/>
    <x v="8"/>
    <s v="osztatlan tanárképzés"/>
    <s v="TKK-OTAK-NOHU"/>
    <s v="Ajka"/>
    <s v="Veszprém"/>
    <s v="Czepek Péter"/>
    <s v="Magyarország"/>
    <d v="2000-07-22T00:00:00"/>
    <s v="T153514/FI80798"/>
    <x v="5"/>
    <s v="Állami ösztöndíjas"/>
    <s v="2019/20/1"/>
    <s v="Nappali"/>
    <n v="11"/>
    <n v="1"/>
    <s v="2021/22/2"/>
    <n v="10"/>
    <s v="75050100298"/>
    <n v="11"/>
    <x v="3"/>
    <m/>
    <m/>
    <m/>
    <m/>
    <s v="Képzésváltás intézményen belül"/>
    <d v="2019-09-14T00:00:00"/>
    <m/>
    <s v="BDPK-SEK"/>
    <s v="Eke Norbertné"/>
    <d v="2019-07-24T00:00:00"/>
    <d v="2025-01-31T00:00:00"/>
    <n v="500000"/>
    <m/>
    <n v="3"/>
    <s v="Férfi"/>
    <n v="500000"/>
    <s v="peter.czepek@gmail.com"/>
    <s v="Baráth Anita"/>
    <n v="6"/>
    <s v="Aktív"/>
    <n v="4"/>
    <n v="6"/>
    <s v="magyar"/>
    <m/>
  </r>
  <r>
    <s v="Petrovics Bálint"/>
    <s v="IM2U5N"/>
    <s v="Aktív"/>
    <s v="osztatlan tanári [11 félév [testnevelő tanár; gyógytestnevelő-egészségfejlesztő tanár]]"/>
    <x v="8"/>
    <s v="osztatlan tanárképzés"/>
    <s v="TKK-OTAK-NOHU"/>
    <s v="Körmend"/>
    <s v="Vas"/>
    <s v="Petrovics Bálint"/>
    <s v="Magyarország"/>
    <d v="2000-07-29T00:00:00"/>
    <s v="T154865/FI80798"/>
    <x v="5"/>
    <s v="Állami ösztöndíjas"/>
    <s v="2019/20/1"/>
    <s v="Nappali"/>
    <n v="9"/>
    <n v="1"/>
    <s v="2021/22/2"/>
    <n v="10"/>
    <s v="78649259001"/>
    <n v="11"/>
    <x v="3"/>
    <m/>
    <m/>
    <m/>
    <m/>
    <s v="Képzésváltás intézményen belül"/>
    <d v="2019-09-14T00:00:00"/>
    <m/>
    <s v="BDPK-SEK"/>
    <s v="Eke Norbertné"/>
    <d v="2019-07-24T00:00:00"/>
    <d v="2025-01-31T00:00:00"/>
    <n v="500000"/>
    <m/>
    <n v="5"/>
    <s v="Férfi"/>
    <n v="500000"/>
    <s v="pbalint180@gmail.com"/>
    <s v="Kocsis Eszter"/>
    <n v="6"/>
    <s v="Aktív"/>
    <n v="6"/>
    <n v="6"/>
    <s v="magyar"/>
    <m/>
  </r>
  <r>
    <s v="Horváth András Csaba"/>
    <s v="RXM9YE"/>
    <s v="Aktív"/>
    <s v="osztatlan tanári [11 félév [testnevelő tanár; gyógytestnevelő-egészségfejlesztő tanár]]"/>
    <x v="8"/>
    <s v="osztatlan tanárképzés"/>
    <s v="TKK-OTAK-NOHU"/>
    <s v="Veszprém"/>
    <s v="Veszprém"/>
    <s v="Horváth András Csaba"/>
    <s v="Magyarország"/>
    <d v="1999-08-21T00:00:00"/>
    <s v="T148809/FI80798"/>
    <x v="5"/>
    <s v="Állami ösztöndíjas"/>
    <s v="2019/20/1"/>
    <s v="Nappali"/>
    <n v="9"/>
    <n v="1"/>
    <s v="2021/22/2"/>
    <n v="10"/>
    <s v="74743039024"/>
    <n v="11"/>
    <x v="3"/>
    <m/>
    <m/>
    <m/>
    <m/>
    <s v="Képzésváltás intézményen belül"/>
    <d v="2019-09-14T00:00:00"/>
    <m/>
    <s v="BDPK-SEK"/>
    <s v="Eke Norbertné"/>
    <d v="2019-07-24T00:00:00"/>
    <d v="2025-01-31T00:00:00"/>
    <n v="500000"/>
    <m/>
    <n v="5"/>
    <s v="Férfi"/>
    <n v="500000"/>
    <s v="h.andri.99@gmail.com"/>
    <s v="Bozsó Veronika Katalin"/>
    <n v="6"/>
    <s v="Aktív"/>
    <n v="6"/>
    <n v="6"/>
    <s v="magyar"/>
    <m/>
  </r>
  <r>
    <s v="Fogl Barnabás"/>
    <s v="O8GP9O"/>
    <s v="Aktív"/>
    <s v="osztatlan tanári [11 félév [testnevelő tanár; gyógytestnevelő-egészségfejlesztő tanár]]"/>
    <x v="8"/>
    <s v="osztatlan tanárképzés"/>
    <s v="TKK-OTAK-NOHU"/>
    <s v="Szombathely"/>
    <s v="Vas"/>
    <s v="Fogl Barnabás"/>
    <s v="Magyarország"/>
    <d v="1999-08-21T00:00:00"/>
    <s v="T149233/FI80798"/>
    <x v="5"/>
    <s v="Állami ösztöndíjas"/>
    <s v="2019/20/1"/>
    <s v="Nappali"/>
    <n v="9"/>
    <n v="1"/>
    <s v="2021/22/2"/>
    <n v="10"/>
    <s v="72969661768"/>
    <n v="11"/>
    <x v="3"/>
    <m/>
    <m/>
    <m/>
    <m/>
    <s v="Képzésváltás intézményen belül"/>
    <d v="2019-09-14T00:00:00"/>
    <m/>
    <s v="BDPK-SEK"/>
    <s v="Eke Norbertné"/>
    <d v="2019-07-24T00:00:00"/>
    <d v="2025-01-31T00:00:00"/>
    <n v="500000"/>
    <m/>
    <n v="5"/>
    <s v="Férfi"/>
    <n v="500000"/>
    <s v="fogelbarni@gmail.com"/>
    <s v="Morosits Eszter"/>
    <n v="6"/>
    <s v="Aktív"/>
    <n v="6"/>
    <n v="6"/>
    <s v="magyar"/>
    <m/>
  </r>
  <r>
    <s v="Nagy Tamara"/>
    <s v="N3HHVG"/>
    <s v="Aktív"/>
    <s v="osztatlan tanári [11 félév [testnevelő tanár; gyógytestnevelő-egészségfejlesztő tanár]]"/>
    <x v="8"/>
    <s v="osztatlan tanárképzés"/>
    <s v="TKK-OTAK-NOHU"/>
    <s v="Zalaegerszeg"/>
    <s v="Zala"/>
    <s v="Nagy Tamara"/>
    <s v="Magyarország"/>
    <d v="2002-10-28T00:00:00"/>
    <s v="T187411/FI80798"/>
    <x v="5"/>
    <s v="Állami ösztöndíjas"/>
    <s v="2021/22/1"/>
    <s v="Nappali"/>
    <n v="13"/>
    <n v="1"/>
    <s v="2021/22/2"/>
    <n v="10"/>
    <s v="71762914077"/>
    <n v="11"/>
    <x v="3"/>
    <m/>
    <m/>
    <m/>
    <m/>
    <s v="Képzésváltás intézményen belül"/>
    <d v="2021-09-13T00:00:00"/>
    <m/>
    <s v="BDPK-SEK"/>
    <s v="Eke Norbertné"/>
    <d v="2021-07-23T00:00:00"/>
    <d v="2027-01-31T00:00:00"/>
    <n v="500000"/>
    <m/>
    <n v="1"/>
    <s v="Nő"/>
    <n v="500000"/>
    <s v="tami1028@gmail.com"/>
    <s v="Németh Mónika"/>
    <n v="2"/>
    <s v="Aktív"/>
    <n v="2"/>
    <n v="2"/>
    <s v="magyar"/>
    <m/>
  </r>
  <r>
    <s v="Bizey-Nagy Gabriella"/>
    <s v="UQ4ZGA"/>
    <s v="Aktív"/>
    <s v="osztatlan tanári [11 félév [testnevelő tanár; gyógytestnevelő-egészségfejlesztő tanár]]"/>
    <x v="8"/>
    <s v="osztatlan tanárképzés"/>
    <s v="TKK-OTAK-NOHU"/>
    <s v="Budapest"/>
    <s v="Budapest"/>
    <s v="Bizey-Nagy Gabriella"/>
    <s v="Magyarország"/>
    <d v="2000-12-12T00:00:00"/>
    <s v="T148747/FI80798"/>
    <x v="5"/>
    <s v="Állami ösztöndíjas"/>
    <s v="2019/20/1"/>
    <s v="Nappali"/>
    <n v="13"/>
    <n v="1"/>
    <s v="2021/22/2"/>
    <n v="10"/>
    <s v="76572767925"/>
    <n v="11"/>
    <x v="3"/>
    <m/>
    <m/>
    <m/>
    <m/>
    <s v="Képzésváltás intézményen belül"/>
    <d v="2019-09-14T00:00:00"/>
    <m/>
    <s v="BDPK-SEK"/>
    <s v="Eke Norbertné"/>
    <d v="2019-07-24T00:00:00"/>
    <d v="2025-01-31T00:00:00"/>
    <n v="500000"/>
    <m/>
    <n v="5"/>
    <s v="Nő"/>
    <n v="500000"/>
    <s v="biznagygabriella@gmail.com"/>
    <s v="Bizey Gabriella"/>
    <n v="6"/>
    <s v="Aktív"/>
    <n v="6"/>
    <n v="6"/>
    <s v="magyar"/>
    <m/>
  </r>
  <r>
    <s v="Papp Benita"/>
    <s v="CUJZT3"/>
    <s v="Aktív"/>
    <s v="osztatlan tanári [11 félév [testnevelő tanár; gyógytestnevelő-egészségfejlesztő tanár]]"/>
    <x v="8"/>
    <s v="osztatlan tanárképzés"/>
    <s v="TKK-OTAK-NOHU"/>
    <s v="Zalaegerszeg"/>
    <s v="Zala"/>
    <s v="Papp Benita"/>
    <s v="Magyarország"/>
    <d v="2000-06-02T00:00:00"/>
    <s v="T150875/FI80798"/>
    <x v="5"/>
    <s v="Állami ösztöndíjas"/>
    <s v="2019/20/1"/>
    <s v="Nappali"/>
    <n v="9"/>
    <n v="1"/>
    <s v="2021/22/2"/>
    <n v="10"/>
    <s v="73261281498"/>
    <n v="11"/>
    <x v="3"/>
    <m/>
    <m/>
    <m/>
    <m/>
    <s v="Képzésváltás intézményen belül"/>
    <d v="2019-09-14T00:00:00"/>
    <m/>
    <s v="BDPK-SEK"/>
    <s v="Eke Norbertné"/>
    <d v="2019-07-24T00:00:00"/>
    <d v="2025-01-31T00:00:00"/>
    <n v="500000"/>
    <m/>
    <n v="5"/>
    <s v="Nő"/>
    <n v="500000"/>
    <s v="beni.2000.pb@gmail.com"/>
    <s v="Forberger Éva"/>
    <n v="6"/>
    <s v="Aktív"/>
    <n v="6"/>
    <n v="6"/>
    <s v="magyar"/>
    <m/>
  </r>
  <r>
    <s v="Hujbert László"/>
    <s v="NBAWLB"/>
    <s v="Aktív"/>
    <s v="osztatlan tanári [11 félév [testnevelő tanár; gyógytestnevelő-egészségfejlesztő tanár]]"/>
    <x v="8"/>
    <s v="osztatlan tanárképzés"/>
    <s v="TKK-OTAK-NOHU"/>
    <s v="Celldömölk"/>
    <s v="Vas"/>
    <s v="Hujbert László"/>
    <s v="Magyarország"/>
    <d v="2000-10-03T00:00:00"/>
    <s v="T162326/FI80798"/>
    <x v="5"/>
    <s v="Állami ösztöndíjas"/>
    <s v="2020/21/1"/>
    <s v="Nappali"/>
    <n v="10"/>
    <n v="1"/>
    <s v="2021/22/2"/>
    <n v="10"/>
    <s v="74380646872"/>
    <n v="11"/>
    <x v="3"/>
    <m/>
    <m/>
    <m/>
    <m/>
    <s v="Képzésváltás intézményen belül"/>
    <d v="2020-09-14T00:00:00"/>
    <m/>
    <s v="BDPK-SEK"/>
    <s v="Eke Norbertné"/>
    <d v="2020-07-23T00:00:00"/>
    <d v="2026-01-31T00:00:00"/>
    <n v="500000"/>
    <m/>
    <n v="3"/>
    <s v="Férfi"/>
    <n v="500000"/>
    <s v="lshujbert@gmail.com"/>
    <s v="Szakáli Veronika"/>
    <n v="4"/>
    <s v="Aktív"/>
    <n v="4"/>
    <n v="4"/>
    <s v="magyar"/>
    <m/>
  </r>
  <r>
    <s v="Mezősi Anna"/>
    <s v="N19T2Y"/>
    <s v="Aktív"/>
    <s v="osztatlan tanári [11 félév [testnevelő tanár; gyógytestnevelő-egészségfejlesztő tanár]]"/>
    <x v="8"/>
    <s v="osztatlan tanárképzés"/>
    <s v="TKK-OTAK-NOHU"/>
    <s v="Szombathely"/>
    <s v="Vas"/>
    <s v="Mezősi Anna"/>
    <s v="Magyarország"/>
    <d v="2001-06-18T00:00:00"/>
    <s v="T161597/FI80798"/>
    <x v="5"/>
    <s v="Állami ösztöndíjas"/>
    <s v="2020/21/1"/>
    <s v="Nappali"/>
    <n v="10"/>
    <n v="1"/>
    <s v="2021/22/2"/>
    <n v="10"/>
    <s v="71465321299"/>
    <n v="11"/>
    <x v="3"/>
    <m/>
    <m/>
    <m/>
    <m/>
    <s v="Képzésváltás intézményen belül"/>
    <d v="2020-09-14T00:00:00"/>
    <m/>
    <s v="BDPK-SEK"/>
    <s v="Eke Norbertné"/>
    <d v="2020-07-23T00:00:00"/>
    <d v="2026-01-31T00:00:00"/>
    <n v="500000"/>
    <m/>
    <n v="3"/>
    <s v="Nő"/>
    <n v="500000"/>
    <s v="annamezosi@gmail.com"/>
    <s v="Szabó Anikó"/>
    <n v="4"/>
    <s v="Aktív"/>
    <n v="4"/>
    <n v="4"/>
    <s v="magyar"/>
    <m/>
  </r>
  <r>
    <s v="Vatali Réka"/>
    <s v="ZN9O3U"/>
    <s v="Aktív"/>
    <s v="osztatlan tanári [11 félév [testnevelő tanár; gyógytestnevelő-egészségfejlesztő tanár]]"/>
    <x v="8"/>
    <s v="osztatlan tanárképzés"/>
    <s v="TKK-OTAK-NOHU"/>
    <s v="Zalaegerszeg"/>
    <s v="Zala"/>
    <s v="Vatali Réka"/>
    <s v="Magyarország"/>
    <d v="2002-02-10T00:00:00"/>
    <s v="T164847/FI80798"/>
    <x v="5"/>
    <s v="Állami ösztöndíjas"/>
    <s v="2020/21/1"/>
    <s v="Nappali"/>
    <n v="11"/>
    <n v="1"/>
    <s v="2021/22/2"/>
    <n v="10"/>
    <s v="71613650562"/>
    <n v="11"/>
    <x v="3"/>
    <m/>
    <m/>
    <m/>
    <m/>
    <s v="Képzésváltás intézményen belül"/>
    <d v="2020-09-14T00:00:00"/>
    <m/>
    <s v="BDPK-SEK"/>
    <s v="Eke Norbertné"/>
    <d v="2020-07-23T00:00:00"/>
    <d v="2026-01-31T00:00:00"/>
    <n v="500000"/>
    <m/>
    <n v="3"/>
    <s v="Nő"/>
    <n v="500000"/>
    <s v="vatali.reka@gmail.com"/>
    <s v="Keszei Erzsébet"/>
    <n v="4"/>
    <s v="Aktív"/>
    <n v="4"/>
    <n v="4"/>
    <s v="magyar"/>
    <m/>
  </r>
  <r>
    <s v="Marth Bence"/>
    <s v="K7MA8M"/>
    <s v="Aktív"/>
    <s v="osztatlan tanári [11 félév [testnevelő tanár; gyógytestnevelő-egészségfejlesztő tanár]]"/>
    <x v="8"/>
    <s v="osztatlan tanárképzés"/>
    <s v="TKK-OTAK-NOHU"/>
    <s v="Zalaegerszeg"/>
    <s v="Zala"/>
    <s v="Marth Bence"/>
    <s v="Magyarország"/>
    <d v="2002-06-07T00:00:00"/>
    <s v="T169793/FI80798"/>
    <x v="5"/>
    <s v="Állami ösztöndíjas"/>
    <s v="2020/21/1"/>
    <s v="Nappali"/>
    <n v="11"/>
    <n v="1"/>
    <s v="2021/22/2"/>
    <n v="10"/>
    <s v="71466649165"/>
    <n v="11"/>
    <x v="3"/>
    <m/>
    <m/>
    <m/>
    <m/>
    <s v="Képzésváltás intézményen belül"/>
    <d v="2020-09-14T00:00:00"/>
    <m/>
    <s v="BDPK-SEK"/>
    <s v="Eke Norbertné"/>
    <d v="2020-07-23T00:00:00"/>
    <d v="2026-01-31T00:00:00"/>
    <n v="500000"/>
    <m/>
    <n v="3"/>
    <s v="Férfi"/>
    <n v="500000"/>
    <s v="marthbence@gmail.com"/>
    <s v="Kollár Judit"/>
    <n v="4"/>
    <s v="Aktív"/>
    <n v="4"/>
    <n v="4"/>
    <s v="magyar"/>
    <m/>
  </r>
  <r>
    <s v="Mihalicz Bianka"/>
    <s v="FMEB4Z"/>
    <s v="Aktív"/>
    <s v="osztatlan tanári [11 félév [testnevelő tanár; gyógytestnevelő-egészségfejlesztő tanár]]"/>
    <x v="8"/>
    <s v="osztatlan tanárképzés"/>
    <s v="TKK-OTAK-NOHU"/>
    <s v="Sopron"/>
    <s v="Győr-Moson-Sopron"/>
    <s v="Mihalicz Bianka"/>
    <s v="Magyarország"/>
    <d v="2002-05-18T00:00:00"/>
    <s v="T163783/FI80798"/>
    <x v="5"/>
    <s v="Állami ösztöndíjas"/>
    <s v="2020/21/1"/>
    <s v="Nappali"/>
    <n v="11"/>
    <n v="1"/>
    <s v="2021/22/2"/>
    <n v="10"/>
    <s v="71466297821"/>
    <n v="11"/>
    <x v="3"/>
    <m/>
    <m/>
    <m/>
    <m/>
    <s v="Képzésváltás intézményen belül"/>
    <d v="2020-09-14T00:00:00"/>
    <m/>
    <s v="BDPK-SEK"/>
    <s v="Eke Norbertné"/>
    <d v="2020-07-23T00:00:00"/>
    <d v="2026-01-31T00:00:00"/>
    <n v="500000"/>
    <m/>
    <n v="3"/>
    <s v="Nő"/>
    <n v="500000"/>
    <s v="mihalicz.bianka@gmail.com"/>
    <s v="Szanati Adrienn"/>
    <n v="4"/>
    <s v="Aktív"/>
    <n v="4"/>
    <n v="4"/>
    <s v="magyar"/>
    <m/>
  </r>
  <r>
    <s v="Plózer Petra"/>
    <s v="CP00NR"/>
    <s v="Aktív"/>
    <s v="osztatlan tanári [11 félév [testnevelő tanár; gyógytestnevelő-egészségfejlesztő tanár]]"/>
    <x v="8"/>
    <s v="osztatlan tanárképzés"/>
    <s v="TKK-OTAK-NOHU"/>
    <s v="Szombathely"/>
    <s v="Vas"/>
    <s v="Plózer Petra"/>
    <s v="Magyarország"/>
    <d v="2000-05-24T00:00:00"/>
    <s v="T161620/FI80798"/>
    <x v="5"/>
    <s v="Állami ösztöndíjas"/>
    <s v="2020/21/1"/>
    <s v="Nappali"/>
    <n v="10"/>
    <n v="1"/>
    <s v="2021/22/2"/>
    <n v="10"/>
    <s v="74520016936"/>
    <n v="11"/>
    <x v="3"/>
    <m/>
    <m/>
    <m/>
    <m/>
    <s v="Képzésváltás intézményen belül"/>
    <d v="2020-09-14T00:00:00"/>
    <m/>
    <s v="BDPK-SEK"/>
    <s v="Eke Norbertné"/>
    <d v="2020-07-23T00:00:00"/>
    <d v="2026-01-31T00:00:00"/>
    <n v="500000"/>
    <m/>
    <n v="3"/>
    <s v="Nő"/>
    <n v="500000"/>
    <s v="pplozer@gmail.com"/>
    <s v="Nagy Edit"/>
    <n v="4"/>
    <s v="Aktív"/>
    <n v="4"/>
    <n v="4"/>
    <s v="magyar"/>
    <m/>
  </r>
  <r>
    <s v="Bergmann Dániel"/>
    <s v="XYULMR"/>
    <s v="Aktív"/>
    <s v="osztatlan tanári [11 félév [testnevelő tanár; gyógytestnevelő-egészségfejlesztő tanár]]"/>
    <x v="8"/>
    <s v="osztatlan tanárképzés"/>
    <s v="TKK-OTAK-NOHU"/>
    <s v="Szombathely"/>
    <s v="Vas"/>
    <s v="Bergmann Dániel"/>
    <s v="Magyarország"/>
    <d v="2000-11-26T00:00:00"/>
    <s v="T168846/FI80798"/>
    <x v="5"/>
    <s v="Állami ösztöndíjas"/>
    <s v="2020/21/1"/>
    <s v="Nappali"/>
    <n v="11"/>
    <n v="1"/>
    <s v="2021/22/2"/>
    <n v="10"/>
    <s v="76266805441"/>
    <n v="11"/>
    <x v="3"/>
    <m/>
    <m/>
    <m/>
    <m/>
    <s v="Képzésváltás intézményen belül"/>
    <d v="2020-09-14T00:00:00"/>
    <m/>
    <s v="BDPK-SEK"/>
    <s v="Eke Norbertné"/>
    <d v="2020-07-23T00:00:00"/>
    <d v="2026-01-31T00:00:00"/>
    <n v="500000"/>
    <m/>
    <n v="3"/>
    <s v="Férfi"/>
    <n v="500000"/>
    <s v="bergmanndani2000@gmail.com"/>
    <s v="Bősze Anett Éva"/>
    <n v="4"/>
    <s v="Aktív"/>
    <n v="4"/>
    <n v="4"/>
    <s v="magyar"/>
    <m/>
  </r>
  <r>
    <s v="Pődör Petra"/>
    <s v="IUPBQV"/>
    <s v="Aktív"/>
    <s v="osztatlan tanári [11 félév [testnevelő tanár; gyógytestnevelő-egészségfejlesztő tanár]]"/>
    <x v="8"/>
    <s v="osztatlan tanárképzés"/>
    <s v="TKK-OTAK-NOHU"/>
    <s v="Csorna"/>
    <s v="Győr-Moson-Sopron"/>
    <s v="Pődör Petra"/>
    <s v="Magyarország"/>
    <d v="2001-11-06T00:00:00"/>
    <s v="T164976/FI80798"/>
    <x v="5"/>
    <s v="Állami ösztöndíjas"/>
    <s v="2020/21/1"/>
    <s v="Nappali"/>
    <n v="11"/>
    <n v="1"/>
    <s v="2021/22/2"/>
    <n v="10"/>
    <s v="71642483522"/>
    <n v="11"/>
    <x v="3"/>
    <m/>
    <m/>
    <m/>
    <m/>
    <s v="Képzésváltás intézményen belül"/>
    <d v="2020-09-14T00:00:00"/>
    <m/>
    <s v="BDPK-SEK"/>
    <s v="Eke Norbertné"/>
    <d v="2020-07-23T00:00:00"/>
    <d v="2026-01-31T00:00:00"/>
    <n v="500000"/>
    <m/>
    <n v="3"/>
    <s v="Nő"/>
    <n v="500000"/>
    <s v="podorpetra1106@gmail.com"/>
    <s v="Horváth Erzsébet"/>
    <n v="4"/>
    <s v="Aktív"/>
    <n v="4"/>
    <n v="4"/>
    <s v="magyar"/>
    <m/>
  </r>
  <r>
    <s v="Preisinger Boglárka"/>
    <s v="Z6PBW5"/>
    <s v="Passzív"/>
    <s v="osztatlan tanári [11 félév [testnevelő tanár; gyógytestnevelő-egészségfejlesztő tanár]]"/>
    <x v="8"/>
    <s v="osztatlan tanárképzés"/>
    <s v="TKK-OTAK-NOHU"/>
    <s v="Zalaegerszeg"/>
    <s v="Zala"/>
    <s v="Preisinger Boglárka"/>
    <s v="Magyarország"/>
    <d v="2000-11-23T00:00:00"/>
    <s v="T161628/FI80798"/>
    <x v="5"/>
    <s v="Állami ösztöndíjas"/>
    <s v="2020/21/1"/>
    <s v="Nappali"/>
    <n v="10"/>
    <n v="1"/>
    <s v="2021/22/2"/>
    <n v="10"/>
    <s v="75113502554"/>
    <n v="11"/>
    <x v="3"/>
    <m/>
    <m/>
    <m/>
    <m/>
    <s v="Képzésváltás intézményen belül"/>
    <d v="2021-09-01T00:00:00"/>
    <m/>
    <s v="BDPK-SEK"/>
    <s v="Eke Norbertné"/>
    <d v="2020-07-23T00:00:00"/>
    <d v="2027-01-31T00:00:00"/>
    <n v="500000"/>
    <m/>
    <n v="1"/>
    <s v="Nő"/>
    <n v="500000"/>
    <s v="bogci230@gmail.com"/>
    <s v="Kiss Réka"/>
    <n v="1"/>
    <s v="Passzív"/>
    <n v="1"/>
    <n v="3"/>
    <s v="magyar"/>
    <m/>
  </r>
  <r>
    <s v="Németh Richárd"/>
    <s v="AHEABL"/>
    <s v="Aktív"/>
    <s v="osztatlan tanári [11 félév [testnevelő tanár; gyógytestnevelő-egészségfejlesztő tanár]]"/>
    <x v="8"/>
    <s v="osztatlan tanárképzés"/>
    <s v="TKK-OTAK-NOHU"/>
    <s v="Zalaegerszeg"/>
    <s v="Zala"/>
    <s v="Németh Richárd"/>
    <s v="Magyarország"/>
    <d v="2002-12-23T00:00:00"/>
    <s v="T183140/FI80798"/>
    <x v="5"/>
    <s v="Állami ösztöndíjas"/>
    <s v="2021/22/1"/>
    <s v="Nappali"/>
    <n v="13"/>
    <n v="1"/>
    <s v="2021/22/2"/>
    <n v="10"/>
    <s v="71770412875"/>
    <n v="11"/>
    <x v="3"/>
    <m/>
    <m/>
    <m/>
    <m/>
    <s v="Képzésváltás intézményen belül"/>
    <d v="2021-09-13T00:00:00"/>
    <m/>
    <s v="BDPK-SEK"/>
    <s v="Eke Norbertné"/>
    <d v="2021-07-23T00:00:00"/>
    <d v="2027-01-31T00:00:00"/>
    <n v="500000"/>
    <m/>
    <n v="1"/>
    <s v="Férfi"/>
    <n v="500000"/>
    <s v="n.ricso2002@gmail.com"/>
    <s v="Mészáros Katalin"/>
    <n v="2"/>
    <s v="Aktív"/>
    <n v="2"/>
    <n v="2"/>
    <s v="magyar"/>
    <m/>
  </r>
  <r>
    <s v="Tájmel Kristóf"/>
    <s v="A40JEV"/>
    <s v="Aktív"/>
    <s v="osztatlan tanári [11 félév [testnevelő tanár; gyógytestnevelő-egészségfejlesztő tanár]]"/>
    <x v="8"/>
    <s v="osztatlan tanárképzés"/>
    <s v="TKK-OTAK-NOHU"/>
    <s v="Szombathely"/>
    <s v="Vas"/>
    <s v="Tájmel Kristóf"/>
    <s v="Magyarország"/>
    <d v="2002-01-22T00:00:00"/>
    <s v="T183441/FI80798"/>
    <x v="5"/>
    <s v="Állami ösztöndíjas"/>
    <s v="2021/22/1"/>
    <s v="Nappali"/>
    <n v="13"/>
    <n v="1"/>
    <s v="2021/22/2"/>
    <n v="10"/>
    <s v="71763312628"/>
    <n v="11"/>
    <x v="3"/>
    <m/>
    <m/>
    <m/>
    <m/>
    <s v="Képzésváltás intézményen belül"/>
    <d v="2021-09-13T00:00:00"/>
    <m/>
    <s v="BDPK-SEK"/>
    <s v="Eke Norbertné"/>
    <d v="2021-07-23T00:00:00"/>
    <d v="2027-01-31T00:00:00"/>
    <n v="500000"/>
    <m/>
    <n v="1"/>
    <s v="Férfi"/>
    <n v="500000"/>
    <s v="kristof20020122@gmail.com"/>
    <s v="Zsámboki Andrea"/>
    <n v="2"/>
    <s v="Aktív"/>
    <n v="2"/>
    <n v="2"/>
    <s v="magyar"/>
    <m/>
  </r>
  <r>
    <s v="Megyeri Gergely"/>
    <s v="WWB0GA"/>
    <s v="Passzív"/>
    <s v="osztatlan tanári [11 félév [testnevelő tanár; gyógytestnevelő-egészségfejlesztő tanár]]"/>
    <x v="8"/>
    <s v="osztatlan tanárképzés"/>
    <s v="TKK-OTAK-NOHU"/>
    <s v="Sopron"/>
    <s v="Győr-Moson-Sopron"/>
    <s v="Megyeri Gergely"/>
    <s v="Magyarország"/>
    <d v="2002-07-06T00:00:00"/>
    <s v="T183572/FI80798"/>
    <x v="5"/>
    <s v="Állami ösztöndíjas"/>
    <s v="2021/22/1"/>
    <s v="Nappali"/>
    <n v="14"/>
    <n v="1"/>
    <s v="2021/22/1"/>
    <n v="10"/>
    <s v="71759898104"/>
    <n v="11"/>
    <x v="3"/>
    <m/>
    <m/>
    <m/>
    <m/>
    <s v="Képzésváltás intézményen belül"/>
    <d v="2021-09-13T00:00:00"/>
    <m/>
    <s v="BDPK-SEK"/>
    <s v="Eke Norbertné"/>
    <d v="2021-07-23T00:00:00"/>
    <d v="2028-01-31T00:00:00"/>
    <n v="500000"/>
    <m/>
    <n v="1"/>
    <s v="Férfi"/>
    <n v="500000"/>
    <s v="geri1995.07.06@gmail.com"/>
    <s v="Pusker Hajnalka"/>
    <n v="1"/>
    <s v="Passzív"/>
    <n v="1"/>
    <n v="1"/>
    <s v="magyar"/>
    <m/>
  </r>
  <r>
    <s v="Tóth Cintia Kitti"/>
    <s v="WPNNBB"/>
    <s v="Aktív"/>
    <s v="osztatlan tanári [11 félév [testnevelő tanár; gyógytestnevelő-egészségfejlesztő tanár]]"/>
    <x v="8"/>
    <s v="osztatlan tanárképzés"/>
    <s v="TKK-OTAK-NOHU"/>
    <s v="Zalaegerszeg"/>
    <s v="Zala"/>
    <s v="Tóth Cintia Kitti"/>
    <s v="Magyarország"/>
    <d v="2001-09-18T00:00:00"/>
    <s v="T169752/FI80798"/>
    <x v="5"/>
    <s v="Állami ösztöndíjas"/>
    <s v="2020/21/1"/>
    <s v="Nappali"/>
    <n v="11"/>
    <n v="1"/>
    <s v="2021/22/2"/>
    <n v="10"/>
    <s v="71622257524"/>
    <n v="11"/>
    <x v="3"/>
    <m/>
    <m/>
    <m/>
    <m/>
    <s v="Képzésváltás intézményen belül"/>
    <d v="2020-09-14T00:00:00"/>
    <m/>
    <s v="BDPK-SEK"/>
    <s v="Eke Norbertné"/>
    <d v="2020-07-23T00:00:00"/>
    <d v="2026-01-31T00:00:00"/>
    <n v="500000"/>
    <m/>
    <n v="3"/>
    <s v="Nő"/>
    <n v="500000"/>
    <s v="tothcintia.kitti18@gmail.com"/>
    <s v="Kovács Katalin"/>
    <n v="4"/>
    <s v="Aktív"/>
    <n v="4"/>
    <n v="4"/>
    <s v="magyar"/>
    <m/>
  </r>
  <r>
    <s v="Bekő Bence"/>
    <s v="I1JB9P"/>
    <s v="Aktív"/>
    <s v="osztatlan tanári [11 félév [testnevelő tanár; gyógytestnevelő-egészségfejlesztő tanár]]"/>
    <x v="8"/>
    <s v="osztatlan tanárképzés"/>
    <s v="TKK-OTAK-NOHU"/>
    <s v="Zalaegerszeg"/>
    <s v="Zala"/>
    <s v="Bekő Bence"/>
    <s v="Magyarország"/>
    <d v="2002-05-19T00:00:00"/>
    <s v="T169805/FI80798"/>
    <x v="5"/>
    <s v="Állami ösztöndíjas"/>
    <s v="2020/21/1"/>
    <s v="Nappali"/>
    <n v="11"/>
    <n v="1"/>
    <s v="2021/22/2"/>
    <n v="10"/>
    <s v="71602424788"/>
    <n v="11"/>
    <x v="3"/>
    <m/>
    <m/>
    <m/>
    <m/>
    <s v="Képzésváltás intézményen belül"/>
    <d v="2020-09-14T00:00:00"/>
    <m/>
    <s v="BDPK-SEK"/>
    <s v="Eke Norbertné"/>
    <d v="2020-07-23T00:00:00"/>
    <d v="2026-01-31T00:00:00"/>
    <n v="500000"/>
    <m/>
    <n v="3"/>
    <s v="Férfi"/>
    <n v="500000"/>
    <s v="bekobence5@gmail.com"/>
    <s v="Horváth Brigitta"/>
    <n v="4"/>
    <s v="Aktív"/>
    <n v="4"/>
    <n v="4"/>
    <s v="magyar"/>
    <m/>
  </r>
  <r>
    <s v="Németh Levente"/>
    <s v="XEMKK6"/>
    <s v="Aktív"/>
    <s v="osztatlan tanári [11 félév [testnevelő tanár; gyógytestnevelő-egészségfejlesztő tanár]]"/>
    <x v="8"/>
    <s v="osztatlan tanárképzés"/>
    <s v="TKK-OTAK-NOHU"/>
    <s v="Zalaegerszeg"/>
    <s v="Zala"/>
    <s v="Németh Levente"/>
    <s v="Magyarország"/>
    <d v="2001-06-17T00:00:00"/>
    <s v="T163211/FI80798"/>
    <x v="5"/>
    <s v="Állami ösztöndíjas"/>
    <s v="2020/21/1"/>
    <s v="Nappali"/>
    <n v="11"/>
    <n v="1"/>
    <s v="2021/22/2"/>
    <n v="10"/>
    <s v="71602429891"/>
    <n v="11"/>
    <x v="3"/>
    <m/>
    <m/>
    <m/>
    <m/>
    <s v="Képzésváltás intézményen belül"/>
    <d v="2020-09-14T00:00:00"/>
    <m/>
    <s v="BDPK-SEK"/>
    <s v="Eke Norbertné"/>
    <d v="2020-07-23T00:00:00"/>
    <d v="2026-01-31T00:00:00"/>
    <n v="500000"/>
    <m/>
    <n v="3"/>
    <s v="Férfi"/>
    <n v="500000"/>
    <s v="leves0617@gmail.com"/>
    <s v="Cseh Andrea"/>
    <n v="4"/>
    <s v="Aktív"/>
    <n v="4"/>
    <n v="4"/>
    <s v="magyar"/>
    <m/>
  </r>
  <r>
    <s v="Tállai Emese"/>
    <s v="TUORHK"/>
    <s v="Aktív"/>
    <s v="osztatlan tanári [11 félév [testnevelő tanár; gyógytestnevelő-egészségfejlesztő tanár]]"/>
    <x v="8"/>
    <s v="osztatlan tanárképzés"/>
    <s v="TKK-OTAK-NOHU"/>
    <s v="Zalaegerszeg"/>
    <s v="Zala"/>
    <s v="Tállai Emese"/>
    <s v="Magyarország"/>
    <d v="2000-05-03T00:00:00"/>
    <s v="T162978/FI80798"/>
    <x v="5"/>
    <s v="Állami ösztöndíjas"/>
    <s v="2020/21/1"/>
    <s v="Nappali"/>
    <n v="11"/>
    <n v="1"/>
    <s v="2021/22/2"/>
    <n v="10"/>
    <s v="72766261515"/>
    <n v="11"/>
    <x v="3"/>
    <m/>
    <m/>
    <m/>
    <m/>
    <s v="Képzésváltás intézményen belül"/>
    <d v="2020-09-14T00:00:00"/>
    <m/>
    <s v="BDPK-SEK"/>
    <s v="Eke Norbertné"/>
    <d v="2020-07-23T00:00:00"/>
    <d v="2026-01-31T00:00:00"/>
    <n v="500000"/>
    <m/>
    <n v="3"/>
    <s v="Nő"/>
    <n v="500000"/>
    <s v="tallaiemese@gmail.com"/>
    <s v="Csuka Anikó"/>
    <n v="4"/>
    <s v="Aktív"/>
    <n v="4"/>
    <n v="4"/>
    <s v="magyar"/>
    <m/>
  </r>
  <r>
    <s v="Varga Júlia"/>
    <s v="N3IQBR"/>
    <s v="Aktív"/>
    <s v="osztatlan tanári [11 félév [testnevelő tanár; gyógytestnevelő-egészségfejlesztő tanár]]"/>
    <x v="8"/>
    <s v="osztatlan tanárképzés"/>
    <s v="TKK-OTAK-NOHU"/>
    <s v="Kapuvár"/>
    <s v="Győr-Moson-Sopron"/>
    <s v="Varga Júlia"/>
    <s v="Magyarország"/>
    <d v="2001-07-13T00:00:00"/>
    <s v="T172152/FI80798"/>
    <x v="5"/>
    <s v="Állami ösztöndíjas"/>
    <s v="2020/21/1"/>
    <s v="Nappali"/>
    <n v="13"/>
    <n v="1"/>
    <s v="2021/22/2"/>
    <n v="10"/>
    <s v="71588105636"/>
    <n v="11"/>
    <x v="3"/>
    <m/>
    <m/>
    <m/>
    <m/>
    <s v="Képzésváltás intézményen belül"/>
    <d v="2020-09-14T00:00:00"/>
    <m/>
    <s v="BDPK-SEK"/>
    <s v="Eke Norbertné"/>
    <d v="2020-08-27T00:00:00"/>
    <d v="2026-01-31T00:00:00"/>
    <n v="500000"/>
    <m/>
    <n v="1"/>
    <s v="Nő"/>
    <n v="500000"/>
    <s v="juliavarga68@gmail.com"/>
    <s v="Licskai Márta"/>
    <n v="4"/>
    <s v="Aktív"/>
    <n v="2"/>
    <n v="4"/>
    <s v="magyar"/>
    <m/>
  </r>
  <r>
    <s v="Matucza Gyula"/>
    <s v="RXPZBK"/>
    <s v="Aktív"/>
    <s v="osztatlan tanári [11 félév [testnevelő tanár; gyógytestnevelő-egészségfejlesztő tanár]]"/>
    <x v="8"/>
    <s v="osztatlan tanárképzés"/>
    <s v="TKK-OTAK-NOHU"/>
    <s v="Dunaújváros"/>
    <s v="Fejér"/>
    <s v="Matucza Gyula"/>
    <s v="Magyarország"/>
    <d v="2000-03-25T00:00:00"/>
    <s v="T157363/FI80798"/>
    <x v="5"/>
    <s v="Állami ösztöndíjas"/>
    <s v="2019/20/1"/>
    <s v="Nappali"/>
    <n v="8"/>
    <n v="2"/>
    <s v="2021/22/2"/>
    <n v="10"/>
    <s v="71959524191"/>
    <n v="11"/>
    <x v="3"/>
    <m/>
    <m/>
    <m/>
    <m/>
    <s v="Képzésváltás intézményen belül"/>
    <d v="2019-09-14T00:00:00"/>
    <m/>
    <s v="BDPK-SEK"/>
    <s v="Eke Norbertné"/>
    <d v="2019-07-24T00:00:00"/>
    <d v="2025-01-31T00:00:00"/>
    <n v="500000"/>
    <m/>
    <n v="5"/>
    <s v="Férfi"/>
    <n v="500000"/>
    <s v="matuczagyula19@gmail.com"/>
    <s v="Árva Gabriella"/>
    <n v="6"/>
    <s v="Aktív"/>
    <n v="6"/>
    <n v="6"/>
    <s v="magyar"/>
    <m/>
  </r>
  <r>
    <s v="Somogyvári Dalma"/>
    <s v="Y477EN"/>
    <s v="Passzív"/>
    <s v="osztatlan tanári [11 félév [testnevelő tanár; gyógytestnevelő-egészségfejlesztő tanár]]"/>
    <x v="8"/>
    <s v="osztatlan tanárképzés"/>
    <s v="TKK-OTAK-NOHU"/>
    <s v="Pécs"/>
    <s v="Baranya"/>
    <s v="Somogyvári Dalma"/>
    <s v="Magyarország"/>
    <d v="1999-08-05T00:00:00"/>
    <s v="T135150/FI80798"/>
    <x v="5"/>
    <s v="Állami ösztöndíjas"/>
    <s v="2018/19/1"/>
    <s v="Nappali"/>
    <n v="9"/>
    <n v="1"/>
    <s v="2020/21/2"/>
    <n v="10"/>
    <s v="72944561332"/>
    <n v="11"/>
    <x v="3"/>
    <m/>
    <m/>
    <m/>
    <m/>
    <s v="Képzésváltás intézményen belül"/>
    <d v="2018-09-06T00:00:00"/>
    <m/>
    <s v="BDPK-SEK"/>
    <s v="Eke Norbertné"/>
    <d v="2018-07-25T00:00:00"/>
    <d v="2025-07-15T00:00:00"/>
    <n v="400000"/>
    <m/>
    <n v="6"/>
    <s v="Nő"/>
    <n v="400000"/>
    <s v="dalmasomogyvari@gmail.com"/>
    <s v="Varga Beáta"/>
    <n v="6"/>
    <s v="Passzív"/>
    <n v="6"/>
    <n v="6"/>
    <s v="magyar"/>
    <m/>
  </r>
  <r>
    <s v="Komóczi Donát"/>
    <s v="DWIHG9"/>
    <s v="Aktív"/>
    <s v="osztatlan tanári [11 félév [testnevelő tanár; gyógytestnevelő-egészségfejlesztő tanár]]"/>
    <x v="8"/>
    <s v="osztatlan tanárképzés"/>
    <s v="TKK-OTAK-NOHU"/>
    <s v="Szombathely"/>
    <s v="Vas"/>
    <s v="Komóczi Donát"/>
    <s v="Magyarország"/>
    <d v="2003-03-09T00:00:00"/>
    <s v="T180670/FI80798"/>
    <x v="5"/>
    <s v="Állami ösztöndíjas"/>
    <s v="2021/22/1"/>
    <s v="Nappali"/>
    <n v="13"/>
    <n v="1"/>
    <s v="2021/22/2"/>
    <n v="10"/>
    <s v="71662677541"/>
    <n v="11"/>
    <x v="3"/>
    <m/>
    <m/>
    <m/>
    <m/>
    <s v="Képzésváltás intézményen belül"/>
    <d v="2021-09-13T00:00:00"/>
    <m/>
    <s v="BDPK-SEK"/>
    <s v="Eke Norbertné"/>
    <d v="2021-07-23T00:00:00"/>
    <d v="2027-01-31T00:00:00"/>
    <n v="500000"/>
    <m/>
    <n v="1"/>
    <s v="Férfi"/>
    <n v="500000"/>
    <s v="doncig2003@gmail.com"/>
    <s v="Orbán Helga"/>
    <n v="2"/>
    <s v="Aktív"/>
    <n v="2"/>
    <n v="2"/>
    <s v="magyar"/>
    <m/>
  </r>
  <r>
    <s v="Szalay Júlia"/>
    <s v="G29REU"/>
    <s v="Aktív"/>
    <s v="osztatlan tanári [11 félév [testnevelő tanár; gyógytestnevelő-egészségfejlesztő tanár]]"/>
    <x v="8"/>
    <s v="osztatlan tanárképzés"/>
    <s v="TKK-OTAK-NOHU"/>
    <s v="Veszprém"/>
    <s v="Veszprém"/>
    <s v="Szalay Júlia"/>
    <s v="Magyarország"/>
    <d v="2002-05-25T00:00:00"/>
    <s v="T189232/FI80798"/>
    <x v="5"/>
    <s v="Állami ösztöndíjas"/>
    <s v="2021/22/1"/>
    <s v="Nappali"/>
    <n v="13"/>
    <n v="1"/>
    <s v="2021/22/2"/>
    <n v="10"/>
    <s v="72172185851"/>
    <n v="11"/>
    <x v="3"/>
    <m/>
    <m/>
    <m/>
    <m/>
    <s v="Képzésváltás intézményen belül"/>
    <d v="2021-09-13T00:00:00"/>
    <m/>
    <s v="BDPK-SEK"/>
    <s v="Eke Norbertné"/>
    <d v="2021-07-23T00:00:00"/>
    <d v="2027-01-31T00:00:00"/>
    <n v="500000"/>
    <m/>
    <n v="1"/>
    <s v="Nő"/>
    <n v="500000"/>
    <s v="juliaszalay0525@gmail.com"/>
    <s v="Felber Márta"/>
    <n v="2"/>
    <s v="Aktív"/>
    <n v="2"/>
    <n v="2"/>
    <s v="magyar"/>
    <m/>
  </r>
  <r>
    <s v="Vidák Anna Vivien"/>
    <s v="B975XZ"/>
    <s v="Aktív"/>
    <s v="osztatlan tanári [11 félév [testnevelő tanár; gyógytestnevelő-egészségfejlesztő tanár]]"/>
    <x v="8"/>
    <s v="osztatlan tanárképzés"/>
    <s v="TKK-OTAK-NOHU"/>
    <s v="Zalaegerszeg"/>
    <s v="Zala"/>
    <s v="Vidák Anna Vivien"/>
    <s v="Magyarország"/>
    <d v="2003-02-05T00:00:00"/>
    <s v="T180344/FI80798"/>
    <x v="5"/>
    <s v="Állami ösztöndíjas"/>
    <s v="2021/22/1"/>
    <s v="Nappali"/>
    <n v="13"/>
    <n v="1"/>
    <s v="2021/22/2"/>
    <n v="10"/>
    <s v="71760807200"/>
    <n v="11"/>
    <x v="3"/>
    <m/>
    <m/>
    <m/>
    <m/>
    <s v="Képzésváltás intézményen belül"/>
    <d v="2021-09-13T00:00:00"/>
    <m/>
    <s v="BDPK-SEK"/>
    <s v="Eke Norbertné"/>
    <d v="2021-07-23T00:00:00"/>
    <d v="2027-01-31T00:00:00"/>
    <n v="500000"/>
    <m/>
    <n v="1"/>
    <s v="Nő"/>
    <n v="500000"/>
    <s v="vidakvivien05@gmail.com"/>
    <s v="Kovács Judit"/>
    <n v="2"/>
    <s v="Aktív"/>
    <n v="2"/>
    <n v="2"/>
    <s v="magyar"/>
    <m/>
  </r>
  <r>
    <s v="Fatér Viktória"/>
    <s v="YZ9GQK"/>
    <s v="Aktív"/>
    <s v="osztatlan tanári [11 félév [testnevelő tanár; gyógytestnevelő-egészségfejlesztő tanár]]"/>
    <x v="8"/>
    <s v="osztatlan tanárképzés"/>
    <s v="TKK-OTAK-NOHU"/>
    <s v="Szombathely"/>
    <s v="Vas"/>
    <s v="Fatér Viktória"/>
    <s v="Magyarország"/>
    <d v="2002-06-23T00:00:00"/>
    <s v="T184566/FI80798"/>
    <x v="5"/>
    <s v="Állami ösztöndíjas"/>
    <s v="2021/22/1"/>
    <s v="Nappali"/>
    <n v="13"/>
    <n v="1"/>
    <s v="2021/22/2"/>
    <n v="10"/>
    <s v="71762747451"/>
    <n v="11"/>
    <x v="3"/>
    <m/>
    <m/>
    <m/>
    <m/>
    <s v="Képzésváltás intézményen belül"/>
    <d v="2021-09-13T00:00:00"/>
    <m/>
    <s v="BDPK-SEK"/>
    <s v="Eke Norbertné"/>
    <d v="2021-07-23T00:00:00"/>
    <d v="2027-01-31T00:00:00"/>
    <n v="500000"/>
    <m/>
    <n v="1"/>
    <s v="Nő"/>
    <n v="500000"/>
    <s v="jazvik1@gmail.com"/>
    <s v="Kató Edina"/>
    <n v="2"/>
    <s v="Aktív"/>
    <n v="2"/>
    <n v="2"/>
    <s v="magyar"/>
    <m/>
  </r>
  <r>
    <s v="Horváth Melitta Erzsébet"/>
    <s v="JS42ML"/>
    <s v="Aktív"/>
    <s v="osztatlan tanári [11 félév [testnevelő tanár; gyógytestnevelő-egészségfejlesztő tanár]]"/>
    <x v="8"/>
    <s v="osztatlan tanárképzés"/>
    <s v="TKK-OTAK-NOHU"/>
    <s v="Szombathely"/>
    <s v="Vas"/>
    <s v="Horváth Melitta Erzsébet"/>
    <s v="Magyarország"/>
    <d v="2002-07-09T00:00:00"/>
    <s v="T180890/FI80798"/>
    <x v="5"/>
    <s v="Állami ösztöndíjas"/>
    <s v="2021/22/1"/>
    <s v="Nappali"/>
    <n v="13"/>
    <n v="1"/>
    <s v="2021/22/2"/>
    <n v="10"/>
    <s v="72152983915"/>
    <n v="11"/>
    <x v="3"/>
    <m/>
    <m/>
    <m/>
    <m/>
    <s v="Képzésváltás intézményen belül"/>
    <d v="2021-09-13T00:00:00"/>
    <m/>
    <s v="BDPK-SEK"/>
    <s v="Eke Norbertné"/>
    <d v="2021-07-23T00:00:00"/>
    <d v="2027-01-31T00:00:00"/>
    <n v="500000"/>
    <m/>
    <n v="1"/>
    <s v="Nő"/>
    <n v="500000"/>
    <s v="hmmelitta@gmail.com"/>
    <s v="Pomper Ilona"/>
    <n v="2"/>
    <s v="Aktív"/>
    <n v="2"/>
    <n v="2"/>
    <s v="magyar"/>
    <m/>
  </r>
  <r>
    <s v="Pável Lóránd Tamás"/>
    <s v="Y29KWO"/>
    <s v="Aktív"/>
    <s v="osztatlan tanári [11 félév [testnevelő tanár; gyógytestnevelő-egészségfejlesztő tanár]]"/>
    <x v="8"/>
    <s v="osztatlan tanárképzés"/>
    <s v="TKK-OTAK-NOHU"/>
    <s v="Szombathely"/>
    <s v="Vas"/>
    <s v="Pável Lóránd Tamás"/>
    <s v="Magyarország"/>
    <d v="2002-06-25T00:00:00"/>
    <s v="T179782/FI80798"/>
    <x v="5"/>
    <s v="Állami ösztöndíjas"/>
    <s v="2021/22/1"/>
    <s v="Nappali"/>
    <n v="13"/>
    <n v="1"/>
    <s v="2021/22/2"/>
    <n v="10"/>
    <s v="71662690169"/>
    <n v="11"/>
    <x v="3"/>
    <m/>
    <m/>
    <m/>
    <m/>
    <s v="Képzésváltás intézményen belül"/>
    <d v="2021-09-13T00:00:00"/>
    <m/>
    <s v="BDPK-SEK"/>
    <s v="Eke Norbertné"/>
    <d v="2021-07-23T00:00:00"/>
    <d v="2027-01-31T00:00:00"/>
    <n v="500000"/>
    <m/>
    <n v="1"/>
    <s v="Férfi"/>
    <n v="500000"/>
    <s v="pavel.lorand@gmail.com"/>
    <s v="Giczi Ildikó"/>
    <n v="2"/>
    <s v="Aktív"/>
    <n v="2"/>
    <n v="2"/>
    <s v="magyar"/>
    <m/>
  </r>
  <r>
    <s v="Szokoli Viktória"/>
    <s v="CN1IC9"/>
    <s v="Aktív"/>
    <s v="osztatlan tanári [11 félév [testnevelő tanár; gyógytestnevelő-egészségfejlesztő tanár]]"/>
    <x v="8"/>
    <s v="osztatlan tanárképzés"/>
    <s v="TKK-OTAK-NOHU"/>
    <s v="Ajka"/>
    <s v="Veszprém"/>
    <s v="Szokoli Viktória"/>
    <s v="Magyarország"/>
    <d v="2001-02-04T00:00:00"/>
    <s v="T180317/FI80798"/>
    <x v="5"/>
    <s v="Állami ösztöndíjas"/>
    <s v="2021/22/1"/>
    <s v="Nappali"/>
    <n v="13"/>
    <n v="1"/>
    <s v="2021/22/2"/>
    <n v="10"/>
    <s v="71980084933"/>
    <n v="11"/>
    <x v="3"/>
    <m/>
    <m/>
    <m/>
    <m/>
    <s v="Képzésváltás intézményen belül"/>
    <d v="2021-09-13T00:00:00"/>
    <m/>
    <s v="BDPK-SEK"/>
    <s v="Eke Norbertné"/>
    <d v="2021-07-23T00:00:00"/>
    <d v="2027-01-31T00:00:00"/>
    <n v="500000"/>
    <m/>
    <n v="1"/>
    <s v="Nő"/>
    <n v="500000"/>
    <s v="szokoliviki14@gmail.com"/>
    <s v="Gecző Szilvia"/>
    <n v="2"/>
    <s v="Aktív"/>
    <n v="2"/>
    <n v="2"/>
    <s v="magyar"/>
    <m/>
  </r>
  <r>
    <s v="Makrai Kornél"/>
    <s v="IB8DC6"/>
    <s v="Passzív"/>
    <s v="osztatlan tanári [11 félév [testnevelő tanár; gyógytestnevelő-egészségfejlesztő tanár]]"/>
    <x v="8"/>
    <s v="osztatlan tanárképzés"/>
    <s v="TKK-OTAK-NOHU"/>
    <s v="Szombathely"/>
    <s v="Vas"/>
    <s v="Makrai Kornél"/>
    <s v="Magyarország"/>
    <d v="2002-02-05T00:00:00"/>
    <s v="T189302/FI80798"/>
    <x v="5"/>
    <s v="Állami ösztöndíjas"/>
    <s v="2021/22/1"/>
    <s v="Nappali"/>
    <n v="14"/>
    <n v="1"/>
    <s v="2021/22/1"/>
    <n v="10"/>
    <s v="71764013839"/>
    <n v="11"/>
    <x v="3"/>
    <m/>
    <m/>
    <m/>
    <m/>
    <s v="Képzésváltás intézményen belül"/>
    <d v="2021-09-13T00:00:00"/>
    <m/>
    <s v="BDPK-SEK"/>
    <s v="Eke Norbertné"/>
    <d v="2021-07-23T00:00:00"/>
    <d v="2028-01-31T00:00:00"/>
    <n v="500000"/>
    <m/>
    <n v="1"/>
    <s v="Férfi"/>
    <n v="500000"/>
    <s v="makraikornel12@gmail.com"/>
    <s v="Nyári Henrietta"/>
    <n v="1"/>
    <s v="Passzív"/>
    <n v="1"/>
    <n v="1"/>
    <s v="magyar"/>
    <m/>
  </r>
  <r>
    <s v="Ihász Mercédesz"/>
    <s v="KQW1A6"/>
    <s v="Passzív"/>
    <s v="osztatlan tanári [11 félév [testnevelő tanár; gyógytestnevelő-egészségfejlesztő tanár]]"/>
    <x v="8"/>
    <s v="osztatlan tanárképzés"/>
    <s v="TKK-OTAK-NOHU"/>
    <s v="Székesfehérvár"/>
    <s v="Fejér"/>
    <s v="Ihász Mercédesz"/>
    <s v="Magyarország"/>
    <d v="2001-12-12T00:00:00"/>
    <s v="T183644/FI80798"/>
    <x v="5"/>
    <s v="Állami ösztöndíjas"/>
    <s v="2021/22/1"/>
    <s v="Nappali"/>
    <n v="14"/>
    <n v="1"/>
    <s v="2021/22/1"/>
    <n v="10"/>
    <s v="71595287753"/>
    <n v="11"/>
    <x v="3"/>
    <m/>
    <m/>
    <m/>
    <m/>
    <s v="Képzésváltás intézményen belül"/>
    <d v="2021-09-13T00:00:00"/>
    <m/>
    <s v="BDPK-SEK"/>
    <s v="Eke Norbertné"/>
    <d v="2021-07-23T00:00:00"/>
    <d v="2028-01-31T00:00:00"/>
    <n v="500000"/>
    <m/>
    <n v="1"/>
    <s v="Nő"/>
    <n v="500000"/>
    <s v="i.ihaszmercedesz@gmail.com"/>
    <s v="Viktóri Anikó"/>
    <n v="1"/>
    <s v="Passzív"/>
    <n v="1"/>
    <n v="1"/>
    <s v="magyar"/>
    <m/>
  </r>
  <r>
    <s v="Ganzer Péter"/>
    <s v="GNTPG6"/>
    <s v="Passzív"/>
    <s v="osztatlan tanári [11 félév [testnevelő tanár; gyógytestnevelő-egészségfejlesztő tanár]]"/>
    <x v="8"/>
    <s v="osztatlan tanárképzés"/>
    <s v="TKK-OTAK-NOHU"/>
    <s v="Komárno"/>
    <m/>
    <s v="Ganzer Péter"/>
    <s v="Szlovákia"/>
    <d v="2001-10-24T00:00:00"/>
    <s v="T191581/FI80798"/>
    <x v="5"/>
    <s v="Állami ösztöndíjas"/>
    <s v="2021/22/1"/>
    <s v="Nappali"/>
    <n v="14"/>
    <m/>
    <m/>
    <n v="10"/>
    <s v="73669842408"/>
    <n v="11"/>
    <x v="3"/>
    <m/>
    <m/>
    <m/>
    <m/>
    <s v="Képzésváltás intézményen belül"/>
    <d v="2021-09-13T00:00:00"/>
    <m/>
    <s v="BDPK-SEK"/>
    <s v="Eke Norbertné"/>
    <d v="2021-08-27T00:00:00"/>
    <d v="2028-01-31T00:00:00"/>
    <n v="500000"/>
    <m/>
    <m/>
    <s v="Férfi"/>
    <n v="500000"/>
    <s v="ganzer.peter@gmail.com"/>
    <s v="Kosíková Erika"/>
    <n v="0"/>
    <s v="Passzív"/>
    <n v="0"/>
    <n v="0"/>
    <s v="szlovák"/>
    <m/>
  </r>
  <r>
    <s v="Hantó Melánia"/>
    <s v="DU4F4X"/>
    <s v="Aktív"/>
    <s v="osztatlan tanári [11 félév [testnevelő tanár; gyógytestnevelő-egészségfejlesztő tanár]]"/>
    <x v="8"/>
    <s v="osztatlan tanárképzés"/>
    <s v="TKK-OTAK-NOHU"/>
    <s v="Szombathely"/>
    <s v="Vas"/>
    <s v="Hantó Melánia"/>
    <s v="Magyarország"/>
    <d v="2002-03-01T00:00:00"/>
    <s v="T188299/FI80798"/>
    <x v="5"/>
    <s v="Állami ösztöndíjas"/>
    <s v="2020/21/1"/>
    <s v="Nappali"/>
    <n v="12"/>
    <n v="1"/>
    <s v="2021/22/2"/>
    <n v="10"/>
    <s v="71597012643"/>
    <n v="11"/>
    <x v="3"/>
    <m/>
    <m/>
    <m/>
    <m/>
    <s v="Átvétel kérelemre más magyarországi intézményből"/>
    <d v="2021-09-01T00:00:00"/>
    <m/>
    <s v="BDPK-SEK"/>
    <s v="Eke Norbertné"/>
    <d v="2020-07-23T00:00:00"/>
    <d v="2027-01-31T00:00:00"/>
    <n v="500000"/>
    <m/>
    <n v="1"/>
    <s v="Nő"/>
    <n v="500000"/>
    <s v="hantomelania@gmail.com"/>
    <s v="Kreiter Andrea"/>
    <n v="2"/>
    <s v="Aktív"/>
    <n v="2"/>
    <n v="2"/>
    <s v="magyar"/>
    <m/>
  </r>
  <r>
    <s v="Fábián Kristóf"/>
    <s v="L7WCBC"/>
    <s v="Aktív"/>
    <s v="osztatlan tanári [11 félév [testnevelő tanár; gyógytestnevelő-egészségfejlesztő tanár]]"/>
    <x v="8"/>
    <s v="osztatlan tanárképzés"/>
    <s v="TKK-OTAK-NOHU"/>
    <s v="Zalaegerszeg"/>
    <s v="Zala"/>
    <s v="Fábián Kristóf"/>
    <s v="Magyarország"/>
    <d v="2001-09-02T00:00:00"/>
    <s v="T190045/FI80798"/>
    <x v="5"/>
    <s v="Önköltséges"/>
    <s v="2021/22/1"/>
    <s v="Nappali"/>
    <n v="14"/>
    <m/>
    <m/>
    <n v="10"/>
    <s v="71602431343"/>
    <n v="11"/>
    <x v="3"/>
    <m/>
    <m/>
    <m/>
    <m/>
    <s v="Képzésváltás intézményen belül"/>
    <d v="2021-09-13T00:00:00"/>
    <m/>
    <s v="BDPK-SEK"/>
    <s v="Eke Norbertné"/>
    <d v="2021-08-27T00:00:00"/>
    <d v="2027-01-31T00:00:00"/>
    <m/>
    <m/>
    <n v="0"/>
    <s v="Férfi"/>
    <m/>
    <s v="fabinno18@gmail.com"/>
    <s v="Bankó Szilvia"/>
    <n v="2"/>
    <s v="Aktív"/>
    <n v="0"/>
    <n v="2"/>
    <s v="magyar"/>
    <n v="500000"/>
  </r>
  <r>
    <s v="Samu Barbara"/>
    <s v="FV9J6U"/>
    <s v="Aktív"/>
    <s v="osztatlan tanári [11 félév [testnevelő tanár; gyógytestnevelő-egészségfejlesztő tanár]]"/>
    <x v="8"/>
    <s v="osztatlan tanárképzés"/>
    <s v="TKK-OTAK-NOHU"/>
    <s v="Zalaegerszeg"/>
    <s v="Zala"/>
    <s v="Samu Barbara"/>
    <s v="Magyarország"/>
    <d v="2001-06-06T00:00:00"/>
    <s v="T189584/FI80798"/>
    <x v="5"/>
    <s v="Állami ösztöndíjas"/>
    <s v="2021/22/1"/>
    <s v="Nappali"/>
    <n v="13"/>
    <n v="1"/>
    <s v="2021/22/2"/>
    <n v="10"/>
    <s v="71466220808"/>
    <n v="11"/>
    <x v="3"/>
    <m/>
    <m/>
    <m/>
    <m/>
    <s v="Képzésváltás intézményen belül"/>
    <d v="2021-09-13T00:00:00"/>
    <m/>
    <s v="BDPK-SEK"/>
    <s v="Eke Norbertné"/>
    <d v="2021-07-23T00:00:00"/>
    <d v="2027-01-31T00:00:00"/>
    <n v="500000"/>
    <m/>
    <n v="1"/>
    <s v="Nő"/>
    <n v="500000"/>
    <s v="samubarbi010606@gmail.com"/>
    <s v="Tóth Éva"/>
    <n v="2"/>
    <s v="Aktív"/>
    <n v="2"/>
    <n v="2"/>
    <s v="magyar"/>
    <m/>
  </r>
  <r>
    <s v="Thier Emese"/>
    <s v="L15AOL"/>
    <s v="Aktív"/>
    <s v="osztatlan tanári [11 félév [testnevelő tanár; gyógytestnevelő-egészségfejlesztő tanár]]"/>
    <x v="8"/>
    <s v="osztatlan tanárképzés"/>
    <s v="TKK-OTAK-NOHU"/>
    <s v="Esztergom"/>
    <s v="Komárom-Esztergom"/>
    <s v="Thier Emese"/>
    <s v="Magyarország"/>
    <d v="2001-07-21T00:00:00"/>
    <s v="T181735/FI80798"/>
    <x v="5"/>
    <s v="Állami ösztöndíjas"/>
    <s v="2021/22/1"/>
    <s v="Nappali"/>
    <n v="13"/>
    <n v="1"/>
    <s v="2021/22/2"/>
    <n v="10"/>
    <s v="71606066185"/>
    <n v="11"/>
    <x v="3"/>
    <m/>
    <m/>
    <m/>
    <m/>
    <s v="Képzésváltás intézményen belül"/>
    <d v="2021-09-13T00:00:00"/>
    <m/>
    <s v="BDPK-SEK"/>
    <s v="Eke Norbertné"/>
    <d v="2021-07-23T00:00:00"/>
    <d v="2027-01-31T00:00:00"/>
    <n v="500000"/>
    <m/>
    <n v="1"/>
    <s v="Nő"/>
    <n v="500000"/>
    <s v="thier.mesi@gmail.com"/>
    <s v="Kovács Beatrix"/>
    <n v="2"/>
    <s v="Aktív"/>
    <n v="2"/>
    <n v="2"/>
    <s v="magyar"/>
    <m/>
  </r>
  <r>
    <s v="Horváth Kinga Veronika"/>
    <s v="CI0Q8V"/>
    <s v="Aktív"/>
    <s v="osztatlan tanári [11 félév [testnevelő tanár; gyógytestnevelő-egészségfejlesztő tanár]]"/>
    <x v="8"/>
    <s v="osztatlan tanárképzés"/>
    <s v="TKK-OTAK-NOHU"/>
    <s v="Sopron"/>
    <s v="Győr-Moson-Sopron"/>
    <s v="Horváth Kinga Veronika"/>
    <s v="Magyarország"/>
    <d v="2003-03-21T00:00:00"/>
    <s v="T180507/FI80798"/>
    <x v="5"/>
    <s v="Állami ösztöndíjas"/>
    <s v="2021/22/1"/>
    <s v="Nappali"/>
    <n v="13"/>
    <n v="1"/>
    <s v="2021/22/2"/>
    <n v="10"/>
    <s v="71766617704"/>
    <n v="11"/>
    <x v="3"/>
    <m/>
    <m/>
    <m/>
    <m/>
    <s v="Képzésváltás intézményen belül"/>
    <d v="2021-09-13T00:00:00"/>
    <m/>
    <s v="BDPK-SEK"/>
    <s v="Eke Norbertné"/>
    <d v="2021-07-23T00:00:00"/>
    <d v="2027-01-31T00:00:00"/>
    <n v="500000"/>
    <m/>
    <n v="1"/>
    <s v="Nő"/>
    <n v="500000"/>
    <s v="kinga.horvath0321@gmail.com"/>
    <s v="Rácz Veronika"/>
    <n v="2"/>
    <s v="Aktív"/>
    <n v="2"/>
    <n v="2"/>
    <s v="magyar"/>
    <m/>
  </r>
  <r>
    <s v="Török Annamária"/>
    <s v="DM2388"/>
    <s v="Aktív"/>
    <s v="osztatlan tanári [11 félév [testnevelő tanár; gyógytestnevelő-egészségfejlesztő tanár]]"/>
    <x v="8"/>
    <s v="osztatlan tanárképzés"/>
    <s v="TKK-OTAK-NOHU"/>
    <s v="Sopron"/>
    <s v="Győr-Moson-Sopron"/>
    <s v="Török Annamária"/>
    <s v="Magyarország"/>
    <d v="2001-06-25T00:00:00"/>
    <s v="T190056/FI80798"/>
    <x v="5"/>
    <s v="Állami ösztöndíjas"/>
    <s v="2021/22/1"/>
    <s v="Nappali"/>
    <n v="13"/>
    <n v="1"/>
    <s v="2021/22/2"/>
    <n v="10"/>
    <s v="71587710643"/>
    <n v="11"/>
    <x v="3"/>
    <m/>
    <m/>
    <m/>
    <m/>
    <s v="Képzésváltás intézményen belül"/>
    <d v="2021-09-13T00:00:00"/>
    <m/>
    <s v="BDPK-SEK"/>
    <s v="Eke Norbertné"/>
    <d v="2021-08-27T00:00:00"/>
    <d v="2027-01-31T00:00:00"/>
    <n v="500000"/>
    <m/>
    <n v="1"/>
    <s v="Nő"/>
    <n v="500000"/>
    <s v="torokanna09@gmail.com"/>
    <s v="Csóka Marianna"/>
    <n v="2"/>
    <s v="Aktív"/>
    <n v="2"/>
    <n v="2"/>
    <s v="magyar"/>
    <m/>
  </r>
  <r>
    <s v="Szmolek Emánuel László"/>
    <s v="D9BD2D"/>
    <s v="Aktív"/>
    <s v="osztatlan tanári [11 félév [testnevelő tanár; gyógytestnevelő-egészségfejlesztő tanár]]"/>
    <x v="8"/>
    <s v="osztatlan tanárképzés"/>
    <s v="TKK-OTAK-NOHU"/>
    <s v="Szombathely"/>
    <s v="Vas"/>
    <s v="Szmolek Emánuel László"/>
    <s v="Magyarország"/>
    <d v="2000-08-16T00:00:00"/>
    <s v="T182185/FI80798"/>
    <x v="5"/>
    <s v="Állami ösztöndíjas"/>
    <s v="2021/22/1"/>
    <s v="Nappali"/>
    <n v="13"/>
    <n v="1"/>
    <s v="2021/22/2"/>
    <n v="10"/>
    <s v="74735465738"/>
    <n v="11"/>
    <x v="3"/>
    <m/>
    <m/>
    <m/>
    <m/>
    <s v="Képzésváltás intézményen belül"/>
    <d v="2021-09-13T00:00:00"/>
    <m/>
    <s v="BDPK-SEK"/>
    <s v="Eke Norbertné"/>
    <d v="2021-07-23T00:00:00"/>
    <d v="2027-01-31T00:00:00"/>
    <n v="500000"/>
    <m/>
    <n v="1"/>
    <s v="Férfi"/>
    <n v="500000"/>
    <s v="szmolekemanuel0816@gmail.com"/>
    <s v="Horváth Szilvia Éva"/>
    <n v="2"/>
    <s v="Aktív"/>
    <n v="2"/>
    <n v="2"/>
    <s v="magyar"/>
    <m/>
  </r>
  <r>
    <s v="Rácz Gergő"/>
    <s v="DGWJOF"/>
    <s v="Aktív"/>
    <s v="osztatlan tanári [11 félév [testnevelő tanár; gyógytestnevelő-egészségfejlesztő tanár]]"/>
    <x v="8"/>
    <s v="osztatlan tanárképzés"/>
    <s v="TKK-OTAK-NOHU"/>
    <s v="Tapolca"/>
    <s v="Veszprém"/>
    <s v="Rácz Gergő"/>
    <s v="Magyarország"/>
    <d v="1999-04-12T00:00:00"/>
    <s v="T184866/FI80798"/>
    <x v="5"/>
    <s v="Állami ösztöndíjas"/>
    <s v="2021/22/1"/>
    <s v="Nappali"/>
    <n v="13"/>
    <n v="1"/>
    <s v="2021/22/2"/>
    <n v="10"/>
    <s v="73256301983"/>
    <n v="11"/>
    <x v="3"/>
    <m/>
    <m/>
    <m/>
    <m/>
    <s v="Képzésváltás intézményen belül"/>
    <d v="2021-09-13T00:00:00"/>
    <m/>
    <s v="BDPK-SEK"/>
    <s v="Eke Norbertné"/>
    <d v="2021-07-23T00:00:00"/>
    <d v="2027-01-31T00:00:00"/>
    <n v="500000"/>
    <m/>
    <n v="1"/>
    <s v="Férfi"/>
    <n v="500000"/>
    <s v="rg1999@citromail.hu"/>
    <s v="Balogh Mária Magdolna"/>
    <n v="2"/>
    <s v="Aktív"/>
    <n v="2"/>
    <n v="2"/>
    <s v="magyar"/>
    <m/>
  </r>
  <r>
    <s v="Kutor Gábor"/>
    <s v="KWYNB8"/>
    <s v="Aktív"/>
    <s v="osztatlan tanári [11 félév [testnevelő tanár; gyógytestnevelő-egészségfejlesztő tanár]]"/>
    <x v="8"/>
    <s v="osztatlan tanárképzés"/>
    <s v="TKK-OTAK-NOHU"/>
    <s v="Budapest"/>
    <s v="Budapest"/>
    <s v="Kutor Gábor"/>
    <s v="Magyarország"/>
    <d v="2002-08-04T00:00:00"/>
    <s v="T184321/FI80798"/>
    <x v="5"/>
    <s v="Állami ösztöndíjas"/>
    <s v="2021/22/1"/>
    <s v="Nappali"/>
    <n v="13"/>
    <n v="1"/>
    <s v="2021/22/2"/>
    <n v="10"/>
    <s v="72169512345"/>
    <n v="11"/>
    <x v="3"/>
    <m/>
    <m/>
    <m/>
    <m/>
    <s v="Képzésváltás intézményen belül"/>
    <d v="2021-09-13T00:00:00"/>
    <m/>
    <s v="BDPK-SEK"/>
    <s v="Eke Norbertné"/>
    <d v="2021-07-23T00:00:00"/>
    <d v="2027-01-31T00:00:00"/>
    <n v="500000"/>
    <m/>
    <n v="1"/>
    <s v="Férfi"/>
    <n v="500000"/>
    <s v="kutor.gabor15@gmail.com"/>
    <s v="Werb Andrea"/>
    <n v="2"/>
    <s v="Aktív"/>
    <n v="2"/>
    <n v="2"/>
    <s v="magyar"/>
    <m/>
  </r>
  <r>
    <s v="Varga Réka"/>
    <s v="NGMP8D"/>
    <s v="Aktív"/>
    <s v="osztatlan tanári [11 félév [testnevelő tanár; történelemtanár és állampolgári ismeretek tanára]]"/>
    <x v="8"/>
    <s v="osztatlan tanár"/>
    <s v="BDPK-SEK-SANO-OT-NOHU"/>
    <s v="Tata"/>
    <s v="Komárom-Esztergom"/>
    <s v="Varga Réka"/>
    <s v="Magyarország"/>
    <d v="1997-01-08T00:00:00"/>
    <s v="T013773/FI21120/B"/>
    <x v="5"/>
    <s v="Állami ösztöndíjas (képzési időn túli)"/>
    <s v="2016/17/1"/>
    <s v="Nappali"/>
    <n v="3"/>
    <n v="1"/>
    <s v="2021/22/2"/>
    <n v="10"/>
    <s v="74131881766"/>
    <n v="11"/>
    <x v="3"/>
    <m/>
    <m/>
    <m/>
    <m/>
    <s v="Képzésváltás intézményen belül"/>
    <d v="2019-09-03T00:00:00"/>
    <m/>
    <s v="BDPK-SEK"/>
    <s v="Eke Norbertné"/>
    <d v="2016-07-26T00:00:00"/>
    <d v="2022-07-15T00:00:00"/>
    <n v="500000"/>
    <m/>
    <n v="5"/>
    <s v="Nő"/>
    <n v="500000"/>
    <s v="v.rekus97@gmail.com"/>
    <s v="Góbor Erika Elvira"/>
    <n v="6"/>
    <s v="Aktív"/>
    <n v="6"/>
    <n v="12"/>
    <s v="magyar"/>
    <m/>
  </r>
  <r>
    <s v="Hajmási Dóra"/>
    <s v="ZUBCIJ"/>
    <s v="Aktív"/>
    <s v="osztatlan tanári [11 félév [történelemtanár és állampolgári ismeretek tanára; rajz- és vizuáliskultúra-tanár]]"/>
    <x v="9"/>
    <s v="osztatlan tanárképzés"/>
    <s v="TKK-OTAK-NOHU"/>
    <s v="Celldömölk"/>
    <s v="Vas"/>
    <s v="Hajmási Dóra"/>
    <s v="Magyarország"/>
    <d v="2002-08-15T00:00:00"/>
    <s v="T179580/FI80798"/>
    <x v="5"/>
    <s v="Állami ösztöndíjas"/>
    <s v="2021/22/1"/>
    <s v="Nappali"/>
    <n v="13"/>
    <n v="1"/>
    <s v="2021/22/2"/>
    <n v="10"/>
    <s v="71764311670"/>
    <n v="11"/>
    <x v="3"/>
    <m/>
    <m/>
    <m/>
    <m/>
    <s v="Képzésváltás intézményen belül"/>
    <d v="2021-09-13T00:00:00"/>
    <m/>
    <s v="BDPK-SEK"/>
    <s v="Eke Norbertné"/>
    <d v="2021-07-23T00:00:00"/>
    <d v="2027-01-31T00:00:00"/>
    <n v="500000"/>
    <m/>
    <n v="1"/>
    <s v="Nő"/>
    <n v="500000"/>
    <s v="hajmasidora216@gmail.com"/>
    <s v="Bertha Mónika Gyöngyi"/>
    <n v="2"/>
    <s v="Aktív"/>
    <n v="2"/>
    <n v="2"/>
    <s v="magyar"/>
    <m/>
  </r>
  <r>
    <s v="Rauch Enikő"/>
    <s v="ZJ3V8I"/>
    <s v="Aktív"/>
    <s v="osztatlan tanári [12 félév [angol nyelv és kultúra tanára; biológiatanár (egészségtan)]]"/>
    <x v="0"/>
    <s v="osztatlan tanárképzés"/>
    <s v="TKK-OTAK-NOHU"/>
    <s v="Szombathely"/>
    <s v="Vas"/>
    <s v="Rauch Enikő"/>
    <s v="Magyarország"/>
    <d v="1998-08-10T00:00:00"/>
    <s v="T125887/FI80798"/>
    <x v="5"/>
    <s v="Állami ösztöndíjas"/>
    <s v="2017/18/1"/>
    <s v="Nappali"/>
    <n v="5"/>
    <n v="1"/>
    <s v="2021/22/2"/>
    <n v="10"/>
    <s v="78142654315"/>
    <n v="12"/>
    <x v="3"/>
    <m/>
    <m/>
    <m/>
    <m/>
    <s v="Képzésváltás intézményen belül"/>
    <d v="2019-09-14T00:00:00"/>
    <m/>
    <s v="BDPK-SEK"/>
    <s v="Eke Norbertné"/>
    <d v="2017-07-27T00:00:00"/>
    <d v="2023-06-30T00:00:00"/>
    <n v="500000"/>
    <m/>
    <n v="5"/>
    <s v="Nő"/>
    <n v="500000"/>
    <s v="rauchattila94@gmail.com"/>
    <s v="Novák Gyöngyi"/>
    <n v="6"/>
    <s v="Aktív"/>
    <n v="6"/>
    <n v="10"/>
    <s v="magyar"/>
    <m/>
  </r>
  <r>
    <s v="Takács Péter"/>
    <s v="WDGUXU"/>
    <s v="Aktív"/>
    <s v="osztatlan tanári [12 félév [angol nyelv és kultúra tanára; biológiatanár (egészségtan)]]"/>
    <x v="0"/>
    <s v="osztatlan tanárképzés"/>
    <s v="TKK-OTAK-NOHU"/>
    <s v="Keszthely"/>
    <s v="Zala"/>
    <s v="Takács Péter"/>
    <s v="Magyarország"/>
    <d v="2000-08-22T00:00:00"/>
    <s v="T149243/FI80798"/>
    <x v="5"/>
    <s v="Állami ösztöndíjas"/>
    <s v="2019/20/1"/>
    <s v="Nappali"/>
    <n v="9"/>
    <n v="1"/>
    <s v="2021/22/2"/>
    <n v="10"/>
    <s v="74893070796"/>
    <n v="12"/>
    <x v="3"/>
    <m/>
    <m/>
    <m/>
    <m/>
    <s v="Képzésváltás intézményen belül"/>
    <d v="2019-09-14T00:00:00"/>
    <m/>
    <s v="BDPK-SEK"/>
    <s v="Eke Norbertné"/>
    <d v="2019-07-24T00:00:00"/>
    <d v="2025-06-30T00:00:00"/>
    <n v="500000"/>
    <m/>
    <n v="5"/>
    <s v="Férfi"/>
    <n v="500000"/>
    <s v="takacspeter0822@gmail.com"/>
    <s v="Kolosi Emőke"/>
    <n v="6"/>
    <s v="Aktív"/>
    <n v="6"/>
    <n v="6"/>
    <s v="magyar"/>
    <m/>
  </r>
  <r>
    <s v="Pető Emese"/>
    <s v="Q3YPWB"/>
    <s v="Aktív"/>
    <s v="osztatlan tanári [12 félév [angol nyelv és kultúra tanára; földrajztanár]]"/>
    <x v="0"/>
    <s v="osztatlan tanárképzés"/>
    <s v="TKK-OTAK-NOHU"/>
    <s v="Zalaegerszeg"/>
    <s v="Zala"/>
    <s v="Pető Emese"/>
    <s v="Magyarország"/>
    <d v="1998-02-21T00:00:00"/>
    <s v="T127793/FI80798"/>
    <x v="5"/>
    <s v="Állami ösztöndíjas"/>
    <s v="2017/18/1"/>
    <s v="Nappali"/>
    <n v="5"/>
    <n v="1"/>
    <s v="2021/22/2"/>
    <n v="10"/>
    <s v="78812549004"/>
    <n v="12"/>
    <x v="3"/>
    <m/>
    <m/>
    <m/>
    <m/>
    <s v="Képzésváltás intézményen belül"/>
    <d v="2019-09-14T00:00:00"/>
    <m/>
    <s v="BDPK-SEK"/>
    <s v="Eke Norbertné"/>
    <d v="2017-07-27T00:00:00"/>
    <d v="2023-06-30T00:00:00"/>
    <n v="500000"/>
    <m/>
    <n v="5"/>
    <s v="Nő"/>
    <n v="500000"/>
    <s v="emese1998@gmail.com"/>
    <s v="Horváth Anita"/>
    <n v="6"/>
    <s v="Aktív"/>
    <n v="6"/>
    <n v="10"/>
    <s v="magyar"/>
    <m/>
  </r>
  <r>
    <s v="Rozmán Liliána"/>
    <s v="P1YEHY"/>
    <s v="Aktív"/>
    <s v="osztatlan tanári [12 félév [angol nyelv és kultúra tanára; földrajztanár]]"/>
    <x v="0"/>
    <s v="osztatlan tanárképzés"/>
    <s v="TKK-OTAK-NOHU"/>
    <s v="Sárvár"/>
    <s v="Vas"/>
    <s v="Rozmán Liliána"/>
    <s v="Magyarország"/>
    <d v="1998-08-07T00:00:00"/>
    <s v="T125794/FI80798"/>
    <x v="5"/>
    <s v="Állami ösztöndíjas"/>
    <s v="2017/18/1"/>
    <s v="Nappali"/>
    <n v="5"/>
    <n v="1"/>
    <s v="2021/22/2"/>
    <n v="10"/>
    <s v="71700393433"/>
    <n v="12"/>
    <x v="3"/>
    <m/>
    <m/>
    <m/>
    <m/>
    <s v="Képzésváltás intézményen belül"/>
    <d v="2019-09-14T00:00:00"/>
    <m/>
    <s v="BDPK-SEK"/>
    <s v="Eke Norbertné"/>
    <d v="2017-07-27T00:00:00"/>
    <d v="2023-07-15T00:00:00"/>
    <n v="500000"/>
    <m/>
    <n v="5"/>
    <s v="Nő"/>
    <n v="500000"/>
    <s v="lilrozman5@gmail.com"/>
    <s v="Giczinger Judit"/>
    <n v="6"/>
    <s v="Aktív"/>
    <n v="6"/>
    <n v="10"/>
    <s v="magyar"/>
    <m/>
  </r>
  <r>
    <s v="Kardos Laura"/>
    <s v="FI3P5D"/>
    <s v="Aktív"/>
    <s v="osztatlan tanári [12 félév [angol nyelv és kultúra tanára; földrajztanár]]"/>
    <x v="0"/>
    <s v="osztatlan tanárképzés"/>
    <s v="TKK-OTAK-NOHU"/>
    <s v="Körmend"/>
    <s v="Vas"/>
    <s v="Kardos Laura"/>
    <s v="Magyarország"/>
    <d v="1997-05-21T00:00:00"/>
    <s v="T136160/FI80798"/>
    <x v="5"/>
    <s v="Állami ösztöndíjas"/>
    <s v="2018/19/1"/>
    <s v="Nappali"/>
    <n v="3"/>
    <n v="1"/>
    <s v="2021/22/2"/>
    <n v="10"/>
    <s v="79161593911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Nő"/>
    <n v="400000"/>
    <s v="kard.lau@gmail.com"/>
    <s v="Páli Mária Ibolya"/>
    <n v="8"/>
    <s v="Aktív"/>
    <n v="8"/>
    <n v="8"/>
    <s v="magyar"/>
    <m/>
  </r>
  <r>
    <s v="Gáspár Mária Erzsébet"/>
    <s v="BKW5TV"/>
    <s v="Aktív"/>
    <s v="osztatlan tanári [12 félév [angol nyelv és kultúra tanára; földrajztanár]]"/>
    <x v="0"/>
    <s v="osztatlan tanárképzés"/>
    <s v="TKK-OTAK-NOHU"/>
    <s v="Körmend"/>
    <s v="Vas"/>
    <s v="Gáspár Mária Erzsébet"/>
    <s v="Magyarország"/>
    <d v="2000-01-16T00:00:00"/>
    <s v="T135669/FI80798"/>
    <x v="5"/>
    <s v="Állami ösztöndíjas"/>
    <s v="2018/19/1"/>
    <s v="Nappali"/>
    <n v="7"/>
    <n v="1"/>
    <s v="2021/22/2"/>
    <n v="10"/>
    <s v="74119124760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8"/>
    <s v="Nő"/>
    <n v="400000"/>
    <s v="gasparmariaerzsebet@gmail.com"/>
    <s v="Gajdán Róza"/>
    <n v="8"/>
    <s v="Aktív"/>
    <n v="8"/>
    <n v="8"/>
    <s v="magyar"/>
    <m/>
  </r>
  <r>
    <s v="Fenyőházi Zsófia"/>
    <s v="IA18OW"/>
    <s v="Aktív"/>
    <s v="osztatlan tanári [12 félév [angol nyelv és kultúra tanára; földrajztanár]]"/>
    <x v="0"/>
    <s v="osztatlan tanárképzés"/>
    <s v="TKK-OTAK-NOHU"/>
    <s v="Veszprém"/>
    <s v="Veszprém"/>
    <s v="Fenyőházi Zsófia"/>
    <s v="Magyarország"/>
    <d v="2000-09-01T00:00:00"/>
    <s v="T149571/FI80798"/>
    <x v="5"/>
    <s v="Állami ösztöndíjas"/>
    <s v="2019/20/1"/>
    <s v="Nappali"/>
    <n v="9"/>
    <n v="1"/>
    <s v="2021/22/2"/>
    <n v="10"/>
    <s v="71980042325"/>
    <n v="12"/>
    <x v="3"/>
    <m/>
    <m/>
    <m/>
    <m/>
    <s v="Képzésváltás intézményen belül"/>
    <d v="2019-09-14T00:00:00"/>
    <m/>
    <s v="BDPK-SEK"/>
    <s v="Eke Norbertné"/>
    <d v="2019-07-24T00:00:00"/>
    <d v="2025-07-15T00:00:00"/>
    <n v="500000"/>
    <m/>
    <n v="5"/>
    <s v="Nő"/>
    <n v="500000"/>
    <s v="fenyohazizsofia@gmail.com"/>
    <s v="Holcsek Judit"/>
    <n v="6"/>
    <s v="Aktív"/>
    <n v="6"/>
    <n v="6"/>
    <s v="magyar"/>
    <m/>
  </r>
  <r>
    <s v="Pajor Adél"/>
    <s v="Q6COQE"/>
    <s v="Aktív"/>
    <s v="osztatlan tanári [12 félév [angol nyelv és kultúra tanára; földrajztanár]]"/>
    <x v="0"/>
    <s v="osztatlan tanárképzés"/>
    <s v="TKK-OTAK-NOHU"/>
    <s v="Celldömölk"/>
    <s v="Vas"/>
    <s v="Pajor Adél"/>
    <s v="Magyarország"/>
    <d v="1997-06-03T00:00:00"/>
    <s v="T164511/FI80798"/>
    <x v="5"/>
    <s v="Állami ösztöndíjas"/>
    <s v="2020/21/1"/>
    <s v="Nappali"/>
    <n v="11"/>
    <n v="1"/>
    <s v="2021/22/2"/>
    <n v="10"/>
    <s v="77661875212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Nő"/>
    <n v="500000"/>
    <s v="pajoradel@gmail.com"/>
    <s v="Bese Rita"/>
    <n v="4"/>
    <s v="Aktív"/>
    <n v="4"/>
    <n v="4"/>
    <s v="magyar"/>
    <m/>
  </r>
  <r>
    <s v="Lenner Luca Anna"/>
    <s v="YUUO43"/>
    <s v="Aktív"/>
    <s v="osztatlan tanári [12 félév [angol nyelv és kultúra tanára; földrajztanár]]"/>
    <x v="0"/>
    <s v="osztatlan tanárképzés"/>
    <s v="TKK-OTAK-NOHU"/>
    <s v="Celldömölk"/>
    <s v="Vas"/>
    <s v="Lenner Luca Anna"/>
    <s v="Magyarország"/>
    <d v="2001-11-15T00:00:00"/>
    <s v="T169754/FI80798"/>
    <x v="5"/>
    <s v="Állami ösztöndíjas"/>
    <s v="2020/21/1"/>
    <s v="Nappali"/>
    <n v="11"/>
    <n v="1"/>
    <s v="2021/22/2"/>
    <n v="10"/>
    <s v="71593014588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Nő"/>
    <n v="500000"/>
    <s v="lennerluca15@gmail.com"/>
    <s v="Patkó Ildikó Éva"/>
    <n v="4"/>
    <s v="Aktív"/>
    <n v="4"/>
    <n v="4"/>
    <s v="magyar"/>
    <m/>
  </r>
  <r>
    <s v="Góczán Péter"/>
    <s v="A0HHLG"/>
    <s v="Aktív"/>
    <s v="osztatlan tanári [12 félév [angol nyelv és kultúra tanára; földrajztanár]]"/>
    <x v="0"/>
    <s v="osztatlan tanárképzés"/>
    <s v="TKK-OTAK-NOHU"/>
    <s v="Szombathely"/>
    <s v="Vas"/>
    <s v="Góczán Péter"/>
    <s v="Magyarország"/>
    <d v="2000-11-15T00:00:00"/>
    <s v="T150859/FI80798"/>
    <x v="5"/>
    <s v="Állami ösztöndíjas"/>
    <s v="2019/20/1"/>
    <s v="Nappali"/>
    <n v="9"/>
    <n v="1"/>
    <s v="2021/22/2"/>
    <n v="10"/>
    <s v="72624692535"/>
    <n v="12"/>
    <x v="3"/>
    <m/>
    <m/>
    <m/>
    <m/>
    <s v="Képzésváltás intézményen belül"/>
    <d v="2019-09-14T00:00:00"/>
    <m/>
    <s v="BDPK-SEK"/>
    <s v="Eke Norbertné"/>
    <d v="2019-07-24T00:00:00"/>
    <d v="2025-06-30T00:00:00"/>
    <n v="500000"/>
    <m/>
    <n v="5"/>
    <s v="Férfi"/>
    <n v="500000"/>
    <s v="kellegyujinfora@gmail.com"/>
    <s v="Nardai Anikó"/>
    <n v="6"/>
    <s v="Aktív"/>
    <n v="6"/>
    <n v="6"/>
    <s v="magyar"/>
    <m/>
  </r>
  <r>
    <s v="Tóth Kristóf"/>
    <s v="ZOE51W"/>
    <s v="Aktív"/>
    <s v="osztatlan tanári [12 félév [angol nyelv és kultúra tanára; földrajztanár]]"/>
    <x v="0"/>
    <s v="osztatlan tanárképzés"/>
    <s v="TKK-OTAK-NOHU"/>
    <s v="Budapest"/>
    <s v="Budapest"/>
    <s v="Tóth Kristóf"/>
    <s v="Magyarország"/>
    <d v="2000-06-09T00:00:00"/>
    <s v="T182242/FI80798"/>
    <x v="5"/>
    <s v="Állami ösztöndíjas"/>
    <s v="2021/22/1"/>
    <s v="Nappali"/>
    <n v="13"/>
    <n v="1"/>
    <s v="2021/22/2"/>
    <n v="10"/>
    <s v="73949110265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Férfi"/>
    <n v="500000"/>
    <s v="tothkristof2013@gmail.com"/>
    <s v="Szabadfi Ildikó"/>
    <n v="2"/>
    <s v="Aktív"/>
    <n v="2"/>
    <n v="2"/>
    <s v="magyar"/>
    <m/>
  </r>
  <r>
    <s v="Horváth Csongor"/>
    <s v="JQ2FU1"/>
    <s v="Passzív"/>
    <s v="osztatlan tanári [12 félév [angol nyelv és kultúra tanára; földrajztanár]]"/>
    <x v="0"/>
    <s v="osztatlan tanárképzés"/>
    <s v="TKK-OTAK-NOHU"/>
    <s v="Szombathely"/>
    <s v="Vas"/>
    <s v="Horváth Csongor"/>
    <s v="Magyarország"/>
    <d v="2002-08-27T00:00:00"/>
    <s v="T190648/FI80798"/>
    <x v="5"/>
    <s v="Állami ösztöndíjas"/>
    <s v="2021/22/1"/>
    <s v="Nappali"/>
    <n v="14"/>
    <n v="1"/>
    <s v="2021/22/1"/>
    <n v="10"/>
    <s v="72158176600"/>
    <n v="12"/>
    <x v="3"/>
    <m/>
    <m/>
    <m/>
    <m/>
    <s v="Képzésváltás intézményen belül"/>
    <d v="2021-09-13T00:00:00"/>
    <m/>
    <s v="BDPK-SEK"/>
    <s v="Eke Norbertné"/>
    <d v="2021-07-23T00:00:00"/>
    <d v="2028-07-15T00:00:00"/>
    <n v="500000"/>
    <m/>
    <n v="1"/>
    <s v="Férfi"/>
    <n v="500000"/>
    <s v="hc72002@gmail.com"/>
    <s v="Márffy Rita Mária"/>
    <n v="1"/>
    <s v="Passzív"/>
    <m/>
    <n v="1"/>
    <s v="magyar"/>
    <m/>
  </r>
  <r>
    <s v="Kiss-Leizer Lilien"/>
    <s v="DE1ROX"/>
    <s v="Aktív"/>
    <s v="osztatlan tanári [12 félév [angol nyelv és kultúra tanára; földrajztanár]]"/>
    <x v="0"/>
    <s v="osztatlan tanárképzés"/>
    <s v="TKK-OTAK-NOHU"/>
    <s v="Kapuvár"/>
    <s v="Győr-Moson-Sopron"/>
    <s v="Kiss-Leizer Lilien"/>
    <s v="Magyarország"/>
    <d v="2002-07-04T00:00:00"/>
    <s v="T181443/FI80798"/>
    <x v="5"/>
    <s v="Állami ösztöndíjas"/>
    <s v="2021/22/1"/>
    <s v="Nappali"/>
    <n v="13"/>
    <n v="1"/>
    <s v="2021/22/2"/>
    <n v="10"/>
    <s v="71654790633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Nő"/>
    <n v="500000"/>
    <s v="kissleizerlilien@gmail.com"/>
    <s v="Axnix Éva"/>
    <n v="2"/>
    <s v="Aktív"/>
    <n v="2"/>
    <n v="2"/>
    <s v="magyar"/>
    <m/>
  </r>
  <r>
    <s v="Sudár Anikó"/>
    <s v="IUFXES"/>
    <s v="Aktív"/>
    <s v="osztatlan tanári [12 félév [angol nyelv és kultúra tanára; kémiatanár (természettudományi gyakorlatok)]]"/>
    <x v="0"/>
    <s v="osztatlan tanárképzés"/>
    <s v="TKK-OTAK-NOHU"/>
    <s v="Szombathely"/>
    <s v="Vas"/>
    <s v="Horváth Anikó"/>
    <s v="Magyarország"/>
    <d v="1998-08-12T00:00:00"/>
    <s v="T139256/FI80798"/>
    <x v="5"/>
    <s v="Állami ösztöndíjas"/>
    <s v="2018/19/1"/>
    <s v="Nappali"/>
    <n v="7"/>
    <n v="1"/>
    <s v="2021/22/2"/>
    <n v="10"/>
    <s v="75210958668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Nő"/>
    <n v="400000"/>
    <s v="horvath.aniko812@gmail.com"/>
    <s v="Kappel Anikó"/>
    <n v="8"/>
    <s v="Aktív"/>
    <n v="8"/>
    <n v="8"/>
    <s v="magyar"/>
    <m/>
  </r>
  <r>
    <s v="Horváth Roland"/>
    <s v="FD20HH"/>
    <s v="Aktív"/>
    <s v="osztatlan tanári [12 félév [angol nyelv és kultúra tanára; magyartanár]]"/>
    <x v="0"/>
    <s v="osztatlan tanárképzés"/>
    <s v="TKK-OTAK-NOHU"/>
    <s v="Szombathely"/>
    <s v="Vas"/>
    <s v="Horváth Roland"/>
    <s v="Magyarország"/>
    <d v="1997-11-28T00:00:00"/>
    <s v="T165916/FI80798"/>
    <x v="5"/>
    <s v="Állami ösztöndíjas"/>
    <s v="2020/21/1"/>
    <s v="Nappali"/>
    <n v="11"/>
    <n v="1"/>
    <s v="2021/22/2"/>
    <n v="10"/>
    <s v="73091595539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Férfi"/>
    <n v="500000"/>
    <s v="hroli97@citromail.hu"/>
    <s v="Papp Viktória"/>
    <n v="4"/>
    <s v="Aktív"/>
    <n v="4"/>
    <n v="4"/>
    <s v="magyar"/>
    <m/>
  </r>
  <r>
    <s v="Sági Manuéla"/>
    <s v="G47WQV"/>
    <s v="Aktív"/>
    <s v="osztatlan tanári [12 félév [angol nyelv és kultúra tanára; magyartanár]]"/>
    <x v="0"/>
    <s v="osztatlan tanárképzés"/>
    <s v="TKK-OTAK-NOHU"/>
    <s v="Celldömölk"/>
    <s v="Vas"/>
    <s v="Sági Manuéla"/>
    <s v="Magyarország"/>
    <d v="1998-09-23T00:00:00"/>
    <s v="T125767/FI80798"/>
    <x v="5"/>
    <s v="Állami ösztöndíjas"/>
    <s v="2017/18/1"/>
    <s v="Nappali"/>
    <n v="5"/>
    <n v="1"/>
    <s v="2021/22/2"/>
    <n v="10"/>
    <s v="79129250740"/>
    <n v="12"/>
    <x v="3"/>
    <m/>
    <m/>
    <m/>
    <m/>
    <s v="Képzésváltás intézményen belül"/>
    <d v="2020-02-14T00:00:00"/>
    <m/>
    <s v="BDPK-SEK"/>
    <s v="Eke Norbertné"/>
    <d v="2017-07-27T00:00:00"/>
    <d v="2023-07-15T00:00:00"/>
    <m/>
    <m/>
    <n v="4"/>
    <s v="Nő"/>
    <n v="300000"/>
    <s v="sagi.manuela23@gmail.com"/>
    <s v="Pénzes Tímea"/>
    <n v="5"/>
    <s v="Aktív"/>
    <n v="5"/>
    <n v="10"/>
    <s v="magyar"/>
    <m/>
  </r>
  <r>
    <s v="Baumgartner Zsófi"/>
    <s v="FYJRRS"/>
    <s v="Aktív"/>
    <s v="osztatlan tanári [12 félév [angol nyelv és kultúra tanára; magyartanár]]"/>
    <x v="0"/>
    <s v="osztatlan tanárképzés"/>
    <s v="TKK-OTAK-NOHU"/>
    <s v="Szombathely"/>
    <s v="Vas"/>
    <s v="Baumgartner Zsófi"/>
    <s v="Magyarország"/>
    <d v="1998-06-26T00:00:00"/>
    <s v="T130233/FI80798"/>
    <x v="5"/>
    <s v="Állami ösztöndíjas"/>
    <s v="2017/18/1"/>
    <s v="Nappali"/>
    <n v="5"/>
    <n v="1"/>
    <s v="2021/22/2"/>
    <n v="10"/>
    <s v="77275513887"/>
    <n v="12"/>
    <x v="3"/>
    <m/>
    <m/>
    <m/>
    <m/>
    <s v="Képzésváltás intézményen belül"/>
    <d v="2019-09-14T00:00:00"/>
    <m/>
    <s v="BDPK-SEK"/>
    <s v="Eke Norbertné"/>
    <d v="2017-07-27T00:00:00"/>
    <d v="2023-06-30T00:00:00"/>
    <n v="500000"/>
    <m/>
    <n v="5"/>
    <s v="Nő"/>
    <n v="500000"/>
    <s v="zsofibaumgartner98@gmail.com"/>
    <s v="Németh Andrea Zsuzsanna"/>
    <n v="6"/>
    <s v="Aktív"/>
    <n v="6"/>
    <n v="10"/>
    <s v="magyar"/>
    <m/>
  </r>
  <r>
    <s v="Hermann Marcell"/>
    <s v="ZLYTFF"/>
    <s v="Aktív"/>
    <s v="osztatlan tanári [12 félév [angol nyelv és kultúra tanára; magyartanár]]"/>
    <x v="0"/>
    <s v="osztatlan tanárképzés"/>
    <s v="TKK-OTAK-NOHU"/>
    <s v="Szombathely"/>
    <s v="Vas"/>
    <s v="Hermann Marcell"/>
    <s v="Magyarország"/>
    <d v="1996-05-30T00:00:00"/>
    <s v="T125968/FI80798"/>
    <x v="5"/>
    <s v="Állami ösztöndíjas"/>
    <s v="2017/18/1"/>
    <s v="Nappali"/>
    <n v="5"/>
    <n v="1"/>
    <s v="2021/22/2"/>
    <n v="10"/>
    <s v="76654904036"/>
    <n v="12"/>
    <x v="3"/>
    <m/>
    <m/>
    <m/>
    <m/>
    <s v="Képzésváltás intézményen belül"/>
    <d v="2020-02-14T00:00:00"/>
    <m/>
    <s v="BDPK-SEK"/>
    <s v="Eke Norbertné"/>
    <d v="2017-07-27T00:00:00"/>
    <d v="2023-07-15T00:00:00"/>
    <m/>
    <m/>
    <n v="4"/>
    <s v="Férfi"/>
    <n v="300000"/>
    <s v="hermann.marcell@gmail.com"/>
    <s v="Németh Judit"/>
    <n v="5"/>
    <s v="Aktív"/>
    <n v="5"/>
    <n v="10"/>
    <s v="magyar"/>
    <m/>
  </r>
  <r>
    <s v="Affiah Udeme Godwin"/>
    <s v="JJGYHP"/>
    <s v="Aktív"/>
    <s v="osztatlan tanári [12 félév [angol nyelv és kultúra tanára; magyartanár]]"/>
    <x v="0"/>
    <s v="osztatlan tanárképzés"/>
    <s v="TKK-OTAK-NOHU"/>
    <s v="Körmend"/>
    <s v="Vas"/>
    <s v="Affiah Udeme Godwin"/>
    <s v="Magyarország"/>
    <d v="1999-09-10T00:00:00"/>
    <s v="T136310/FI80798"/>
    <x v="5"/>
    <s v="Állami ösztöndíjas"/>
    <s v="2018/19/1"/>
    <s v="Nappali"/>
    <n v="7"/>
    <n v="1"/>
    <s v="2021/22/2"/>
    <n v="10"/>
    <s v="75588598643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Férfi"/>
    <n v="400000"/>
    <s v="affiahgodi@gmail.com"/>
    <s v="Parrag Éva"/>
    <n v="8"/>
    <s v="Aktív"/>
    <n v="8"/>
    <n v="8"/>
    <s v="magyar"/>
    <m/>
  </r>
  <r>
    <s v="Eremiás Emese Ildikó"/>
    <s v="A61DV0"/>
    <s v="Aktív"/>
    <s v="osztatlan tanári [12 félév [angol nyelv és kultúra tanára; magyartanár]]"/>
    <x v="0"/>
    <s v="osztatlan tanárképzés"/>
    <s v="TKK-OTAK-NOHU"/>
    <s v="Mór"/>
    <s v="Fejér"/>
    <s v="Eremiás Emese Ildikó"/>
    <s v="Magyarország"/>
    <d v="1999-01-28T00:00:00"/>
    <s v="T136756/FI80798"/>
    <x v="5"/>
    <s v="Állami ösztöndíjas"/>
    <s v="2018/19/1"/>
    <s v="Nappali"/>
    <n v="7"/>
    <n v="1"/>
    <s v="2021/22/2"/>
    <n v="10"/>
    <s v="73393274333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Nő"/>
    <n v="400000"/>
    <s v="eremiasemeseildiko@gmail.com"/>
    <s v="Andocsi Ágnes"/>
    <n v="8"/>
    <s v="Aktív"/>
    <n v="8"/>
    <n v="8"/>
    <s v="magyar"/>
    <m/>
  </r>
  <r>
    <s v="Kovács Anna"/>
    <s v="COUMZI"/>
    <s v="Aktív"/>
    <s v="osztatlan tanári [12 félév [angol nyelv és kultúra tanára; magyartanár]]"/>
    <x v="0"/>
    <s v="osztatlan tanárképzés"/>
    <s v="TKK-OTAK-NOHU"/>
    <s v="Szombathely"/>
    <s v="Vas"/>
    <s v="Kovács Anna"/>
    <s v="Magyarország"/>
    <d v="1998-10-23T00:00:00"/>
    <s v="T137103/FI80798"/>
    <x v="5"/>
    <s v="Állami ösztöndíjas"/>
    <s v="2018/19/1"/>
    <s v="Nappali"/>
    <n v="7"/>
    <n v="1"/>
    <s v="2021/22/2"/>
    <n v="10"/>
    <s v="74536473710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Nő"/>
    <n v="400000"/>
    <s v="kovacsanna1023@gmail.com"/>
    <s v="Varga Aranka"/>
    <n v="8"/>
    <s v="Aktív"/>
    <n v="8"/>
    <n v="8"/>
    <s v="magyar"/>
    <m/>
  </r>
  <r>
    <s v="Kovács Liza"/>
    <s v="RII1QT"/>
    <s v="Aktív"/>
    <s v="osztatlan tanári [12 félév [angol nyelv és kultúra tanára; magyartanár]]"/>
    <x v="0"/>
    <s v="osztatlan tanárképzés"/>
    <s v="TKK-OTAK-NOHU"/>
    <s v="Szombathely"/>
    <s v="Vas"/>
    <s v="Kovács Liza"/>
    <s v="Magyarország"/>
    <d v="1999-05-06T00:00:00"/>
    <s v="T139560/FI80798"/>
    <x v="5"/>
    <s v="Állami ösztöndíjas"/>
    <s v="2018/19/1"/>
    <s v="Nappali"/>
    <n v="7"/>
    <n v="1"/>
    <s v="2021/22/2"/>
    <n v="10"/>
    <s v="79523151773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Nő"/>
    <n v="400000"/>
    <s v="kovacsliza333@gmail.com"/>
    <s v="Várszegi Ildikó"/>
    <n v="8"/>
    <s v="Aktív"/>
    <n v="8"/>
    <n v="8"/>
    <s v="magyar"/>
    <m/>
  </r>
  <r>
    <s v="Szupper Natália"/>
    <s v="EWOVOD"/>
    <s v="Aktív"/>
    <s v="osztatlan tanári [12 félév [angol nyelv és kultúra tanára; magyartanár]]"/>
    <x v="0"/>
    <s v="osztatlan tanárképzés"/>
    <s v="TKK-OTAK-NOHU"/>
    <s v="Körmend"/>
    <s v="Vas"/>
    <s v="Szupper Natália"/>
    <s v="Magyarország"/>
    <d v="1999-11-28T00:00:00"/>
    <s v="T137285/FI80798"/>
    <x v="5"/>
    <s v="Állami ösztöndíjas"/>
    <s v="2018/19/1"/>
    <s v="Nappali"/>
    <n v="7"/>
    <n v="1"/>
    <s v="2021/22/2"/>
    <n v="10"/>
    <s v="77400697333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Nő"/>
    <n v="400000"/>
    <s v="szppr.natalia@gmail.com"/>
    <s v="Hegyi Hajnalka"/>
    <n v="8"/>
    <s v="Aktív"/>
    <n v="8"/>
    <n v="8"/>
    <s v="magyar"/>
    <m/>
  </r>
  <r>
    <s v="Kocon Anett"/>
    <s v="J6SLXJ"/>
    <s v="Aktív"/>
    <s v="osztatlan tanári [12 félév [angol nyelv és kultúra tanára; magyartanár]]"/>
    <x v="0"/>
    <s v="osztatlan tanárképzés"/>
    <s v="TKK-OTAK-NOHU"/>
    <s v="Szombathely"/>
    <s v="Vas"/>
    <s v="Kocon Anett"/>
    <s v="Magyarország"/>
    <d v="1998-05-24T00:00:00"/>
    <s v="T141811/FI80798"/>
    <x v="5"/>
    <s v="Állami ösztöndíjas"/>
    <s v="2018/19/1"/>
    <s v="Nappali"/>
    <n v="7"/>
    <n v="1"/>
    <s v="2021/22/2"/>
    <n v="10"/>
    <s v="75788276879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Nő"/>
    <n v="400000"/>
    <s v="anett.kocon@gmail.com"/>
    <s v="Szalai Zsuzsanna Mária"/>
    <n v="8"/>
    <s v="Aktív"/>
    <n v="8"/>
    <n v="8"/>
    <s v="magyar"/>
    <m/>
  </r>
  <r>
    <s v="Vers Petra"/>
    <s v="MP655Q"/>
    <s v="Aktív"/>
    <s v="osztatlan tanári [12 félév [angol nyelv és kultúra tanára; magyartanár]]"/>
    <x v="0"/>
    <s v="osztatlan tanárképzés"/>
    <s v="TKK-OTAK-NOHU"/>
    <s v="Ajka"/>
    <s v="Veszprém"/>
    <s v="Vers Petra"/>
    <s v="Magyarország"/>
    <d v="1998-12-27T00:00:00"/>
    <s v="T142707/FI80798"/>
    <x v="5"/>
    <s v="Állami ösztöndíjas"/>
    <s v="2018/19/1"/>
    <s v="Nappali"/>
    <n v="7"/>
    <n v="1"/>
    <s v="2021/22/2"/>
    <n v="10"/>
    <s v="78670338114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Nő"/>
    <n v="400000"/>
    <s v="petraesguba4@gmail.com"/>
    <s v="Bolla Nikoletta Erzsébet"/>
    <n v="8"/>
    <s v="Aktív"/>
    <n v="8"/>
    <n v="8"/>
    <s v="magyar"/>
    <m/>
  </r>
  <r>
    <s v="Farkas Noel"/>
    <s v="QWDNEG"/>
    <s v="Aktív"/>
    <s v="osztatlan tanári [12 félév [angol nyelv és kultúra tanára; magyartanár]]"/>
    <x v="0"/>
    <s v="osztatlan tanárképzés"/>
    <s v="TKK-OTAK-NOHU"/>
    <s v="Zalaegerszeg"/>
    <s v="Zala"/>
    <s v="Farkas Noel"/>
    <s v="Magyarország"/>
    <d v="2000-10-21T00:00:00"/>
    <s v="T153218/FI80798"/>
    <x v="5"/>
    <s v="Állami ösztöndíjas"/>
    <s v="2019/20/1"/>
    <s v="Nappali"/>
    <n v="9"/>
    <n v="1"/>
    <s v="2021/22/2"/>
    <n v="10"/>
    <s v="76201938864"/>
    <n v="12"/>
    <x v="3"/>
    <m/>
    <m/>
    <m/>
    <m/>
    <s v="Képzésváltás intézményen belül"/>
    <d v="2019-09-14T00:00:00"/>
    <m/>
    <s v="BDPK-SEK"/>
    <s v="Eke Norbertné"/>
    <d v="2019-07-24T00:00:00"/>
    <d v="2025-07-15T00:00:00"/>
    <n v="500000"/>
    <m/>
    <n v="5"/>
    <s v="Férfi"/>
    <n v="500000"/>
    <s v="noel.f1021@gmail.com"/>
    <s v="Horváth Erika"/>
    <n v="6"/>
    <s v="Aktív"/>
    <n v="6"/>
    <n v="6"/>
    <s v="magyar"/>
    <m/>
  </r>
  <r>
    <s v="Molnár Anna"/>
    <s v="MKYC4M"/>
    <s v="Aktív"/>
    <s v="osztatlan tanári [12 félév [angol nyelv és kultúra tanára; magyartanár]]"/>
    <x v="0"/>
    <s v="osztatlan tanárképzés"/>
    <s v="TKK-OTAK-NOHU"/>
    <s v="Zalaegerszeg"/>
    <s v="Zala"/>
    <s v="Molnár Anna"/>
    <s v="Magyarország"/>
    <d v="2000-12-02T00:00:00"/>
    <s v="T149809/FI80798"/>
    <x v="5"/>
    <s v="Állami ösztöndíjas"/>
    <s v="2019/20/1"/>
    <s v="Nappali"/>
    <n v="9"/>
    <n v="1"/>
    <s v="2021/22/2"/>
    <n v="10"/>
    <s v="74263288373"/>
    <n v="12"/>
    <x v="3"/>
    <m/>
    <m/>
    <m/>
    <m/>
    <s v="Képzésváltás intézményen belül"/>
    <d v="2019-09-14T00:00:00"/>
    <m/>
    <s v="BDPK-SEK"/>
    <s v="Eke Norbertné"/>
    <d v="2019-07-24T00:00:00"/>
    <d v="2025-07-15T00:00:00"/>
    <n v="500000"/>
    <m/>
    <n v="5"/>
    <s v="Nő"/>
    <n v="500000"/>
    <s v="annamolnr12@gmail.com"/>
    <s v="Szabó Edit"/>
    <n v="6"/>
    <s v="Aktív"/>
    <n v="6"/>
    <n v="6"/>
    <s v="magyar"/>
    <m/>
  </r>
  <r>
    <s v="Hodocsek Dominika"/>
    <s v="CQUOSM"/>
    <s v="Aktív"/>
    <s v="osztatlan tanári [12 félév [angol nyelv és kultúra tanára; magyartanár]]"/>
    <x v="0"/>
    <s v="osztatlan tanárképzés"/>
    <s v="TKK-OTAK-NOHU"/>
    <s v="Nagykanizsa"/>
    <s v="Zala"/>
    <s v="Hodocsek Dominika"/>
    <s v="Magyarország"/>
    <d v="2000-05-23T00:00:00"/>
    <s v="T155448/FI80798"/>
    <x v="5"/>
    <s v="Állami ösztöndíjas"/>
    <s v="2019/20/1"/>
    <s v="Nappali"/>
    <n v="9"/>
    <n v="1"/>
    <s v="2021/22/2"/>
    <n v="10"/>
    <s v="75824879446"/>
    <n v="12"/>
    <x v="3"/>
    <m/>
    <m/>
    <m/>
    <m/>
    <s v="Képzésváltás intézményen belül"/>
    <d v="2019-09-14T00:00:00"/>
    <m/>
    <s v="BDPK-SEK"/>
    <s v="Eke Norbertné"/>
    <d v="2019-07-24T00:00:00"/>
    <d v="2025-07-15T00:00:00"/>
    <n v="500000"/>
    <m/>
    <n v="5"/>
    <s v="Nő"/>
    <n v="500000"/>
    <s v="hodocsekdoma@gmail.com"/>
    <s v="Tóth Nikoletta"/>
    <n v="6"/>
    <s v="Aktív"/>
    <n v="6"/>
    <n v="6"/>
    <s v="magyar"/>
    <m/>
  </r>
  <r>
    <s v="Kovács Petra"/>
    <s v="HFMZ8C"/>
    <s v="Aktív"/>
    <s v="osztatlan tanári [12 félév [angol nyelv és kultúra tanára; magyartanár]]"/>
    <x v="0"/>
    <s v="osztatlan tanárképzés"/>
    <s v="TKK-OTAK-NOHU"/>
    <s v="Ajka"/>
    <s v="Veszprém"/>
    <s v="Kovács Petra"/>
    <s v="Magyarország"/>
    <d v="2000-11-24T00:00:00"/>
    <s v="T156517/FI80798"/>
    <x v="5"/>
    <s v="Állami ösztöndíjas"/>
    <s v="2019/20/1"/>
    <s v="Nappali"/>
    <n v="9"/>
    <n v="1"/>
    <s v="2021/22/2"/>
    <n v="10"/>
    <s v="76226480000"/>
    <n v="12"/>
    <x v="3"/>
    <m/>
    <m/>
    <m/>
    <m/>
    <s v="Képzésváltás intézményen belül"/>
    <d v="2019-09-14T00:00:00"/>
    <m/>
    <s v="BDPK-SEK"/>
    <s v="Eke Norbertné"/>
    <d v="2019-07-24T00:00:00"/>
    <d v="2025-06-30T00:00:00"/>
    <n v="500000"/>
    <m/>
    <n v="5"/>
    <s v="Nő"/>
    <n v="500000"/>
    <s v="kovacspetra1124@gmail.com"/>
    <s v="Markó Timea"/>
    <n v="6"/>
    <s v="Aktív"/>
    <n v="6"/>
    <n v="6"/>
    <s v="magyar"/>
    <m/>
  </r>
  <r>
    <s v="Gombor Bálint"/>
    <s v="FAWNJ1"/>
    <s v="Aktív"/>
    <s v="osztatlan tanári [12 félév [angol nyelv és kultúra tanára; magyartanár]]"/>
    <x v="0"/>
    <s v="osztatlan tanárképzés"/>
    <s v="TKK-OTAK-NOHU"/>
    <s v="Szombathely"/>
    <s v="Vas"/>
    <s v="Gombor Bálint"/>
    <s v="Magyarország"/>
    <d v="2000-09-03T00:00:00"/>
    <s v="T153154/FI80798"/>
    <x v="5"/>
    <s v="Állami ösztöndíjas"/>
    <s v="2019/20/1"/>
    <s v="Nappali"/>
    <n v="9"/>
    <n v="1"/>
    <s v="2021/22/2"/>
    <n v="10"/>
    <s v="75245028485"/>
    <n v="12"/>
    <x v="3"/>
    <m/>
    <m/>
    <m/>
    <m/>
    <s v="Képzésváltás intézményen belül"/>
    <d v="2019-09-14T00:00:00"/>
    <m/>
    <s v="BDPK-SEK"/>
    <s v="Eke Norbertné"/>
    <d v="2019-07-24T00:00:00"/>
    <d v="2025-07-15T00:00:00"/>
    <n v="500000"/>
    <m/>
    <n v="5"/>
    <s v="Férfi"/>
    <n v="500000"/>
    <s v="fawnj1@student.elte.hu"/>
    <s v="Szatykó Ildikó Mária"/>
    <n v="6"/>
    <s v="Aktív"/>
    <n v="6"/>
    <n v="6"/>
    <s v="magyar"/>
    <m/>
  </r>
  <r>
    <s v="Zsigmond Barbara Henrietta"/>
    <s v="L6BCX4"/>
    <s v="Aktív"/>
    <s v="osztatlan tanári [12 félév [angol nyelv és kultúra tanára; magyartanár]]"/>
    <x v="0"/>
    <s v="osztatlan tanárképzés"/>
    <s v="TKK-OTAK-NOHU"/>
    <s v="Szombathely"/>
    <s v="Vas"/>
    <s v="Zsigmond Barbara Henrietta"/>
    <s v="Magyarország"/>
    <d v="1999-10-07T00:00:00"/>
    <s v="T153107/FI80798"/>
    <x v="5"/>
    <s v="Állami ösztöndíjas"/>
    <s v="2019/20/1"/>
    <s v="Nappali"/>
    <n v="9"/>
    <n v="1"/>
    <s v="2021/22/2"/>
    <n v="10"/>
    <s v="73337302247"/>
    <n v="12"/>
    <x v="3"/>
    <m/>
    <m/>
    <m/>
    <m/>
    <s v="Képzésváltás intézményen belül"/>
    <d v="2019-09-14T00:00:00"/>
    <m/>
    <s v="BDPK-SEK"/>
    <s v="Eke Norbertné"/>
    <d v="2019-07-24T00:00:00"/>
    <d v="2025-07-15T00:00:00"/>
    <n v="500000"/>
    <m/>
    <n v="5"/>
    <s v="Nő"/>
    <n v="500000"/>
    <s v="barbarahenrietta@freemail.hu"/>
    <s v="Dezse Henrietta Anikó"/>
    <n v="6"/>
    <s v="Aktív"/>
    <n v="6"/>
    <n v="6"/>
    <s v="magyar"/>
    <m/>
  </r>
  <r>
    <s v="Fekete Levente László"/>
    <s v="NZTD15"/>
    <s v="Aktív"/>
    <s v="osztatlan tanári [12 félév [angol nyelv és kultúra tanára; magyartanár]]"/>
    <x v="0"/>
    <s v="osztatlan tanárképzés"/>
    <s v="TKK-OTAK-NOHU"/>
    <s v="Szombathely"/>
    <s v="Vas"/>
    <s v="Fekete Levente László"/>
    <s v="Magyarország"/>
    <d v="2001-03-18T00:00:00"/>
    <s v="T155814/FI80798"/>
    <x v="5"/>
    <s v="Állami ösztöndíjas"/>
    <s v="2019/20/1"/>
    <s v="Nappali"/>
    <n v="9"/>
    <n v="1"/>
    <s v="2021/22/2"/>
    <n v="10"/>
    <s v="74182945383"/>
    <n v="12"/>
    <x v="3"/>
    <m/>
    <m/>
    <m/>
    <m/>
    <s v="Képzésváltás intézményen belül"/>
    <d v="2019-09-14T00:00:00"/>
    <m/>
    <s v="BDPK-SEK"/>
    <s v="Eke Norbertné"/>
    <d v="2019-07-24T00:00:00"/>
    <d v="2025-07-15T00:00:00"/>
    <n v="500000"/>
    <m/>
    <n v="5"/>
    <s v="Férfi"/>
    <n v="500000"/>
    <s v="kavicsmen@gmail.com"/>
    <s v="Piskor Eszter Márta"/>
    <n v="6"/>
    <s v="Aktív"/>
    <n v="6"/>
    <n v="6"/>
    <s v="magyar"/>
    <m/>
  </r>
  <r>
    <s v="Nyári Kinga"/>
    <s v="GGCELM"/>
    <s v="Aktív"/>
    <s v="osztatlan tanári [12 félév [angol nyelv és kultúra tanára; magyartanár]]"/>
    <x v="0"/>
    <s v="osztatlan tanárképzés"/>
    <s v="TKK-OTAK-NOHU"/>
    <s v="Szombathely"/>
    <s v="Vas"/>
    <s v="Nyári Kinga"/>
    <s v="Magyarország"/>
    <d v="2001-04-14T00:00:00"/>
    <s v="T162174/FI80798"/>
    <x v="5"/>
    <s v="Állami ösztöndíjas"/>
    <s v="2020/21/1"/>
    <s v="Nappali"/>
    <n v="11"/>
    <n v="1"/>
    <s v="2021/22/2"/>
    <n v="10"/>
    <s v="78675370974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Nő"/>
    <n v="500000"/>
    <s v="nyarikinga20@gmail.com"/>
    <s v="Horváth Rozália"/>
    <n v="4"/>
    <s v="Aktív"/>
    <n v="4"/>
    <n v="4"/>
    <s v="magyar"/>
    <m/>
  </r>
  <r>
    <s v="Szénási Marianna"/>
    <s v="MU1161"/>
    <s v="Aktív"/>
    <s v="osztatlan tanári [12 félév [angol nyelv és kultúra tanára; magyartanár]]"/>
    <x v="0"/>
    <s v="osztatlan tanárképzés"/>
    <s v="TKK-OTAK-NOHU"/>
    <s v="Miskolc"/>
    <s v="Borsod-Abaúj-Zemplén"/>
    <s v="Szénási Marianna"/>
    <s v="Magyarország"/>
    <d v="2000-07-27T00:00:00"/>
    <s v="T161461/FI80798"/>
    <x v="5"/>
    <s v="Állami ösztöndíjas"/>
    <s v="2020/21/1"/>
    <s v="Nappali"/>
    <n v="11"/>
    <n v="1"/>
    <s v="2021/22/2"/>
    <n v="10"/>
    <s v="72921094513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Nő"/>
    <n v="500000"/>
    <s v="Szenasimacus18@gmail.com"/>
    <s v="Meczó Marianna"/>
    <n v="4"/>
    <s v="Aktív"/>
    <n v="4"/>
    <n v="4"/>
    <s v="magyar"/>
    <m/>
  </r>
  <r>
    <s v="Varga Bernadett"/>
    <s v="E3K9J5"/>
    <s v="Aktív"/>
    <s v="osztatlan tanári [12 félév [angol nyelv és kultúra tanára; magyartanár]]"/>
    <x v="0"/>
    <s v="osztatlan tanárképzés"/>
    <s v="TKK-OTAK-NOHU"/>
    <s v="Zalaegerszeg"/>
    <s v="Zala"/>
    <s v="Varga Bernadett"/>
    <s v="Magyarország"/>
    <d v="2001-04-26T00:00:00"/>
    <s v="T185151/FI80798"/>
    <x v="5"/>
    <s v="Állami ösztöndíjas"/>
    <s v="2021/22/1"/>
    <s v="Nappali"/>
    <n v="13"/>
    <n v="1"/>
    <s v="2021/22/2"/>
    <n v="10"/>
    <s v="72503859760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Nő"/>
    <n v="500000"/>
    <s v="vargabebo2001@gmail.com"/>
    <s v="Majoros Anikó"/>
    <n v="2"/>
    <s v="Aktív"/>
    <n v="2"/>
    <n v="2"/>
    <s v="magyar"/>
    <m/>
  </r>
  <r>
    <s v="Nagy Dániel Péter"/>
    <s v="P5EL4T"/>
    <s v="Aktív"/>
    <s v="osztatlan tanári [12 félév [angol nyelv és kultúra tanára; magyartanár]]"/>
    <x v="0"/>
    <s v="osztatlan tanárképzés"/>
    <s v="TKK-OTAK-NOHU"/>
    <s v="Szombathely"/>
    <s v="Vas"/>
    <s v="Nagy Dániel Péter"/>
    <s v="Magyarország"/>
    <d v="2000-12-29T00:00:00"/>
    <s v="T162021/FI80798"/>
    <x v="5"/>
    <s v="Állami ösztöndíjas"/>
    <s v="2020/21/1"/>
    <s v="Nappali"/>
    <n v="11"/>
    <n v="1"/>
    <s v="2021/22/2"/>
    <n v="10"/>
    <s v="71466397587"/>
    <n v="12"/>
    <x v="3"/>
    <m/>
    <m/>
    <m/>
    <m/>
    <s v="Képzésváltás intézményen belül"/>
    <d v="2021-09-01T00:00:00"/>
    <m/>
    <s v="BDPK-SEK"/>
    <s v="Eke Norbertné"/>
    <d v="2020-07-23T00:00:00"/>
    <d v="2026-07-15T00:00:00"/>
    <n v="500000"/>
    <m/>
    <n v="1"/>
    <s v="Férfi"/>
    <n v="500000"/>
    <s v="dnagy200012@gmail.com"/>
    <s v="Gáspár Ildikó Katalin"/>
    <n v="2"/>
    <s v="Aktív"/>
    <n v="2"/>
    <n v="4"/>
    <s v="magyar"/>
    <m/>
  </r>
  <r>
    <s v="Major Fanni Kíra"/>
    <s v="DTHK1A"/>
    <s v="Aktív"/>
    <s v="osztatlan tanári [12 félév [angol nyelv és kultúra tanára; magyartanár]]"/>
    <x v="0"/>
    <s v="osztatlan tanárképzés"/>
    <s v="TKK-OTAK-NOHU"/>
    <s v="Tapolca"/>
    <s v="Veszprém"/>
    <s v="Major Fanni Kíra"/>
    <s v="Magyarország"/>
    <d v="2002-10-17T00:00:00"/>
    <s v="T181849/FI80798"/>
    <x v="5"/>
    <s v="Állami ösztöndíjas"/>
    <s v="2021/22/1"/>
    <s v="Nappali"/>
    <n v="13"/>
    <n v="1"/>
    <s v="2021/22/2"/>
    <n v="10"/>
    <s v="72172080582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Nő"/>
    <n v="500000"/>
    <s v="fannimajor5@gmail.com"/>
    <s v="Borbély Éva"/>
    <n v="2"/>
    <s v="Aktív"/>
    <n v="2"/>
    <n v="2"/>
    <s v="magyar"/>
    <m/>
  </r>
  <r>
    <s v="Szabadi Lídia"/>
    <s v="X8A8WG"/>
    <s v="Passzív"/>
    <s v="osztatlan tanári [12 félév [angol nyelv és kultúra tanára; matematikatanár]]"/>
    <x v="0"/>
    <s v="osztatlan tanárképzés"/>
    <s v="TKK-OTAK-NOHU"/>
    <s v="Körmend"/>
    <s v="Vas"/>
    <s v="Szabadi Lídia"/>
    <s v="Magyarország"/>
    <d v="1999-03-18T00:00:00"/>
    <s v="T139469/FI80798"/>
    <x v="5"/>
    <s v="Állami ösztöndíjas"/>
    <s v="2018/19/1"/>
    <s v="Nappali"/>
    <n v="9"/>
    <n v="1"/>
    <s v="2020/21/2"/>
    <n v="10"/>
    <s v="76189750109"/>
    <n v="12"/>
    <x v="3"/>
    <m/>
    <m/>
    <m/>
    <m/>
    <s v="Képzésváltás intézményen belül"/>
    <d v="2018-09-06T00:00:00"/>
    <m/>
    <s v="BDPK-SEK"/>
    <s v="Eke Norbertné"/>
    <d v="2018-07-25T00:00:00"/>
    <d v="2025-07-15T00:00:00"/>
    <n v="400000"/>
    <m/>
    <n v="6"/>
    <s v="Nő"/>
    <n v="400000"/>
    <s v="lidia.szabadi@gmail.com"/>
    <s v="Varga Anna Mária"/>
    <n v="6"/>
    <s v="Passzív"/>
    <m/>
    <n v="6"/>
    <s v="magyar"/>
    <m/>
  </r>
  <r>
    <s v="Taschner Lili Réka"/>
    <s v="FW9IKB"/>
    <s v="Passzív"/>
    <s v="osztatlan tanári [12 félév [angol nyelv és kultúra tanára; matematikatanár]]"/>
    <x v="0"/>
    <s v="osztatlan tanárképzés"/>
    <s v="TKK-OTAK-NOHU"/>
    <s v="Szombathely"/>
    <s v="Vas"/>
    <s v="Taschner Lili Réka"/>
    <s v="Magyarország"/>
    <d v="1998-10-27T00:00:00"/>
    <s v="T138696/FI80798"/>
    <x v="5"/>
    <s v="Állami ösztöndíjas"/>
    <s v="2018/19/1"/>
    <s v="Nappali"/>
    <n v="8"/>
    <n v="1"/>
    <s v="2021/22/1"/>
    <n v="10"/>
    <s v="74341627590"/>
    <n v="12"/>
    <x v="3"/>
    <m/>
    <m/>
    <m/>
    <m/>
    <s v="Képzésváltás intézményen belül"/>
    <d v="2019-09-14T00:00:00"/>
    <m/>
    <s v="BDPK-SEK"/>
    <s v="Eke Norbertné"/>
    <d v="2018-07-25T00:00:00"/>
    <d v="2025-07-15T00:00:00"/>
    <n v="500000"/>
    <m/>
    <n v="5"/>
    <s v="Nő"/>
    <n v="500000"/>
    <s v="taschnerlili@gmail.com"/>
    <s v="Barát Krisztina"/>
    <n v="5"/>
    <s v="Passzív"/>
    <n v="5"/>
    <n v="7"/>
    <s v="magyar"/>
    <m/>
  </r>
  <r>
    <s v="Tompos Réka"/>
    <s v="KQD27X"/>
    <s v="Aktív"/>
    <s v="osztatlan tanári [12 félév [angol nyelv és kultúra tanára; matematikatanár]]"/>
    <x v="0"/>
    <s v="osztatlan tanárképzés"/>
    <s v="TKK-OTAK-NOHU"/>
    <s v="Csorna"/>
    <s v="Győr-Moson-Sopron"/>
    <s v="Tompos Réka"/>
    <s v="Magyarország"/>
    <d v="1999-12-04T00:00:00"/>
    <s v="T149363/FI80798"/>
    <x v="5"/>
    <s v="Állami ösztöndíjas"/>
    <s v="2019/20/1"/>
    <s v="Nappali"/>
    <n v="9"/>
    <n v="1"/>
    <s v="2021/22/2"/>
    <n v="10"/>
    <s v="75313838307"/>
    <n v="12"/>
    <x v="3"/>
    <m/>
    <m/>
    <m/>
    <m/>
    <s v="Képzésváltás intézményen belül"/>
    <d v="2019-09-14T00:00:00"/>
    <m/>
    <s v="BDPK-SEK"/>
    <s v="Eke Norbertné"/>
    <d v="2019-07-24T00:00:00"/>
    <d v="2025-06-30T00:00:00"/>
    <n v="500000"/>
    <m/>
    <n v="5"/>
    <s v="Nő"/>
    <n v="500000"/>
    <s v="tomposreeka@gmail.com"/>
    <s v="Cser Renáta"/>
    <n v="6"/>
    <s v="Aktív"/>
    <n v="6"/>
    <n v="6"/>
    <s v="magyar"/>
    <m/>
  </r>
  <r>
    <s v="Peresztegi Bálint"/>
    <s v="CATZ9S"/>
    <s v="Aktív"/>
    <s v="osztatlan tanári [12 félév [angol nyelv és kultúra tanára; matematikatanár]]"/>
    <x v="0"/>
    <s v="osztatlan tanárképzés"/>
    <s v="TKK-OTAK-NOHU"/>
    <s v="Szombathely"/>
    <s v="Vas"/>
    <s v="Peresztegi Bálint"/>
    <s v="Magyarország"/>
    <d v="1989-10-20T00:00:00"/>
    <s v="T189896/FI80798"/>
    <x v="5"/>
    <s v="Állami ösztöndíjas"/>
    <s v="2021/22/1"/>
    <s v="Nappali"/>
    <n v="4"/>
    <n v="1"/>
    <s v="2021/22/2"/>
    <n v="10"/>
    <s v="73462122615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Férfi"/>
    <n v="500000"/>
    <s v="peresztegibalint@freemail.hu"/>
    <s v="Ohr Imelda Mária"/>
    <n v="2"/>
    <s v="Aktív"/>
    <n v="2"/>
    <n v="2"/>
    <s v="magyar"/>
    <m/>
  </r>
  <r>
    <s v="Nemes Attila"/>
    <s v="IM3V70"/>
    <s v="Aktív"/>
    <s v="osztatlan tanári [12 félév [angol nyelv és kultúra tanára; matematikatanár]]"/>
    <x v="0"/>
    <s v="osztatlan tanárképzés"/>
    <s v="TKK-OTAK-NOHU"/>
    <s v="Celldömölk"/>
    <s v="Vas"/>
    <s v="Nemes Attila"/>
    <s v="Magyarország"/>
    <d v="2000-07-28T00:00:00"/>
    <s v="T151124/FI80798"/>
    <x v="5"/>
    <s v="Állami ösztöndíjas"/>
    <s v="2019/20/1"/>
    <s v="Nappali"/>
    <n v="9"/>
    <n v="1"/>
    <s v="2021/22/2"/>
    <n v="10"/>
    <s v="75785891669"/>
    <n v="12"/>
    <x v="3"/>
    <m/>
    <m/>
    <m/>
    <m/>
    <s v="Képzésváltás intézményen belül"/>
    <d v="2019-09-14T00:00:00"/>
    <m/>
    <s v="BDPK-SEK"/>
    <s v="Eke Norbertné"/>
    <d v="2019-07-24T00:00:00"/>
    <d v="2025-07-15T00:00:00"/>
    <n v="500000"/>
    <m/>
    <n v="5"/>
    <s v="Férfi"/>
    <n v="500000"/>
    <s v="attilanemes2000@gmail.com"/>
    <s v="Somogyi Adrienn"/>
    <n v="6"/>
    <s v="Aktív"/>
    <n v="6"/>
    <n v="6"/>
    <s v="magyar"/>
    <m/>
  </r>
  <r>
    <s v="Fehér Szabina"/>
    <s v="NLBHJH"/>
    <s v="Aktív"/>
    <s v="osztatlan tanári [12 félév [angol nyelv és kultúra tanára; matematikatanár]]"/>
    <x v="0"/>
    <s v="osztatlan tanárképzés"/>
    <s v="TKK-OTAK-NOHU"/>
    <s v="Szombathely"/>
    <s v="Vas"/>
    <s v="Fehér Szabina"/>
    <s v="Magyarország"/>
    <d v="2001-11-23T00:00:00"/>
    <s v="T182845/FI80798"/>
    <x v="5"/>
    <s v="Állami ösztöndíjas"/>
    <s v="2021/22/1"/>
    <s v="Nappali"/>
    <n v="13"/>
    <n v="1"/>
    <s v="2021/22/2"/>
    <n v="10"/>
    <s v="71466411096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Nő"/>
    <n v="500000"/>
    <s v="feherszabina@student.elte.hu"/>
    <s v="Anderkó Szilvia"/>
    <n v="2"/>
    <s v="Aktív"/>
    <n v="2"/>
    <n v="2"/>
    <s v="magyar"/>
    <m/>
  </r>
  <r>
    <s v="Bálint Boglárka Eszter"/>
    <s v="IKMOLZ"/>
    <s v="Aktív"/>
    <s v="osztatlan tanári [12 félév [angol nyelv és kultúra tanára; matematikatanár]]"/>
    <x v="0"/>
    <s v="osztatlan tanárképzés"/>
    <s v="TKK-OTAK-NOHU"/>
    <s v="Kecskemét"/>
    <s v="Bács-Kiskun"/>
    <s v="Bálint Boglárka Eszter"/>
    <s v="Magyarország"/>
    <d v="2002-05-24T00:00:00"/>
    <s v="T166511/FI80798"/>
    <x v="5"/>
    <s v="Állami ösztöndíjas"/>
    <s v="2020/21/1"/>
    <s v="Nappali"/>
    <n v="11"/>
    <n v="1"/>
    <s v="2021/22/2"/>
    <n v="10"/>
    <s v="71625830993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Nő"/>
    <n v="500000"/>
    <s v="balintboglarka7@gmail.com"/>
    <s v="Völgyi Valéria"/>
    <n v="4"/>
    <s v="Aktív"/>
    <n v="4"/>
    <n v="4"/>
    <s v="magyar"/>
    <m/>
  </r>
  <r>
    <s v="Molnár Klementina"/>
    <s v="JCS0B8"/>
    <s v="Aktív"/>
    <s v="osztatlan tanári [12 félév [angol nyelv és kultúra tanára; német nyelv és kultúra tanára]]"/>
    <x v="0"/>
    <s v="osztatlan tanárképzés"/>
    <s v="TKK-OTAK-NOHU"/>
    <s v="Zalaegerszeg"/>
    <s v="Zala"/>
    <s v="Molnár Klementina"/>
    <s v="Magyarország"/>
    <d v="2000-12-10T00:00:00"/>
    <s v="T161894/FI80798"/>
    <x v="5"/>
    <s v="Állami ösztöndíjas"/>
    <s v="2020/21/1"/>
    <s v="Nappali"/>
    <n v="11"/>
    <n v="1"/>
    <s v="2021/22/2"/>
    <n v="10"/>
    <s v="73782138666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Nő"/>
    <n v="500000"/>
    <s v="tina.molnar@gmail.com"/>
    <s v="Somogyi Henrietta"/>
    <n v="4"/>
    <s v="Aktív"/>
    <n v="4"/>
    <n v="4"/>
    <s v="magyar"/>
    <m/>
  </r>
  <r>
    <s v="Szabó Anna Boglárka"/>
    <s v="IMINN1"/>
    <s v="Passzív"/>
    <s v="osztatlan tanári [12 félév [angol nyelv és kultúra tanára; német nyelv és kultúra tanára]]"/>
    <x v="0"/>
    <s v="osztatlan tanárképzés"/>
    <s v="TKK-OTAK-NOHU"/>
    <s v="Szombathely"/>
    <s v="Vas"/>
    <s v="Szabó Anna Boglárka"/>
    <s v="Magyarország"/>
    <d v="2001-05-07T00:00:00"/>
    <s v="T183431/FI80798"/>
    <x v="5"/>
    <s v="Állami ösztöndíjas"/>
    <s v="2021/22/1"/>
    <s v="Nappali"/>
    <n v="14"/>
    <n v="1"/>
    <s v="2021/22/1"/>
    <n v="10"/>
    <s v="71974504649"/>
    <n v="12"/>
    <x v="3"/>
    <m/>
    <m/>
    <m/>
    <m/>
    <s v="Képzésváltás intézményen belül"/>
    <d v="2021-09-13T00:00:00"/>
    <m/>
    <s v="BDPK-SEK"/>
    <s v="Eke Norbertné"/>
    <d v="2021-07-23T00:00:00"/>
    <d v="2028-07-15T00:00:00"/>
    <n v="500000"/>
    <m/>
    <n v="1"/>
    <s v="Nő"/>
    <n v="500000"/>
    <s v="szaboannab@gmail.com"/>
    <s v="Lesch Andrea"/>
    <n v="1"/>
    <s v="Passzív"/>
    <n v="1"/>
    <n v="1"/>
    <s v="magyar"/>
    <m/>
  </r>
  <r>
    <s v="Varró Hunor Koppány"/>
    <s v="SFSZY8"/>
    <s v="Aktív"/>
    <s v="osztatlan tanári [12 félév [angol nyelv és kultúra tanára; német nyelv és kultúra tanára]]"/>
    <x v="0"/>
    <s v="osztatlan tanárképzés"/>
    <s v="TKK-OTAK-NOHU"/>
    <s v="Ajka"/>
    <s v="Veszprém"/>
    <s v="Varró Hunor Koppány"/>
    <s v="Magyarország"/>
    <d v="2002-01-18T00:00:00"/>
    <s v="T190472/FI80798"/>
    <x v="5"/>
    <s v="Állami ösztöndíjas"/>
    <s v="2021/22/1"/>
    <s v="Nappali"/>
    <n v="13"/>
    <n v="1"/>
    <s v="2021/22/2"/>
    <n v="10"/>
    <s v="71592005403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Férfi"/>
    <n v="500000"/>
    <s v="vhunorka@gmail.com"/>
    <s v="Éri Ildikó"/>
    <n v="2"/>
    <s v="Aktív"/>
    <n v="2"/>
    <n v="2"/>
    <s v="magyar"/>
    <m/>
  </r>
  <r>
    <s v="Gálos Csenge Lilla"/>
    <s v="DM9N7G"/>
    <s v="Aktív"/>
    <s v="osztatlan tanári [12 félév [angol nyelv és kultúra tanára; testnevelő tanár]]"/>
    <x v="0"/>
    <s v="osztatlan tanár"/>
    <s v="BDPK-SEK-SANO-OT-NOHU"/>
    <s v="Szombathely"/>
    <s v="Vas"/>
    <s v="Gálos Csenge Lilla"/>
    <s v="Magyarország"/>
    <d v="1997-11-05T00:00:00"/>
    <s v="T013711/FI21120/B"/>
    <x v="5"/>
    <s v="Állami ösztöndíjas"/>
    <s v="2016/17/1"/>
    <s v="Nappali"/>
    <n v="3"/>
    <n v="1"/>
    <s v="2021/22/2"/>
    <n v="10"/>
    <s v="76937135552"/>
    <n v="12"/>
    <x v="3"/>
    <m/>
    <m/>
    <m/>
    <m/>
    <s v="Képzésváltás intézményen belül"/>
    <d v="2019-09-03T00:00:00"/>
    <m/>
    <s v="BDPK-SEK"/>
    <s v="Eke Norbertné"/>
    <d v="2016-07-26T00:00:00"/>
    <d v="2022-06-30T00:00:00"/>
    <n v="500000"/>
    <m/>
    <n v="5"/>
    <s v="Nő"/>
    <n v="500000"/>
    <s v="csengikegalos@gmail.com"/>
    <s v="Kemény Yvette"/>
    <n v="6"/>
    <s v="Aktív"/>
    <n v="6"/>
    <n v="12"/>
    <s v="magyar"/>
    <m/>
  </r>
  <r>
    <s v="Szabó Márton"/>
    <s v="HSRYTR"/>
    <s v="Aktív"/>
    <s v="osztatlan tanári [12 félév [angol nyelv és kultúra tanára; testnevelő tanár]]"/>
    <x v="0"/>
    <s v="osztatlan tanárképzés"/>
    <s v="TKK-OTAK-NOHU"/>
    <s v="Szombathely"/>
    <s v="Vas"/>
    <s v="Szabó Márton"/>
    <s v="Magyarország"/>
    <d v="1998-04-17T00:00:00"/>
    <s v="T123105/FI80798"/>
    <x v="5"/>
    <s v="Állami ösztöndíjas"/>
    <s v="2017/18/1"/>
    <s v="Nappali"/>
    <n v="5"/>
    <n v="1"/>
    <s v="2021/22/2"/>
    <n v="10"/>
    <s v="73446363496"/>
    <n v="12"/>
    <x v="3"/>
    <m/>
    <m/>
    <m/>
    <m/>
    <s v="Képzésváltás intézményen belül"/>
    <d v="2019-09-14T00:00:00"/>
    <m/>
    <s v="BDPK-SEK"/>
    <s v="Eke Norbertné"/>
    <d v="2017-07-27T00:00:00"/>
    <d v="2023-07-15T00:00:00"/>
    <n v="500000"/>
    <m/>
    <n v="5"/>
    <s v="Férfi"/>
    <n v="500000"/>
    <s v="szabomarci1998@gmail.com"/>
    <s v="Németh Ágnes"/>
    <n v="6"/>
    <s v="Aktív"/>
    <n v="6"/>
    <n v="10"/>
    <s v="magyar"/>
    <m/>
  </r>
  <r>
    <s v="Zsédely Petra"/>
    <s v="GWY5J2"/>
    <s v="Aktív"/>
    <s v="osztatlan tanári [12 félév [angol nyelv és kultúra tanára; testnevelő tanár]]"/>
    <x v="0"/>
    <s v="osztatlan tanárképzés"/>
    <s v="TKK-OTAK-NOHU"/>
    <s v="Győr"/>
    <s v="Győr-Moson-Sopron"/>
    <s v="Zsédely Petra"/>
    <s v="Magyarország"/>
    <d v="1998-06-08T00:00:00"/>
    <s v="T125302/FI80798"/>
    <x v="5"/>
    <s v="Állami ösztöndíjas"/>
    <s v="2017/18/1"/>
    <s v="Nappali"/>
    <n v="5"/>
    <n v="1"/>
    <s v="2021/22/2"/>
    <n v="10"/>
    <s v="78278659869"/>
    <n v="12"/>
    <x v="3"/>
    <m/>
    <m/>
    <m/>
    <m/>
    <s v="Képzésváltás intézményen belül"/>
    <d v="2019-09-14T00:00:00"/>
    <m/>
    <s v="BDPK-SEK"/>
    <s v="Eke Norbertné"/>
    <d v="2017-07-27T00:00:00"/>
    <d v="2023-06-30T00:00:00"/>
    <n v="500000"/>
    <m/>
    <n v="5"/>
    <s v="Nő"/>
    <n v="500000"/>
    <s v="zsedelypetra@gmail.com"/>
    <s v="Szabó Amália"/>
    <n v="6"/>
    <s v="Aktív"/>
    <n v="6"/>
    <n v="10"/>
    <s v="magyar"/>
    <m/>
  </r>
  <r>
    <s v="Tóth Dóra Fruzsina"/>
    <s v="MZPTS4"/>
    <s v="Aktív"/>
    <s v="osztatlan tanári [12 félév [angol nyelv és kultúra tanára; testnevelő tanár]]"/>
    <x v="0"/>
    <s v="osztatlan tanárképzés"/>
    <s v="TKK-OTAK-NOHU"/>
    <s v="Budapest"/>
    <s v="Budapest"/>
    <s v="Tóth Dóra Fruzsina"/>
    <s v="Magyarország"/>
    <d v="1999-01-21T00:00:00"/>
    <s v="T135590/FI80798"/>
    <x v="5"/>
    <s v="Állami ösztöndíjas"/>
    <s v="2018/19/1"/>
    <s v="Nappali"/>
    <n v="7"/>
    <n v="1"/>
    <s v="2021/22/2"/>
    <n v="10"/>
    <s v="79860301261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Nő"/>
    <n v="400000"/>
    <s v="toth.dori18@gmail.com"/>
    <s v="Pálmai Zita"/>
    <n v="8"/>
    <s v="Aktív"/>
    <n v="8"/>
    <n v="8"/>
    <s v="magyar"/>
    <m/>
  </r>
  <r>
    <s v="Eklics Péter"/>
    <s v="HXWJC9"/>
    <s v="Aktív"/>
    <s v="osztatlan tanári [12 félév [angol nyelv és kultúra tanára; testnevelő tanár]]"/>
    <x v="0"/>
    <s v="osztatlan tanárképzés"/>
    <s v="TKK-OTAK-NOHU"/>
    <s v="Pápa"/>
    <s v="Veszprém"/>
    <s v="Eklics Péter"/>
    <s v="Magyarország"/>
    <d v="1998-08-08T00:00:00"/>
    <s v="T139129/FI80798"/>
    <x v="5"/>
    <s v="Állami ösztöndíjas"/>
    <s v="2018/19/1"/>
    <s v="Nappali"/>
    <n v="7"/>
    <n v="1"/>
    <s v="2021/22/2"/>
    <n v="10"/>
    <s v="79380287961"/>
    <n v="12"/>
    <x v="3"/>
    <m/>
    <m/>
    <m/>
    <m/>
    <s v="Képzésváltás intézményen belül"/>
    <d v="2021-02-15T00:00:00"/>
    <m/>
    <s v="BDPK-SEK"/>
    <s v="Eke Norbertné"/>
    <d v="2018-07-25T00:00:00"/>
    <d v="2024-07-15T00:00:00"/>
    <m/>
    <m/>
    <n v="2"/>
    <s v="Férfi"/>
    <n v="300000"/>
    <s v="pirlo6572@gmail.com"/>
    <s v="Tóth Julianna Gizella"/>
    <n v="3"/>
    <s v="Aktív"/>
    <n v="3"/>
    <n v="8"/>
    <s v="magyar"/>
    <m/>
  </r>
  <r>
    <s v="Varga Kornél"/>
    <s v="KKBP9H"/>
    <s v="Aktív"/>
    <s v="osztatlan tanári [12 félév [angol nyelv és kultúra tanára; testnevelő tanár]]"/>
    <x v="0"/>
    <s v="osztatlan tanárképzés"/>
    <s v="TKK-OTAK-NOHU"/>
    <s v="Szombathely"/>
    <s v="Vas"/>
    <s v="Varga Kornél"/>
    <s v="Magyarország"/>
    <d v="2000-11-12T00:00:00"/>
    <s v="T156092/FI80798"/>
    <x v="5"/>
    <s v="Állami ösztöndíjas"/>
    <s v="2019/20/1"/>
    <s v="Nappali"/>
    <n v="9"/>
    <n v="1"/>
    <s v="2021/22/2"/>
    <n v="10"/>
    <s v="77036122940"/>
    <n v="12"/>
    <x v="3"/>
    <m/>
    <m/>
    <m/>
    <m/>
    <s v="Képzésváltás intézményen belül"/>
    <d v="2019-09-14T00:00:00"/>
    <m/>
    <s v="BDPK-SEK"/>
    <s v="Eke Norbertné"/>
    <d v="2019-07-24T00:00:00"/>
    <d v="2025-07-15T00:00:00"/>
    <n v="500000"/>
    <m/>
    <n v="5"/>
    <s v="Férfi"/>
    <n v="500000"/>
    <s v="kokojunior10@gmail.com"/>
    <s v="Nagy Zsófia"/>
    <n v="6"/>
    <s v="Aktív"/>
    <n v="6"/>
    <n v="6"/>
    <s v="magyar"/>
    <m/>
  </r>
  <r>
    <s v="Szabó Bence"/>
    <s v="A3E260"/>
    <s v="Aktív"/>
    <s v="osztatlan tanári [12 félév [angol nyelv és kultúra tanára; testnevelő tanár]]"/>
    <x v="0"/>
    <s v="osztatlan tanárképzés"/>
    <s v="TKK-OTAK-NOHU"/>
    <s v="Sopron"/>
    <s v="Győr-Moson-Sopron"/>
    <s v="Szabó Bence"/>
    <s v="Magyarország"/>
    <d v="2001-02-09T00:00:00"/>
    <s v="T148570/FI80798"/>
    <x v="5"/>
    <s v="Állami ösztöndíjas"/>
    <s v="2019/20/1"/>
    <s v="Nappali"/>
    <n v="9"/>
    <n v="1"/>
    <s v="2021/22/2"/>
    <n v="10"/>
    <s v="79859379969"/>
    <n v="12"/>
    <x v="3"/>
    <m/>
    <m/>
    <m/>
    <m/>
    <s v="Képzésváltás intézményen belül"/>
    <d v="2019-09-14T00:00:00"/>
    <m/>
    <s v="BDPK-SEK"/>
    <s v="Eke Norbertné"/>
    <d v="2019-07-24T00:00:00"/>
    <d v="2025-07-15T00:00:00"/>
    <n v="500000"/>
    <m/>
    <n v="5"/>
    <s v="Férfi"/>
    <n v="500000"/>
    <s v="szaszqa@hotmail.hu"/>
    <s v="Rombai Andrea"/>
    <n v="6"/>
    <s v="Aktív"/>
    <n v="6"/>
    <n v="6"/>
    <s v="magyar"/>
    <m/>
  </r>
  <r>
    <s v="Tóth Márton"/>
    <s v="J8SCOG"/>
    <s v="Aktív"/>
    <s v="osztatlan tanári [12 félév [angol nyelv és kultúra tanára; testnevelő tanár]]"/>
    <x v="0"/>
    <s v="osztatlan tanárképzés"/>
    <s v="TKK-OTAK-NOHU"/>
    <s v="Szombathely"/>
    <s v="Vas"/>
    <s v="Tóth Márton"/>
    <s v="Magyarország"/>
    <d v="2000-01-19T00:00:00"/>
    <s v="T150425/FI80798"/>
    <x v="5"/>
    <s v="Állami ösztöndíjas"/>
    <s v="2019/20/1"/>
    <s v="Nappali"/>
    <n v="9"/>
    <n v="1"/>
    <s v="2021/22/2"/>
    <n v="10"/>
    <s v="71925985298"/>
    <n v="12"/>
    <x v="3"/>
    <m/>
    <m/>
    <m/>
    <m/>
    <s v="Képzésváltás intézményen belül"/>
    <d v="2019-09-14T00:00:00"/>
    <m/>
    <s v="BDPK-SEK"/>
    <s v="Eke Norbertné"/>
    <d v="2019-07-24T00:00:00"/>
    <d v="2025-07-15T00:00:00"/>
    <n v="500000"/>
    <m/>
    <n v="5"/>
    <s v="Férfi"/>
    <n v="500000"/>
    <s v="20marc00@gmail.com"/>
    <s v="Kiss Babett"/>
    <n v="6"/>
    <s v="Aktív"/>
    <n v="6"/>
    <n v="6"/>
    <s v="magyar"/>
    <m/>
  </r>
  <r>
    <s v="Marton Gabriella"/>
    <s v="S9P21R"/>
    <s v="Aktív"/>
    <s v="osztatlan tanári [12 félév [angol nyelv és kultúra tanára; testnevelő tanár]]"/>
    <x v="0"/>
    <s v="osztatlan tanárképzés"/>
    <s v="TKK-OTAK-NOHU"/>
    <s v="Tapolca"/>
    <s v="Veszprém"/>
    <s v="Marton Gabriella"/>
    <s v="Magyarország"/>
    <d v="2001-10-29T00:00:00"/>
    <s v="T188928/FI80798"/>
    <x v="5"/>
    <s v="Állami ösztöndíjas"/>
    <s v="2020/21/1"/>
    <s v="Nappali"/>
    <n v="11"/>
    <n v="1"/>
    <s v="2021/22/2"/>
    <n v="10"/>
    <s v="71638036050"/>
    <n v="12"/>
    <x v="3"/>
    <m/>
    <m/>
    <m/>
    <m/>
    <s v="Átvétel kérelemre más magyarországi intézményből"/>
    <d v="2021-09-01T00:00:00"/>
    <m/>
    <s v="BDPK-SEK"/>
    <s v="Eke Norbertné"/>
    <d v="2020-07-23T00:00:00"/>
    <d v="2027-07-15T00:00:00"/>
    <n v="500000"/>
    <m/>
    <n v="1"/>
    <s v="Nő"/>
    <n v="500000"/>
    <s v="marton.gabi1029@gmail.com"/>
    <s v="Tóth Tímea"/>
    <n v="2"/>
    <s v="Aktív"/>
    <n v="2"/>
    <n v="2"/>
    <s v="magyar"/>
    <m/>
  </r>
  <r>
    <s v="Molnár Patrik"/>
    <s v="PQL7CD"/>
    <s v="Aktív"/>
    <s v="osztatlan tanári [12 félév [angol nyelv és kultúra tanára; testnevelő tanár]]"/>
    <x v="0"/>
    <s v="osztatlan tanárképzés"/>
    <s v="TKK-OTAK-NOHU"/>
    <s v="Körmend"/>
    <s v="Vas"/>
    <s v="Molnár Patrik"/>
    <s v="Magyarország"/>
    <d v="2000-07-28T00:00:00"/>
    <s v="T164752/FI80798"/>
    <x v="5"/>
    <s v="Állami ösztöndíjas"/>
    <s v="2020/21/1"/>
    <s v="Nappali"/>
    <n v="11"/>
    <n v="1"/>
    <s v="2021/22/2"/>
    <n v="10"/>
    <s v="71904692392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Férfi"/>
    <n v="500000"/>
    <s v="molnarpatrik0728@gmail.com"/>
    <s v="Szarka Andrea"/>
    <n v="4"/>
    <s v="Aktív"/>
    <n v="4"/>
    <n v="4"/>
    <s v="magyar"/>
    <m/>
  </r>
  <r>
    <s v="Kiss Boglárka"/>
    <s v="P417IT"/>
    <s v="Aktív"/>
    <s v="osztatlan tanári [12 félév [angol nyelv és kultúra tanára; testnevelő tanár]]"/>
    <x v="0"/>
    <s v="osztatlan tanárképzés"/>
    <s v="TKK-OTAK-NOHU"/>
    <s v="Zalaegerszeg"/>
    <s v="Zala"/>
    <s v="Kiss Boglárka"/>
    <s v="Magyarország"/>
    <d v="2001-08-24T00:00:00"/>
    <s v="T182415/FI80798"/>
    <x v="5"/>
    <s v="Állami ösztöndíjas"/>
    <s v="2021/22/1"/>
    <s v="Nappali"/>
    <n v="13"/>
    <n v="1"/>
    <s v="2021/22/2"/>
    <n v="10"/>
    <s v="71466217070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Nő"/>
    <n v="500000"/>
    <s v="bogika0824@gmail.com"/>
    <s v="Szabó Dorottya"/>
    <n v="2"/>
    <s v="Aktív"/>
    <n v="2"/>
    <n v="2"/>
    <s v="magyar"/>
    <m/>
  </r>
  <r>
    <s v="Véha Petra"/>
    <s v="JAFA3Q"/>
    <s v="Aktív"/>
    <s v="osztatlan tanári [12 félév [angol nyelv és kultúra tanára; testnevelő tanár]]"/>
    <x v="0"/>
    <s v="osztatlan tanárképzés"/>
    <s v="TKK-OTAK-NOHU"/>
    <s v="Körmend"/>
    <s v="Vas"/>
    <s v="Véha Petra"/>
    <s v="Magyarország"/>
    <d v="2002-10-22T00:00:00"/>
    <s v="T180570/FI80798"/>
    <x v="5"/>
    <s v="Állami ösztöndíjas"/>
    <s v="2021/22/1"/>
    <s v="Nappali"/>
    <n v="13"/>
    <n v="1"/>
    <s v="2021/22/2"/>
    <n v="10"/>
    <s v="72153447934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Nő"/>
    <n v="500000"/>
    <s v="vehapetra5@gmail.com"/>
    <s v="Fodor Lívia"/>
    <n v="2"/>
    <s v="Aktív"/>
    <n v="2"/>
    <n v="2"/>
    <s v="magyar"/>
    <m/>
  </r>
  <r>
    <s v="Molnár Kristóf"/>
    <s v="IR8C6P"/>
    <s v="Aktív"/>
    <s v="osztatlan tanári [12 félév [angol nyelv és kultúra tanára; testnevelő tanár]]"/>
    <x v="0"/>
    <s v="osztatlan tanárképzés"/>
    <s v="TKK-OTAK-NOHU"/>
    <s v="Szombathely"/>
    <s v="Vas"/>
    <s v="Molnár Kristóf"/>
    <s v="Magyarország"/>
    <d v="2003-02-07T00:00:00"/>
    <s v="T186710/FI80798"/>
    <x v="5"/>
    <s v="Állami ösztöndíjas"/>
    <s v="2021/22/1"/>
    <s v="Nappali"/>
    <n v="13"/>
    <n v="1"/>
    <s v="2021/22/2"/>
    <n v="10"/>
    <s v="72165218890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Férfi"/>
    <n v="500000"/>
    <s v="kristofmolnar01@gmail.com"/>
    <s v="Süle Ágota Mária"/>
    <n v="2"/>
    <s v="Aktív"/>
    <n v="2"/>
    <n v="2"/>
    <s v="magyar"/>
    <m/>
  </r>
  <r>
    <s v="Huszár Ágoston László"/>
    <s v="C04EAW"/>
    <s v="Passzív"/>
    <s v="osztatlan tanári [12 félév [angol nyelv és kultúra tanára; testnevelő tanár]]"/>
    <x v="0"/>
    <s v="osztatlan tanárképzés"/>
    <s v="TKK-OTAK-NOHU"/>
    <s v="Zalaegerszeg"/>
    <s v="Zala"/>
    <s v="Huszár Ágoston László"/>
    <s v="Magyarország"/>
    <d v="2002-06-14T00:00:00"/>
    <s v="T185388/FI80798"/>
    <x v="5"/>
    <s v="Állami ösztöndíjas"/>
    <s v="2021/22/1"/>
    <s v="Nappali"/>
    <n v="14"/>
    <n v="1"/>
    <s v="2021/22/1"/>
    <n v="10"/>
    <s v="71760788947"/>
    <n v="12"/>
    <x v="3"/>
    <m/>
    <m/>
    <m/>
    <m/>
    <s v="Képzésváltás intézményen belül"/>
    <d v="2021-09-13T00:00:00"/>
    <m/>
    <s v="BDPK-SEK"/>
    <s v="Eke Norbertné"/>
    <d v="2021-07-23T00:00:00"/>
    <d v="2028-07-15T00:00:00"/>
    <n v="500000"/>
    <m/>
    <n v="1"/>
    <s v="Férfi"/>
    <n v="500000"/>
    <s v="huszaragoston@gmail.com"/>
    <s v="Lukács Zita Klára"/>
    <n v="1"/>
    <s v="Passzív"/>
    <m/>
    <n v="1"/>
    <s v="magyar"/>
    <m/>
  </r>
  <r>
    <s v="Makacsek-Molnár Márk"/>
    <s v="ZM9KVM"/>
    <s v="Aktív"/>
    <s v="osztatlan tanári [12 félév [angol nyelv és kultúra tanára; testnevelő tanár]]"/>
    <x v="0"/>
    <s v="osztatlan tanárképzés"/>
    <s v="TKK-OTAK-NOHU"/>
    <s v="Nagykanizsa"/>
    <s v="Zala"/>
    <s v="Makacsek-Molnár Márk"/>
    <s v="Magyarország"/>
    <d v="2002-02-22T00:00:00"/>
    <s v="T185402/FI80798"/>
    <x v="5"/>
    <s v="Állami ösztöndíjas"/>
    <s v="2021/22/1"/>
    <s v="Nappali"/>
    <n v="13"/>
    <n v="1"/>
    <s v="2021/22/2"/>
    <n v="10"/>
    <s v="71764861965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Férfi"/>
    <n v="500000"/>
    <s v="makacsekmark@hotmail.com"/>
    <s v="Makacsek Ágota Dr."/>
    <n v="2"/>
    <s v="Aktív"/>
    <n v="2"/>
    <n v="2"/>
    <s v="magyar"/>
    <m/>
  </r>
  <r>
    <s v="Gosztola Bettina"/>
    <s v="KE8EN3"/>
    <s v="Aktív"/>
    <s v="osztatlan tanári [12 félév [angol nyelv és kultúra tanára; testnevelő tanár]]"/>
    <x v="0"/>
    <s v="osztatlan tanárképzés"/>
    <s v="TKK-OTAK-NOHU"/>
    <s v="Sopron"/>
    <s v="Győr-Moson-Sopron"/>
    <s v="Gosztola Bettina"/>
    <s v="Magyarország"/>
    <d v="2002-02-12T00:00:00"/>
    <s v="T186034/FI80798"/>
    <x v="5"/>
    <s v="Állami ösztöndíjas"/>
    <s v="2021/22/1"/>
    <s v="Nappali"/>
    <n v="13"/>
    <n v="1"/>
    <s v="2021/22/2"/>
    <n v="10"/>
    <s v="72144034621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Nő"/>
    <n v="500000"/>
    <s v="gosztola.betti2002@gmail.com"/>
    <s v="Jagadics Csilla"/>
    <n v="2"/>
    <s v="Aktív"/>
    <n v="2"/>
    <n v="2"/>
    <s v="magyar"/>
    <m/>
  </r>
  <r>
    <s v="Gulyás Benedek"/>
    <s v="INHFDL"/>
    <s v="Aktív"/>
    <s v="osztatlan tanári [12 félév [angol nyelv és kultúra tanára; történelemtanár és állampolgári ismeretek tanára]]"/>
    <x v="0"/>
    <s v="osztatlan tanárképzés"/>
    <s v="TKK-OTAK-NOHU"/>
    <s v="Körmend"/>
    <s v="Vas"/>
    <s v="Gulyás Benedek"/>
    <s v="Magyarország"/>
    <d v="1999-02-01T00:00:00"/>
    <s v="T127746/FI80798"/>
    <x v="5"/>
    <s v="Állami ösztöndíjas"/>
    <s v="2017/18/1"/>
    <s v="Nappali"/>
    <n v="5"/>
    <n v="1"/>
    <s v="2021/22/2"/>
    <n v="10"/>
    <s v="74314685621"/>
    <n v="12"/>
    <x v="3"/>
    <m/>
    <m/>
    <m/>
    <m/>
    <s v="Képzésváltás intézményen belül"/>
    <d v="2019-09-14T00:00:00"/>
    <m/>
    <s v="BDPK-SEK"/>
    <s v="Eke Norbertné"/>
    <d v="2017-07-27T00:00:00"/>
    <d v="2023-07-15T00:00:00"/>
    <n v="500000"/>
    <m/>
    <n v="5"/>
    <s v="Férfi"/>
    <n v="500000"/>
    <s v="bene.gulyas99@gmail.com"/>
    <s v="Simon Szilvia"/>
    <n v="6"/>
    <s v="Aktív"/>
    <n v="6"/>
    <n v="10"/>
    <s v="magyar"/>
    <m/>
  </r>
  <r>
    <s v="Takács Tamás"/>
    <s v="S5TWRE"/>
    <s v="Aktív"/>
    <s v="osztatlan tanári [12 félév [angol nyelv és kultúra tanára; történelemtanár és állampolgári ismeretek tanára]]"/>
    <x v="0"/>
    <s v="osztatlan tanárképzés"/>
    <s v="TKK-OTAK-NOHU"/>
    <s v="Zalaegerszeg"/>
    <s v="Zala"/>
    <s v="Takács Tamás"/>
    <s v="Magyarország"/>
    <d v="1998-09-15T00:00:00"/>
    <s v="T131017/FI80798"/>
    <x v="5"/>
    <s v="Állami ösztöndíjas"/>
    <s v="2017/18/1"/>
    <s v="Nappali"/>
    <n v="5"/>
    <n v="1"/>
    <s v="2021/22/2"/>
    <n v="10"/>
    <s v="71864903075"/>
    <n v="12"/>
    <x v="3"/>
    <m/>
    <m/>
    <m/>
    <m/>
    <s v="Képzésváltás intézményen belül"/>
    <d v="2019-09-14T00:00:00"/>
    <m/>
    <s v="BDPK-SEK"/>
    <s v="Eke Norbertné"/>
    <d v="2017-07-27T00:00:00"/>
    <d v="2023-07-15T00:00:00"/>
    <n v="500000"/>
    <m/>
    <n v="5"/>
    <s v="Férfi"/>
    <n v="500000"/>
    <s v="tacsk980915@gmail.com"/>
    <s v="Ackerman Erzsébet"/>
    <n v="6"/>
    <s v="Aktív"/>
    <n v="6"/>
    <n v="10"/>
    <s v="magyar"/>
    <m/>
  </r>
  <r>
    <s v="Horváth Martin Alex"/>
    <s v="M0XA3W"/>
    <s v="Aktív"/>
    <s v="osztatlan tanári [12 félév [angol nyelv és kultúra tanára; történelemtanár és állampolgári ismeretek tanára]]"/>
    <x v="0"/>
    <s v="osztatlan tanárképzés"/>
    <s v="TKK-OTAK-NOHU"/>
    <s v="Szombathely"/>
    <s v="Vas"/>
    <s v="Horváth Martin Alex"/>
    <s v="Magyarország"/>
    <d v="1998-10-19T00:00:00"/>
    <s v="T130703/FI80798"/>
    <x v="5"/>
    <s v="Állami ösztöndíjas"/>
    <s v="2017/18/1"/>
    <s v="Nappali"/>
    <n v="5"/>
    <n v="1"/>
    <s v="2021/22/2"/>
    <n v="10"/>
    <s v="75212140918"/>
    <n v="12"/>
    <x v="3"/>
    <m/>
    <m/>
    <m/>
    <m/>
    <s v="Képzésváltás intézményen belül"/>
    <d v="2019-09-14T00:00:00"/>
    <m/>
    <s v="BDPK-SEK"/>
    <s v="Eke Norbertné"/>
    <d v="2017-07-27T00:00:00"/>
    <d v="2023-07-15T00:00:00"/>
    <n v="500000"/>
    <m/>
    <n v="5"/>
    <s v="Férfi"/>
    <n v="500000"/>
    <s v="h.mrtin9898@gmail.com"/>
    <s v="Kovács Tímea"/>
    <n v="6"/>
    <s v="Aktív"/>
    <n v="6"/>
    <n v="10"/>
    <s v="magyar"/>
    <m/>
  </r>
  <r>
    <s v="Vámos Nikoletta"/>
    <s v="NHC3WH"/>
    <s v="Aktív"/>
    <s v="osztatlan tanári [12 félév [angol nyelv és kultúra tanára; történelemtanár és állampolgári ismeretek tanára]]"/>
    <x v="0"/>
    <s v="osztatlan tanárképzés"/>
    <s v="TKK-OTAK-NOHU"/>
    <s v="Szombathely"/>
    <s v="Vas"/>
    <s v="Vámos Nikoletta"/>
    <s v="Magyarország"/>
    <d v="1998-07-17T00:00:00"/>
    <s v="T127852/FI80798"/>
    <x v="5"/>
    <s v="Állami ösztöndíjas"/>
    <s v="2017/18/1"/>
    <s v="Nappali"/>
    <n v="5"/>
    <n v="1"/>
    <s v="2021/22/2"/>
    <n v="10"/>
    <s v="75740610653"/>
    <n v="12"/>
    <x v="3"/>
    <m/>
    <m/>
    <m/>
    <m/>
    <s v="Képzésváltás intézményen belül"/>
    <d v="2019-09-14T00:00:00"/>
    <m/>
    <s v="BDPK-SEK"/>
    <s v="Eke Norbertné"/>
    <d v="2017-07-27T00:00:00"/>
    <d v="2023-07-15T00:00:00"/>
    <n v="500000"/>
    <m/>
    <n v="5"/>
    <s v="Nő"/>
    <n v="500000"/>
    <s v="nickyoletta@gmail.com"/>
    <s v="Pék Erika"/>
    <n v="6"/>
    <s v="Aktív"/>
    <n v="6"/>
    <n v="10"/>
    <s v="magyar"/>
    <m/>
  </r>
  <r>
    <s v="Sághegyi Erik"/>
    <s v="II7U75"/>
    <s v="Aktív"/>
    <s v="osztatlan tanári [12 félév [angol nyelv és kultúra tanára; történelemtanár és állampolgári ismeretek tanára]]"/>
    <x v="0"/>
    <s v="osztatlan tanárképzés"/>
    <s v="TKK-OTAK-NOHU"/>
    <s v="Celldömölk"/>
    <s v="Vas"/>
    <s v="Sághegyi Erik"/>
    <s v="Magyarország"/>
    <d v="1999-09-06T00:00:00"/>
    <s v="T136790/FI80798"/>
    <x v="5"/>
    <s v="Állami ösztöndíjas"/>
    <s v="2018/19/1"/>
    <s v="Nappali"/>
    <n v="7"/>
    <n v="1"/>
    <s v="2021/22/2"/>
    <n v="10"/>
    <s v="78537824961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Férfi"/>
    <n v="400000"/>
    <s v="saghegyi.erik@cellkabel.hu"/>
    <s v="Som Ágnes Katalin"/>
    <n v="8"/>
    <s v="Aktív"/>
    <n v="8"/>
    <n v="8"/>
    <s v="magyar"/>
    <m/>
  </r>
  <r>
    <s v="Bodorkós Bence"/>
    <s v="EC1XEF"/>
    <s v="Aktív"/>
    <s v="osztatlan tanári [12 félév [angol nyelv és kultúra tanára; történelemtanár és állampolgári ismeretek tanára]]"/>
    <x v="0"/>
    <s v="osztatlan tanárképzés"/>
    <s v="TKK-OTAK-NOHU"/>
    <s v="Szombathely"/>
    <s v="Vas"/>
    <s v="Bodorkós Bence"/>
    <s v="Magyarország"/>
    <d v="1998-10-02T00:00:00"/>
    <s v="T141941/FI80798"/>
    <x v="5"/>
    <s v="Állami ösztöndíjas"/>
    <s v="2018/19/1"/>
    <s v="Nappali"/>
    <n v="7"/>
    <n v="1"/>
    <s v="2021/22/2"/>
    <n v="10"/>
    <s v="79449366812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Férfi"/>
    <n v="400000"/>
    <s v="benceb981002@gmail.com"/>
    <s v="Tóth Gabriella"/>
    <n v="8"/>
    <s v="Aktív"/>
    <n v="8"/>
    <n v="8"/>
    <s v="magyar"/>
    <m/>
  </r>
  <r>
    <s v="Vincze Veronika"/>
    <s v="E54PS3"/>
    <s v="Aktív"/>
    <s v="osztatlan tanári [12 félév [angol nyelv és kultúra tanára; történelemtanár és állampolgári ismeretek tanára]]"/>
    <x v="0"/>
    <s v="osztatlan tanárképzés"/>
    <s v="TKK-OTAK-NOHU"/>
    <s v="Sárvár"/>
    <s v="Vas"/>
    <s v="Vincze Veronika"/>
    <s v="Magyarország"/>
    <d v="1998-07-01T00:00:00"/>
    <s v="T134298/FI80798"/>
    <x v="5"/>
    <s v="Állami ösztöndíjas"/>
    <s v="2018/19/1"/>
    <s v="Nappali"/>
    <n v="5"/>
    <n v="1"/>
    <s v="2021/22/2"/>
    <n v="10"/>
    <s v="78006632874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Nő"/>
    <n v="400000"/>
    <s v="veronikavincze1998@gmail.com"/>
    <s v="Róth Anna Mária"/>
    <n v="8"/>
    <s v="Aktív"/>
    <n v="8"/>
    <n v="8"/>
    <s v="magyar"/>
    <m/>
  </r>
  <r>
    <s v="Szabó Réka"/>
    <s v="GP9CVI"/>
    <s v="Aktív"/>
    <s v="osztatlan tanári [12 félév [angol nyelv és kultúra tanára; történelemtanár és állampolgári ismeretek tanára]]"/>
    <x v="0"/>
    <s v="osztatlan tanárképzés"/>
    <s v="TKK-OTAK-NOHU"/>
    <s v="Győr"/>
    <s v="Győr-Moson-Sopron"/>
    <s v="Szabó Réka"/>
    <s v="Magyarország"/>
    <d v="1999-10-29T00:00:00"/>
    <s v="T139152/FI80798"/>
    <x v="5"/>
    <s v="Állami ösztöndíjas"/>
    <s v="2018/19/1"/>
    <s v="Nappali"/>
    <n v="7"/>
    <n v="1"/>
    <s v="2021/22/2"/>
    <n v="10"/>
    <s v="74132924189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Nő"/>
    <n v="400000"/>
    <s v="reka9910@gmail.com"/>
    <s v="Czésinger Henriett"/>
    <n v="8"/>
    <s v="Aktív"/>
    <n v="8"/>
    <n v="8"/>
    <s v="magyar"/>
    <m/>
  </r>
  <r>
    <s v="Vincze Viktória"/>
    <s v="GB25RJ"/>
    <s v="Aktív"/>
    <s v="osztatlan tanári [12 félév [angol nyelv és kultúra tanára; történelemtanár és állampolgári ismeretek tanára]]"/>
    <x v="0"/>
    <s v="osztatlan tanárképzés"/>
    <s v="TKK-OTAK-NOHU"/>
    <s v="Zalaegerszeg"/>
    <s v="Zala"/>
    <s v="Vincze Viktória"/>
    <s v="Magyarország"/>
    <d v="1998-09-16T00:00:00"/>
    <s v="T141049/FI80798"/>
    <x v="5"/>
    <s v="Állami ösztöndíjas"/>
    <s v="2018/19/1"/>
    <s v="Nappali"/>
    <n v="7"/>
    <n v="1"/>
    <s v="2021/22/2"/>
    <n v="10"/>
    <s v="73443472183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Nő"/>
    <n v="400000"/>
    <s v="vnczviktoria98@gmail.com"/>
    <s v="Havasi Erika Erzsébet"/>
    <n v="8"/>
    <s v="Aktív"/>
    <n v="8"/>
    <n v="8"/>
    <s v="magyar"/>
    <m/>
  </r>
  <r>
    <s v="Garas Gergely"/>
    <s v="G8WFG6"/>
    <s v="Aktív"/>
    <s v="osztatlan tanári [12 félév [angol nyelv és kultúra tanára; történelemtanár és állampolgári ismeretek tanára]]"/>
    <x v="0"/>
    <s v="osztatlan tanárképzés"/>
    <s v="TKK-OTAK-NOHU"/>
    <s v="Szombathely"/>
    <s v="Vas"/>
    <s v="Garas Gergely"/>
    <s v="Magyarország"/>
    <d v="1998-04-14T00:00:00"/>
    <s v="T138194/FI80798"/>
    <x v="5"/>
    <s v="Állami ösztöndíjas"/>
    <s v="2018/19/1"/>
    <s v="Nappali"/>
    <n v="7"/>
    <n v="1"/>
    <s v="2021/22/2"/>
    <n v="10"/>
    <s v="75126992793"/>
    <n v="12"/>
    <x v="3"/>
    <m/>
    <m/>
    <m/>
    <m/>
    <s v="Képzésváltás intézményen belül"/>
    <d v="2020-09-14T00:00:00"/>
    <m/>
    <s v="BDPK-SEK"/>
    <s v="Eke Norbertné"/>
    <d v="2018-07-25T00:00:00"/>
    <d v="2024-07-15T00:00:00"/>
    <n v="500000"/>
    <m/>
    <n v="3"/>
    <s v="Férfi"/>
    <n v="500000"/>
    <s v="garasgergo@gmail.com"/>
    <s v="Fuksz Gabriella"/>
    <n v="4"/>
    <s v="Aktív"/>
    <n v="4"/>
    <n v="8"/>
    <s v="magyar"/>
    <m/>
  </r>
  <r>
    <s v="Schlecht Bence Attila"/>
    <s v="DPMRTB"/>
    <s v="Aktív"/>
    <s v="osztatlan tanári [12 félév [angol nyelv és kultúra tanára; történelemtanár és állampolgári ismeretek tanára]]"/>
    <x v="0"/>
    <s v="osztatlan tanárképzés"/>
    <s v="TKK-OTAK-NOHU"/>
    <s v="Pápa"/>
    <s v="Veszprém"/>
    <s v="Schlecht Bence Attila"/>
    <s v="Magyarország"/>
    <d v="2000-01-13T00:00:00"/>
    <s v="T154588/FI80798"/>
    <x v="5"/>
    <s v="Állami ösztöndíjas"/>
    <s v="2019/20/1"/>
    <s v="Nappali"/>
    <n v="9"/>
    <n v="1"/>
    <s v="2021/22/2"/>
    <n v="10"/>
    <s v="77494963637"/>
    <n v="12"/>
    <x v="3"/>
    <m/>
    <m/>
    <m/>
    <m/>
    <s v="Képzésváltás intézményen belül"/>
    <d v="2019-09-14T00:00:00"/>
    <m/>
    <s v="BDPK-SEK"/>
    <s v="Eke Norbertné"/>
    <d v="2019-07-24T00:00:00"/>
    <d v="2025-07-15T00:00:00"/>
    <n v="500000"/>
    <m/>
    <n v="5"/>
    <s v="Férfi"/>
    <n v="500000"/>
    <s v="schlechtbence7@gmail.com"/>
    <s v="Németh Ildikó"/>
    <n v="6"/>
    <s v="Aktív"/>
    <n v="6"/>
    <n v="6"/>
    <s v="magyar"/>
    <m/>
  </r>
  <r>
    <s v="Vugrinecz Réka"/>
    <s v="BPVAIU"/>
    <s v="Aktív"/>
    <s v="osztatlan tanári [12 félév [angol nyelv és kultúra tanára; történelemtanár és állampolgári ismeretek tanára]]"/>
    <x v="0"/>
    <s v="osztatlan tanárképzés"/>
    <s v="TKK-OTAK-NOHU"/>
    <s v="Zalaegerszeg"/>
    <s v="Zala"/>
    <s v="Vugrinecz Réka"/>
    <s v="Magyarország"/>
    <d v="2000-02-24T00:00:00"/>
    <s v="T151793/FI80798"/>
    <x v="5"/>
    <s v="Állami ösztöndíjas"/>
    <s v="2019/20/1"/>
    <s v="Nappali"/>
    <n v="9"/>
    <n v="1"/>
    <s v="2021/22/2"/>
    <n v="10"/>
    <s v="76130059475"/>
    <n v="12"/>
    <x v="3"/>
    <m/>
    <m/>
    <m/>
    <m/>
    <s v="Képzésváltás intézményen belül"/>
    <d v="2019-09-14T00:00:00"/>
    <m/>
    <s v="BDPK-SEK"/>
    <s v="Eke Norbertné"/>
    <d v="2019-07-24T00:00:00"/>
    <d v="2025-07-15T00:00:00"/>
    <n v="500000"/>
    <m/>
    <n v="5"/>
    <s v="Nő"/>
    <n v="500000"/>
    <s v="vugrineczreka@gmail.com"/>
    <s v="Pais Zita"/>
    <n v="6"/>
    <s v="Aktív"/>
    <n v="6"/>
    <n v="6"/>
    <s v="magyar"/>
    <m/>
  </r>
  <r>
    <s v="Bognár Lili"/>
    <s v="I60U4C"/>
    <s v="Passzív"/>
    <s v="osztatlan tanári [12 félév [angol nyelv és kultúra tanára; történelemtanár és állampolgári ismeretek tanára]]"/>
    <x v="0"/>
    <s v="osztatlan tanárképzés"/>
    <s v="TKK-OTAK-NOHU"/>
    <s v="Kapuvár"/>
    <s v="Győr-Moson-Sopron"/>
    <s v="Bognár Lili"/>
    <s v="Magyarország"/>
    <d v="2000-11-29T00:00:00"/>
    <s v="T150106/FI80798"/>
    <x v="5"/>
    <s v="Állami ösztöndíjas"/>
    <s v="2019/20/1"/>
    <s v="Nappali"/>
    <n v="10"/>
    <n v="1"/>
    <s v="2021/22/1"/>
    <n v="10"/>
    <s v="73680517568"/>
    <n v="12"/>
    <x v="3"/>
    <m/>
    <m/>
    <m/>
    <m/>
    <s v="Képzésváltás intézményen belül"/>
    <d v="2019-09-14T00:00:00"/>
    <m/>
    <s v="BDPK-SEK"/>
    <s v="Eke Norbertné"/>
    <d v="2019-07-24T00:00:00"/>
    <d v="2026-07-15T00:00:00"/>
    <n v="500000"/>
    <m/>
    <n v="5"/>
    <s v="Nő"/>
    <n v="500000"/>
    <s v="bognarlili0@gmail.com"/>
    <s v="Boros Márta"/>
    <n v="5"/>
    <s v="Passzív"/>
    <n v="5"/>
    <n v="5"/>
    <s v="magyar"/>
    <m/>
  </r>
  <r>
    <s v="Horváth Zsófia Petra"/>
    <s v="ZXAT26"/>
    <s v="Aktív"/>
    <s v="osztatlan tanári [12 félév [angol nyelv és kultúra tanára; történelemtanár és állampolgári ismeretek tanára]]"/>
    <x v="0"/>
    <s v="osztatlan tanárképzés"/>
    <s v="TKK-OTAK-NOHU"/>
    <s v="Körmend"/>
    <s v="Vas"/>
    <s v="Horváth Zsófia Petra"/>
    <s v="Magyarország"/>
    <d v="2000-09-14T00:00:00"/>
    <s v="T150038/FI80798"/>
    <x v="5"/>
    <s v="Állami ösztöndíjas"/>
    <s v="2019/20/1"/>
    <s v="Nappali"/>
    <n v="9"/>
    <n v="1"/>
    <s v="2021/22/2"/>
    <n v="10"/>
    <s v="73920145217"/>
    <n v="12"/>
    <x v="3"/>
    <m/>
    <m/>
    <m/>
    <m/>
    <s v="Képzésváltás intézményen belül"/>
    <d v="2019-09-14T00:00:00"/>
    <m/>
    <s v="BDPK-SEK"/>
    <s v="Eke Norbertné"/>
    <d v="2019-07-24T00:00:00"/>
    <d v="2025-07-15T00:00:00"/>
    <n v="500000"/>
    <m/>
    <n v="5"/>
    <s v="Nő"/>
    <n v="500000"/>
    <s v="zsofia914@gmail.com"/>
    <s v="Németh Andrea"/>
    <n v="6"/>
    <s v="Aktív"/>
    <n v="6"/>
    <n v="6"/>
    <s v="magyar"/>
    <m/>
  </r>
  <r>
    <s v="Kucska Vanessza"/>
    <s v="C2V0LF"/>
    <s v="Aktív"/>
    <s v="osztatlan tanári [12 félév [angol nyelv és kultúra tanára; történelemtanár és állampolgári ismeretek tanára]]"/>
    <x v="0"/>
    <s v="osztatlan tanárképzés"/>
    <s v="TKK-OTAK-NOHU"/>
    <s v="Ajka"/>
    <s v="Veszprém"/>
    <s v="Kucska Vanessza"/>
    <s v="Magyarország"/>
    <d v="1999-12-06T00:00:00"/>
    <s v="T148382/FI80798"/>
    <x v="5"/>
    <s v="Állami ösztöndíjas"/>
    <s v="2019/20/1"/>
    <s v="Nappali"/>
    <n v="9"/>
    <n v="1"/>
    <s v="2021/22/2"/>
    <n v="10"/>
    <s v="74984120971"/>
    <n v="12"/>
    <x v="3"/>
    <m/>
    <m/>
    <m/>
    <m/>
    <s v="Képzésváltás intézményen belül"/>
    <d v="2019-09-14T00:00:00"/>
    <m/>
    <s v="BDPK-SEK"/>
    <s v="Eke Norbertné"/>
    <d v="2019-07-24T00:00:00"/>
    <d v="2025-06-30T00:00:00"/>
    <n v="500000"/>
    <m/>
    <n v="5"/>
    <s v="Nő"/>
    <n v="500000"/>
    <s v="nessza199@gmail.com"/>
    <s v="Simon Bernadett"/>
    <n v="6"/>
    <s v="Aktív"/>
    <n v="6"/>
    <n v="6"/>
    <s v="magyar"/>
    <m/>
  </r>
  <r>
    <s v="Koppány Márk"/>
    <s v="AZWGGI"/>
    <s v="Aktív"/>
    <s v="osztatlan tanári [12 félév [angol nyelv és kultúra tanára; történelemtanár és állampolgári ismeretek tanára]]"/>
    <x v="0"/>
    <s v="osztatlan tanárképzés"/>
    <s v="TKK-OTAK-NOHU"/>
    <s v="Nagyatád"/>
    <s v="Somogy"/>
    <s v="Koppány Márk"/>
    <s v="Magyarország"/>
    <d v="2000-01-25T00:00:00"/>
    <s v="T152775/FI80798"/>
    <x v="5"/>
    <s v="Állami ösztöndíjas"/>
    <s v="2019/20/1"/>
    <s v="Nappali"/>
    <n v="9"/>
    <n v="1"/>
    <s v="2021/22/2"/>
    <n v="10"/>
    <s v="73964781030"/>
    <n v="12"/>
    <x v="3"/>
    <m/>
    <m/>
    <m/>
    <m/>
    <s v="Képzésváltás intézményen belül"/>
    <d v="2019-09-14T00:00:00"/>
    <m/>
    <s v="BDPK-SEK"/>
    <s v="Eke Norbertné"/>
    <d v="2019-07-24T00:00:00"/>
    <d v="2025-07-15T00:00:00"/>
    <n v="500000"/>
    <m/>
    <n v="5"/>
    <s v="Férfi"/>
    <n v="500000"/>
    <s v="mark0125km@gmail.com"/>
    <s v="Miklós Diána"/>
    <n v="6"/>
    <s v="Aktív"/>
    <n v="6"/>
    <n v="6"/>
    <s v="magyar"/>
    <m/>
  </r>
  <r>
    <s v="Nagy Gábor"/>
    <s v="D3RCKM"/>
    <s v="Aktív"/>
    <s v="osztatlan tanári [12 félév [angol nyelv és kultúra tanára; történelemtanár és állampolgári ismeretek tanára]]"/>
    <x v="0"/>
    <s v="osztatlan tanárképzés"/>
    <s v="TKK-OTAK-NOHU"/>
    <s v="Szombathely"/>
    <s v="Vas"/>
    <s v="Nagy Gábor"/>
    <s v="Magyarország"/>
    <d v="1999-11-06T00:00:00"/>
    <s v="T153022/FI80798"/>
    <x v="5"/>
    <s v="Állami ösztöndíjas"/>
    <s v="2019/20/1"/>
    <s v="Nappali"/>
    <n v="9"/>
    <n v="1"/>
    <s v="2021/22/2"/>
    <n v="10"/>
    <s v="77890709320"/>
    <n v="12"/>
    <x v="3"/>
    <m/>
    <m/>
    <m/>
    <m/>
    <s v="Képzésváltás intézményen belül"/>
    <d v="2019-09-14T00:00:00"/>
    <m/>
    <s v="BDPK-SEK"/>
    <s v="Eke Norbertné"/>
    <d v="2019-07-24T00:00:00"/>
    <d v="2025-07-15T00:00:00"/>
    <n v="500000"/>
    <m/>
    <n v="5"/>
    <s v="Férfi"/>
    <n v="500000"/>
    <s v="nagygabor991106@gmail.com"/>
    <s v="Burkon Andrea"/>
    <n v="6"/>
    <s v="Aktív"/>
    <n v="6"/>
    <n v="6"/>
    <s v="magyar"/>
    <m/>
  </r>
  <r>
    <s v="Takács Marcell"/>
    <s v="IJ744N"/>
    <s v="Aktív"/>
    <s v="osztatlan tanári [12 félév [angol nyelv és kultúra tanára; történelemtanár és állampolgári ismeretek tanára]]"/>
    <x v="0"/>
    <s v="osztatlan tanárképzés"/>
    <s v="TKK-OTAK-NOHU"/>
    <s v="Győr"/>
    <s v="Győr-Moson-Sopron"/>
    <s v="Takács Marcell"/>
    <s v="Magyarország"/>
    <d v="2001-04-11T00:00:00"/>
    <s v="T179759/FI80798"/>
    <x v="5"/>
    <s v="Állami ösztöndíjas"/>
    <s v="2021/22/1"/>
    <s v="Nappali"/>
    <n v="13"/>
    <n v="1"/>
    <s v="2021/22/2"/>
    <n v="10"/>
    <s v="71606808031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Férfi"/>
    <n v="500000"/>
    <s v="takacs.marcell.2001@gmail.com"/>
    <s v="Takács Bernadett"/>
    <n v="2"/>
    <s v="Aktív"/>
    <n v="2"/>
    <n v="2"/>
    <s v="magyar"/>
    <m/>
  </r>
  <r>
    <s v="Meskó Krisztián"/>
    <s v="FWEQAE"/>
    <s v="Aktív"/>
    <s v="osztatlan tanári [12 félév [angol nyelv és kultúra tanára; történelemtanár és állampolgári ismeretek tanára]]"/>
    <x v="0"/>
    <s v="osztatlan tanárképzés"/>
    <s v="TKK-OTAK-NOHU"/>
    <s v="Tapolca"/>
    <s v="Veszprém"/>
    <s v="Meskó Krisztián"/>
    <s v="Magyarország"/>
    <d v="2000-07-18T00:00:00"/>
    <s v="T163741/FI80798"/>
    <x v="5"/>
    <s v="Állami ösztöndíjas"/>
    <s v="2020/21/1"/>
    <s v="Nappali"/>
    <n v="11"/>
    <n v="1"/>
    <s v="2021/22/2"/>
    <n v="10"/>
    <s v="78141089627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Férfi"/>
    <n v="500000"/>
    <s v="kismesko031@gmail.com"/>
    <s v="Feiler Viktória"/>
    <n v="4"/>
    <s v="Aktív"/>
    <n v="4"/>
    <n v="4"/>
    <s v="magyar"/>
    <m/>
  </r>
  <r>
    <s v="Kovács Marcell János"/>
    <s v="EA2R41"/>
    <s v="Aktív"/>
    <s v="osztatlan tanári [12 félév [angol nyelv és kultúra tanára; történelemtanár és állampolgári ismeretek tanára]]"/>
    <x v="0"/>
    <s v="osztatlan tanárképzés"/>
    <s v="TKK-OTAK-NOHU"/>
    <s v="Győr"/>
    <s v="Győr-Moson-Sopron"/>
    <s v="Kovács Marcell János"/>
    <s v="Magyarország"/>
    <d v="2000-05-18T00:00:00"/>
    <s v="T162548/FI80798"/>
    <x v="5"/>
    <s v="Állami ösztöndíjas"/>
    <s v="2020/21/1"/>
    <s v="Nappali"/>
    <n v="11"/>
    <n v="1"/>
    <s v="2021/22/2"/>
    <n v="10"/>
    <s v="73832511328"/>
    <n v="12"/>
    <x v="3"/>
    <m/>
    <m/>
    <m/>
    <m/>
    <s v="Képzésváltás intézményen belül"/>
    <d v="2021-09-01T00:00:00"/>
    <m/>
    <s v="BDPK-SEK"/>
    <s v="Eke Norbertné"/>
    <d v="2020-07-23T00:00:00"/>
    <d v="2026-07-15T00:00:00"/>
    <n v="500000"/>
    <m/>
    <n v="1"/>
    <s v="Férfi"/>
    <n v="500000"/>
    <s v="kovacs.marcell05181@gmail.com"/>
    <s v="Elek Eszter"/>
    <n v="2"/>
    <s v="Aktív"/>
    <n v="2"/>
    <n v="4"/>
    <s v="magyar"/>
    <m/>
  </r>
  <r>
    <s v="Takács Viktória Mónika"/>
    <s v="ZYAGGE"/>
    <s v="Aktív"/>
    <s v="osztatlan tanári [12 félév [angol nyelv és kultúra tanára; történelemtanár és állampolgári ismeretek tanára]]"/>
    <x v="0"/>
    <s v="osztatlan tanárképzés"/>
    <s v="TKK-OTAK-NOHU"/>
    <s v="Szombathely"/>
    <s v="Vas"/>
    <s v="Takács Viktória Mónika"/>
    <s v="Magyarország"/>
    <d v="2000-03-26T00:00:00"/>
    <s v="T166021/FI80798"/>
    <x v="5"/>
    <s v="Állami ösztöndíjas"/>
    <s v="2020/21/1"/>
    <s v="Nappali"/>
    <n v="11"/>
    <n v="1"/>
    <s v="2021/22/2"/>
    <n v="10"/>
    <s v="72125099285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Nő"/>
    <n v="500000"/>
    <s v="vikitkcs@gmail.com"/>
    <s v="Csejtei Mónika Rita"/>
    <n v="4"/>
    <s v="Aktív"/>
    <n v="4"/>
    <n v="4"/>
    <s v="magyar"/>
    <m/>
  </r>
  <r>
    <s v="Kánai Csenge Anna"/>
    <s v="I32O51"/>
    <s v="Aktív"/>
    <s v="osztatlan tanári [12 félév [angol nyelv és kultúra tanára; történelemtanár és állampolgári ismeretek tanára]]"/>
    <x v="0"/>
    <s v="osztatlan tanárképzés"/>
    <s v="TKK-OTAK-NOHU"/>
    <s v="Győr"/>
    <s v="Győr-Moson-Sopron"/>
    <s v="Kánai Csenge Anna"/>
    <s v="Magyarország"/>
    <d v="2002-04-22T00:00:00"/>
    <s v="T161387/FI80798"/>
    <x v="5"/>
    <s v="Állami ösztöndíjas"/>
    <s v="2020/21/1"/>
    <s v="Nappali"/>
    <n v="11"/>
    <n v="1"/>
    <s v="2021/22/2"/>
    <n v="10"/>
    <s v="71620951127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Nő"/>
    <n v="500000"/>
    <s v="anna04022224@gmail.com"/>
    <s v="Futó Ágnes"/>
    <n v="4"/>
    <s v="Aktív"/>
    <n v="4"/>
    <n v="4"/>
    <s v="magyar"/>
    <m/>
  </r>
  <r>
    <s v="Tóth Krisztina"/>
    <s v="E2EZE8"/>
    <s v="Aktív"/>
    <s v="osztatlan tanári [12 félév [angol nyelv és kultúra tanára; történelemtanár és állampolgári ismeretek tanára]]"/>
    <x v="0"/>
    <s v="osztatlan tanárképzés"/>
    <s v="TKK-OTAK-NOHU"/>
    <s v="Ajka"/>
    <s v="Veszprém"/>
    <s v="Tóth Krisztina"/>
    <s v="Magyarország"/>
    <d v="2001-10-07T00:00:00"/>
    <s v="T162346/FI80798"/>
    <x v="5"/>
    <s v="Állami ösztöndíjas"/>
    <s v="2020/21/1"/>
    <s v="Nappali"/>
    <n v="11"/>
    <n v="1"/>
    <s v="2021/22/2"/>
    <n v="10"/>
    <s v="71638033246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Nő"/>
    <n v="500000"/>
    <s v="tothchristina69@gmail.com"/>
    <s v="Vad Eszter"/>
    <n v="4"/>
    <s v="Aktív"/>
    <n v="4"/>
    <n v="4"/>
    <s v="magyar"/>
    <m/>
  </r>
  <r>
    <s v="Mészáros Viktória Alexandra"/>
    <s v="CAAS54"/>
    <s v="Aktív"/>
    <s v="osztatlan tanári [12 félév [angol nyelv és kultúra tanára; történelemtanár és állampolgári ismeretek tanára]]"/>
    <x v="0"/>
    <s v="osztatlan tanárképzés"/>
    <s v="TKK-OTAK-NOHU"/>
    <s v="Szombathely"/>
    <s v="Vas"/>
    <s v="Mészáros Viktória Alexandra"/>
    <s v="Magyarország"/>
    <d v="2001-06-13T00:00:00"/>
    <s v="T168292/FI80798"/>
    <x v="5"/>
    <s v="Állami ösztöndíjas"/>
    <s v="2020/21/1"/>
    <s v="Nappali"/>
    <n v="11"/>
    <n v="1"/>
    <s v="2021/22/2"/>
    <n v="10"/>
    <s v="71518409645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Nő"/>
    <n v="500000"/>
    <s v="viki.gencs@freemail.hu"/>
    <s v="Szanyi Krisztina Éva"/>
    <n v="4"/>
    <s v="Aktív"/>
    <n v="4"/>
    <n v="4"/>
    <s v="magyar"/>
    <m/>
  </r>
  <r>
    <s v="Szabó Júlia"/>
    <s v="XB8Z43"/>
    <s v="Aktív"/>
    <s v="osztatlan tanári [12 félév [angol nyelv és kultúra tanára; történelemtanár és állampolgári ismeretek tanára]]"/>
    <x v="0"/>
    <s v="osztatlan tanárképzés"/>
    <s v="TKK-OTAK-NOHU"/>
    <s v="Szombathely"/>
    <s v="Vas"/>
    <s v="Szabó Júlia"/>
    <s v="Magyarország"/>
    <d v="2002-05-16T00:00:00"/>
    <s v="T163790/FI80798"/>
    <x v="5"/>
    <s v="Állami ösztöndíjas"/>
    <s v="2020/21/1"/>
    <s v="Nappali"/>
    <n v="11"/>
    <n v="1"/>
    <s v="2021/22/2"/>
    <n v="10"/>
    <s v="71465606655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Nő"/>
    <n v="500000"/>
    <s v="julcsi516@gmail.com"/>
    <s v="Vajda Erika"/>
    <n v="4"/>
    <s v="Aktív"/>
    <n v="4"/>
    <n v="4"/>
    <s v="magyar"/>
    <m/>
  </r>
  <r>
    <s v="Sas Eszter Brigitta"/>
    <s v="CJ0ZV3"/>
    <s v="Aktív"/>
    <s v="osztatlan tanári [12 félév [angol nyelv és kultúra tanára; történelemtanár és állampolgári ismeretek tanára]]"/>
    <x v="0"/>
    <s v="osztatlan tanárképzés"/>
    <s v="TKK-OTAK-NOHU"/>
    <s v="Kapuvár"/>
    <s v="Győr-Moson-Sopron"/>
    <s v="Sas Eszter Brigitta"/>
    <s v="Magyarország"/>
    <d v="2002-07-25T00:00:00"/>
    <s v="T163391/FI80798"/>
    <x v="5"/>
    <s v="Állami ösztöndíjas"/>
    <s v="2020/21/1"/>
    <s v="Nappali"/>
    <n v="11"/>
    <n v="1"/>
    <s v="2021/22/2"/>
    <n v="10"/>
    <s v="71589482690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Nő"/>
    <n v="500000"/>
    <s v="saseszti02@gmail.com"/>
    <s v="Bernát Márta"/>
    <n v="4"/>
    <s v="Aktív"/>
    <n v="4"/>
    <n v="4"/>
    <s v="magyar"/>
    <m/>
  </r>
  <r>
    <s v="Varga Vivien"/>
    <s v="Y9XW88"/>
    <s v="Aktív"/>
    <s v="osztatlan tanári [12 félév [angol nyelv és kultúra tanára; történelemtanár és állampolgári ismeretek tanára]]"/>
    <x v="0"/>
    <s v="osztatlan tanárképzés"/>
    <s v="TKK-OTAK-NOHU"/>
    <s v="Zalaegerszeg"/>
    <s v="Zala"/>
    <s v="Varga Vivien"/>
    <s v="Magyarország"/>
    <d v="2001-11-24T00:00:00"/>
    <s v="T164609/FI80798"/>
    <x v="5"/>
    <s v="Állami ösztöndíjas"/>
    <s v="2020/21/1"/>
    <s v="Nappali"/>
    <n v="11"/>
    <n v="1"/>
    <s v="2021/22/2"/>
    <n v="10"/>
    <s v="71466615040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Nő"/>
    <n v="500000"/>
    <s v="vargavivien1124@gmail.com"/>
    <s v="Ágh Judit"/>
    <n v="4"/>
    <s v="Aktív"/>
    <n v="4"/>
    <n v="4"/>
    <s v="magyar"/>
    <m/>
  </r>
  <r>
    <s v="Fekete Kata"/>
    <s v="QW1GZP"/>
    <s v="Aktív"/>
    <s v="osztatlan tanári [12 félév [angol nyelv és kultúra tanára; történelemtanár és állampolgári ismeretek tanára]]"/>
    <x v="0"/>
    <s v="osztatlan tanárképzés"/>
    <s v="TKK-OTAK-NOHU"/>
    <s v="Pápa"/>
    <s v="Veszprém"/>
    <s v="Fekete Kata"/>
    <s v="Magyarország"/>
    <d v="2001-06-16T00:00:00"/>
    <s v="T182660/FI80798"/>
    <x v="5"/>
    <s v="Állami ösztöndíjas"/>
    <s v="2021/22/1"/>
    <s v="Nappali"/>
    <n v="13"/>
    <n v="1"/>
    <s v="2021/22/2"/>
    <n v="10"/>
    <s v="71629768616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Nő"/>
    <n v="500000"/>
    <s v="fekete.kata16@gmail.com"/>
    <s v="Földi Judit"/>
    <n v="2"/>
    <s v="Aktív"/>
    <n v="2"/>
    <n v="2"/>
    <s v="magyar"/>
    <m/>
  </r>
  <r>
    <s v="Iván Kristóf"/>
    <s v="IENF7L"/>
    <s v="Aktív"/>
    <s v="osztatlan tanári [12 félév [angol nyelv és kultúra tanára; történelemtanár és állampolgári ismeretek tanára]]"/>
    <x v="0"/>
    <s v="osztatlan tanárképzés"/>
    <s v="TKK-OTAK-NOHU"/>
    <s v="Sopron"/>
    <s v="Győr-Moson-Sopron"/>
    <s v="Iván Kristóf"/>
    <s v="Magyarország"/>
    <d v="2002-01-16T00:00:00"/>
    <s v="T182132/FI80798"/>
    <x v="5"/>
    <s v="Állami ösztöndíjas"/>
    <s v="2021/22/1"/>
    <s v="Nappali"/>
    <n v="13"/>
    <n v="1"/>
    <s v="2021/22/2"/>
    <n v="10"/>
    <s v="71518348156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Férfi"/>
    <n v="500000"/>
    <s v="ivankristof25@gmail.com"/>
    <s v="Borsodi Éva"/>
    <n v="2"/>
    <s v="Aktív"/>
    <n v="2"/>
    <n v="2"/>
    <s v="magyar"/>
    <m/>
  </r>
  <r>
    <s v="Tóth Bettina Anna"/>
    <s v="C8YQ8H"/>
    <s v="Aktív"/>
    <s v="osztatlan tanári [12 félév [angol nyelv és kultúra tanára; történelemtanár és állampolgári ismeretek tanára]]"/>
    <x v="0"/>
    <s v="osztatlan tanárképzés"/>
    <s v="TKK-OTAK-NOHU"/>
    <s v="Győr"/>
    <s v="Győr-Moson-Sopron"/>
    <s v="Tóth Bettina Anna"/>
    <s v="Magyarország"/>
    <d v="2003-02-03T00:00:00"/>
    <s v="T181584/FI80798"/>
    <x v="5"/>
    <s v="Állami ösztöndíjas"/>
    <s v="2021/22/1"/>
    <s v="Nappali"/>
    <n v="13"/>
    <n v="1"/>
    <s v="2021/22/2"/>
    <n v="10"/>
    <s v="72148866162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Nő"/>
    <n v="500000"/>
    <s v="bettitoth0203@gmail.com"/>
    <s v="Nagy Judit"/>
    <n v="2"/>
    <s v="Aktív"/>
    <n v="2"/>
    <n v="2"/>
    <s v="magyar"/>
    <m/>
  </r>
  <r>
    <s v="Jandrasics Eszter"/>
    <s v="AF9DHC"/>
    <s v="Aktív"/>
    <s v="osztatlan tanári [12 félév [angol nyelv és kultúra tanára; történelemtanár és állampolgári ismeretek tanára]]"/>
    <x v="0"/>
    <s v="osztatlan tanárképzés"/>
    <s v="TKK-OTAK-NOHU"/>
    <s v="Körmend"/>
    <s v="Vas"/>
    <s v="Jandrasics Eszter"/>
    <s v="Magyarország"/>
    <d v="2002-06-28T00:00:00"/>
    <s v="T180343/FI80798"/>
    <x v="5"/>
    <s v="Állami ösztöndíjas"/>
    <s v="2021/22/1"/>
    <s v="Nappali"/>
    <n v="13"/>
    <n v="1"/>
    <s v="2021/22/2"/>
    <n v="10"/>
    <s v="72143918186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Nő"/>
    <n v="500000"/>
    <s v="jandrasicse@gmail.com"/>
    <s v="Németh Anita"/>
    <n v="2"/>
    <s v="Aktív"/>
    <n v="2"/>
    <n v="2"/>
    <s v="magyar"/>
    <m/>
  </r>
  <r>
    <s v="Unger Enikő Hedvig"/>
    <s v="EZ4XU7"/>
    <s v="Aktív"/>
    <s v="osztatlan tanári [12 félév [angol nyelv és kultúra tanára; történelemtanár és állampolgári ismeretek tanára]]"/>
    <x v="0"/>
    <s v="osztatlan tanárképzés"/>
    <s v="TKK-OTAK-NOHU"/>
    <s v="Szombathely"/>
    <s v="Vas"/>
    <s v="Unger Enikő Hedvig"/>
    <s v="Magyarország"/>
    <d v="2000-06-10T00:00:00"/>
    <s v="T181042/FI80798"/>
    <x v="5"/>
    <s v="Állami ösztöndíjas"/>
    <s v="2021/22/1"/>
    <s v="Nappali"/>
    <n v="13"/>
    <n v="1"/>
    <s v="2021/22/2"/>
    <n v="10"/>
    <s v="72583118740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Nő"/>
    <n v="500000"/>
    <s v="ungere10@gmail.com"/>
    <s v="Németh Hedvig"/>
    <n v="2"/>
    <s v="Aktív"/>
    <n v="2"/>
    <n v="2"/>
    <s v="magyar"/>
    <m/>
  </r>
  <r>
    <s v="Marton Vivien"/>
    <s v="QS2SHK"/>
    <s v="Aktív"/>
    <s v="osztatlan tanári [12 félév [angol nyelv és kultúra tanára; történelemtanár és állampolgári ismeretek tanára]]"/>
    <x v="0"/>
    <s v="osztatlan tanárképzés"/>
    <s v="TKK-OTAK-NOHU"/>
    <s v="Zalaegerszeg"/>
    <s v="Zala"/>
    <s v="Marton Vivien"/>
    <s v="Magyarország"/>
    <d v="2003-02-26T00:00:00"/>
    <s v="T179635/FI80798"/>
    <x v="5"/>
    <s v="Állami ösztöndíjas"/>
    <s v="2021/22/1"/>
    <s v="Nappali"/>
    <n v="13"/>
    <n v="1"/>
    <s v="2021/22/2"/>
    <n v="10"/>
    <s v="72144353561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Nő"/>
    <n v="500000"/>
    <s v="martonvivi26@gmail.com"/>
    <s v="Biczó Nóra"/>
    <n v="2"/>
    <s v="Aktív"/>
    <n v="2"/>
    <n v="2"/>
    <s v="magyar"/>
    <m/>
  </r>
  <r>
    <s v="Frühvirth Martin"/>
    <s v="F4YZTF"/>
    <s v="Aktív"/>
    <s v="osztatlan tanári [12 félév [angol nyelv és kultúra tanára; történelemtanár és állampolgári ismeretek tanára]]"/>
    <x v="0"/>
    <s v="osztatlan tanárképzés"/>
    <s v="TKK-OTAK-NOHU"/>
    <s v="Körmend"/>
    <s v="Vas"/>
    <s v="Frühvirth Martin"/>
    <s v="Magyarország"/>
    <d v="2003-01-25T00:00:00"/>
    <s v="T183939/FI80798"/>
    <x v="5"/>
    <s v="Állami ösztöndíjas"/>
    <s v="2021/22/1"/>
    <s v="Nappali"/>
    <n v="13"/>
    <n v="1"/>
    <s v="2021/22/2"/>
    <n v="10"/>
    <s v="72146966365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Férfi"/>
    <n v="500000"/>
    <s v="fruhmar1@gmail.com"/>
    <s v="Németi Orsolya"/>
    <n v="2"/>
    <s v="Aktív"/>
    <n v="2"/>
    <n v="2"/>
    <s v="magyar"/>
    <m/>
  </r>
  <r>
    <s v="Horváth Liliána Lilla"/>
    <s v="H010TM"/>
    <s v="Aktív"/>
    <s v="osztatlan tanári [12 félév [biológiatanár (egészségtan) (természettudományi gyakorlatok); német nyelv és kultúra tanára]]"/>
    <x v="1"/>
    <s v="osztatlan tanárképzés"/>
    <s v="TKK-OTAK-NOHU"/>
    <s v="Zalaegerszeg"/>
    <s v="Zala"/>
    <s v="Horváth Liliána Lilla"/>
    <s v="Magyarország"/>
    <d v="2001-12-18T00:00:00"/>
    <s v="T164761/FI80798"/>
    <x v="5"/>
    <s v="Állami ösztöndíjas"/>
    <s v="2020/21/1"/>
    <s v="Nappali"/>
    <n v="11"/>
    <n v="1"/>
    <s v="2021/22/2"/>
    <n v="10"/>
    <s v="71603030311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Nő"/>
    <n v="500000"/>
    <s v="misilyly01@gmail.com"/>
    <s v="Major Beáta"/>
    <n v="4"/>
    <s v="Aktív"/>
    <n v="4"/>
    <n v="4"/>
    <s v="magyar"/>
    <m/>
  </r>
  <r>
    <s v="Temesi Márton"/>
    <s v="VMN2IC"/>
    <s v="Aktív"/>
    <s v="osztatlan tanári [12 félév [biológiatanár (egészségtan) (természettudományi gyakorlatok); testnevelő tanár]]"/>
    <x v="1"/>
    <s v="osztatlan tanárképzés"/>
    <s v="TKK-OTAK-NOHU"/>
    <s v="Veszprém"/>
    <s v="Veszprém"/>
    <s v="Temesi Márton"/>
    <s v="Magyarország"/>
    <d v="2001-06-16T00:00:00"/>
    <s v="T168069/FI80798"/>
    <x v="5"/>
    <s v="Állami ösztöndíjas"/>
    <s v="2020/21/1"/>
    <s v="Nappali"/>
    <n v="11"/>
    <n v="1"/>
    <s v="2021/22/2"/>
    <n v="10"/>
    <s v="71592081503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Férfi"/>
    <n v="500000"/>
    <s v="temesi.marton@gmail.com"/>
    <s v="Kiss Marietta"/>
    <n v="4"/>
    <s v="Aktív"/>
    <n v="4"/>
    <n v="4"/>
    <s v="magyar"/>
    <m/>
  </r>
  <r>
    <s v="Nagy Amanda Kira"/>
    <s v="XS2DXR"/>
    <s v="Aktív"/>
    <s v="osztatlan tanári [12 félév [biológiatanár (egészségtan); matematikatanár]]"/>
    <x v="1"/>
    <s v="osztatlan tanárképzés"/>
    <s v="TKK-OTAK-NOHU"/>
    <s v="Debrecen"/>
    <s v="Hajdú-Bihar"/>
    <s v="Nagy Amanda Kira"/>
    <s v="Magyarország"/>
    <d v="1995-04-12T00:00:00"/>
    <s v="T143984/FI80798"/>
    <x v="5"/>
    <s v="Állami ösztöndíjas"/>
    <s v="2018/19/1"/>
    <s v="Nappali"/>
    <n v="6"/>
    <n v="1"/>
    <s v="2021/22/2"/>
    <n v="10"/>
    <s v="76955662045"/>
    <n v="12"/>
    <x v="3"/>
    <m/>
    <m/>
    <m/>
    <m/>
    <s v="Képzésváltás intézményen belül"/>
    <d v="2021-02-03T00:00:00"/>
    <m/>
    <s v="BDPK-SEK"/>
    <s v="Eke Norbertné"/>
    <d v="2018-07-25T00:00:00"/>
    <d v="2024-07-15T00:00:00"/>
    <m/>
    <m/>
    <n v="2"/>
    <s v="Nő"/>
    <n v="300000"/>
    <s v="amandanagy@citromail.hu"/>
    <s v="Győrösi Viktória"/>
    <n v="3"/>
    <s v="Aktív"/>
    <n v="3"/>
    <n v="8"/>
    <s v="magyar"/>
    <m/>
  </r>
  <r>
    <s v="Pintér Gréta Anna"/>
    <s v="I20O2H"/>
    <s v="Aktív"/>
    <s v="osztatlan tanári [12 félév [biológiatanár (egészségtan); matematikatanár]]"/>
    <x v="1"/>
    <s v="osztatlan tanárképzés"/>
    <s v="TKK-OTAK-NOHU"/>
    <s v="Szombathely"/>
    <s v="Vas"/>
    <s v="Pintér Gréta Anna"/>
    <s v="Magyarország"/>
    <d v="1999-06-25T00:00:00"/>
    <s v="T135499/FI80798"/>
    <x v="5"/>
    <s v="Állami ösztöndíjas"/>
    <s v="2018/19/1"/>
    <s v="Nappali"/>
    <n v="7"/>
    <n v="1"/>
    <s v="2021/22/2"/>
    <n v="10"/>
    <s v="78958296610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Nő"/>
    <n v="400000"/>
    <s v="gretosz9@gmail.com"/>
    <s v="Sági Anita"/>
    <n v="8"/>
    <s v="Aktív"/>
    <n v="8"/>
    <n v="8"/>
    <s v="magyar"/>
    <m/>
  </r>
  <r>
    <s v="Imre Nadin Luca"/>
    <s v="SCL0QP"/>
    <s v="Aktív"/>
    <s v="osztatlan tanári [12 félév [biológiatanár (egészségtan); matematikatanár]]"/>
    <x v="1"/>
    <s v="osztatlan tanárképzés"/>
    <s v="TKK-OTAK-NOHU"/>
    <s v="Wien"/>
    <m/>
    <s v="Imre Nadin Luca"/>
    <s v="Ausztria"/>
    <d v="1999-01-01T00:00:00"/>
    <s v="T148562/FI80798"/>
    <x v="5"/>
    <s v="Állami ösztöndíjas"/>
    <s v="2019/20/1"/>
    <s v="Nappali"/>
    <n v="9"/>
    <n v="1"/>
    <s v="2021/22/2"/>
    <n v="10"/>
    <s v="79638566679"/>
    <n v="12"/>
    <x v="3"/>
    <m/>
    <m/>
    <m/>
    <m/>
    <s v="Képzésváltás intézményen belül"/>
    <d v="2019-09-14T00:00:00"/>
    <m/>
    <s v="BDPK-SEK"/>
    <s v="Eke Norbertné"/>
    <d v="2019-07-24T00:00:00"/>
    <d v="2025-06-30T00:00:00"/>
    <n v="500000"/>
    <m/>
    <n v="5"/>
    <s v="Nő"/>
    <n v="500000"/>
    <s v="nadin.luca@gmail.com"/>
    <s v="Bokor Edina Judit"/>
    <n v="6"/>
    <s v="Aktív"/>
    <n v="6"/>
    <n v="6"/>
    <s v="magyar"/>
    <m/>
  </r>
  <r>
    <s v="Hegyi Aliz"/>
    <s v="T748NC"/>
    <s v="Aktív"/>
    <s v="osztatlan tanári [12 félév [biológiatanár (egészségtan); matematikatanár]]"/>
    <x v="1"/>
    <s v="osztatlan tanárképzés"/>
    <s v="TKK-OTAK-NOHU"/>
    <s v="Győr"/>
    <s v="Győr-Moson-Sopron"/>
    <s v="Hegyi Aliz"/>
    <s v="Magyarország"/>
    <d v="2001-06-20T00:00:00"/>
    <s v="T180655/FI80798"/>
    <x v="5"/>
    <s v="Állami ösztöndíjas"/>
    <s v="2021/22/1"/>
    <s v="Nappali"/>
    <n v="13"/>
    <n v="1"/>
    <s v="2021/22/2"/>
    <n v="10"/>
    <s v="71598510032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Nő"/>
    <n v="500000"/>
    <s v="haliz54321@gmail.com"/>
    <s v="Friedmann Edina"/>
    <n v="2"/>
    <s v="Aktív"/>
    <n v="2"/>
    <n v="2"/>
    <s v="magyar"/>
    <m/>
  </r>
  <r>
    <s v="Szeleczky Vivien"/>
    <s v="H7S0M1"/>
    <s v="Passzív"/>
    <s v="osztatlan tanári [12 félév [biológiatanár (egészségtan); német nyelv és kultúra tanára]]"/>
    <x v="1"/>
    <s v="osztatlan tanárképzés"/>
    <s v="TKK-OTAK-NOHU"/>
    <s v="Mosonmagyaróvár"/>
    <s v="Győr-Moson-Sopron"/>
    <s v="Szeleczky Vivien"/>
    <s v="Magyarország"/>
    <d v="2002-07-03T00:00:00"/>
    <s v="T186119/FI80798"/>
    <x v="5"/>
    <s v="Állami ösztöndíjas"/>
    <s v="2021/22/1"/>
    <s v="Nappali"/>
    <n v="14"/>
    <n v="1"/>
    <s v="2021/22/1"/>
    <n v="10"/>
    <s v="72159794301"/>
    <n v="12"/>
    <x v="3"/>
    <m/>
    <m/>
    <m/>
    <m/>
    <s v="Képzésváltás intézményen belül"/>
    <d v="2021-09-13T00:00:00"/>
    <m/>
    <s v="BDPK-SEK"/>
    <s v="Eke Norbertné"/>
    <d v="2021-07-23T00:00:00"/>
    <d v="2028-07-15T00:00:00"/>
    <n v="500000"/>
    <m/>
    <n v="1"/>
    <s v="Nő"/>
    <n v="500000"/>
    <s v="sz.vivi0703@gmail.com"/>
    <s v="Horváth Ivetta"/>
    <n v="1"/>
    <s v="Passzív"/>
    <n v="1"/>
    <n v="1"/>
    <s v="magyar"/>
    <m/>
  </r>
  <r>
    <s v="Papp Richárd"/>
    <s v="BXHU22"/>
    <s v="Aktív"/>
    <s v="osztatlan tanári [12 félév [biológiatanár (egészségtan); testnevelő tanár]]"/>
    <x v="1"/>
    <s v="osztatlan tanárképzés"/>
    <s v="TKK-OTAK-NOHU"/>
    <s v="Győr"/>
    <s v="Győr-Moson-Sopron"/>
    <s v="Papp Richárd"/>
    <s v="Magyarország"/>
    <d v="1996-11-07T00:00:00"/>
    <s v="T138983/FI80798"/>
    <x v="5"/>
    <s v="Állami ösztöndíjas"/>
    <s v="2018/19/1"/>
    <s v="Nappali"/>
    <n v="5"/>
    <n v="1"/>
    <s v="2021/22/2"/>
    <n v="10"/>
    <s v="71771803792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Férfi"/>
    <n v="400000"/>
    <s v="pappricsi96@hotmail.com"/>
    <s v="Hárfás Edina"/>
    <n v="8"/>
    <s v="Aktív"/>
    <n v="8"/>
    <n v="8"/>
    <s v="magyar"/>
    <m/>
  </r>
  <r>
    <s v="Németh Péter Ernő"/>
    <s v="S6SC5A"/>
    <s v="Aktív"/>
    <s v="osztatlan tanári [12 félév [biológiatanár (egészségtan); történelemtanár és állampolgári ismeretek tanára]]"/>
    <x v="1"/>
    <s v="osztatlan tanárképzés"/>
    <s v="TKK-OTAK-NOHU"/>
    <s v="Celldömölk"/>
    <s v="Vas"/>
    <s v="Németh Péter Ernő"/>
    <s v="Magyarország"/>
    <d v="2000-02-17T00:00:00"/>
    <s v="T149208/FI80798"/>
    <x v="5"/>
    <s v="Állami ösztöndíjas"/>
    <s v="2019/20/1"/>
    <s v="Nappali"/>
    <n v="9"/>
    <n v="1"/>
    <s v="2021/22/2"/>
    <n v="10"/>
    <s v="72494621767"/>
    <n v="12"/>
    <x v="3"/>
    <m/>
    <m/>
    <m/>
    <m/>
    <s v="Képzésváltás intézményen belül"/>
    <d v="2019-09-14T00:00:00"/>
    <m/>
    <s v="BDPK-SEK"/>
    <s v="Eke Norbertné"/>
    <d v="2019-07-24T00:00:00"/>
    <d v="2025-06-30T00:00:00"/>
    <n v="500000"/>
    <m/>
    <n v="5"/>
    <s v="Férfi"/>
    <n v="500000"/>
    <s v="nemeth3peter@gmail.com"/>
    <s v="Varga Magdolna"/>
    <n v="6"/>
    <s v="Aktív"/>
    <n v="6"/>
    <n v="6"/>
    <s v="magyar"/>
    <m/>
  </r>
  <r>
    <s v="Bati Ágota"/>
    <s v="FI5V7N"/>
    <s v="Aktív"/>
    <s v="osztatlan tanári [12 félév [biológiatanár (egészségtan); történelemtanár és állampolgári ismeretek tanára]]"/>
    <x v="1"/>
    <s v="osztatlan tanárképzés"/>
    <s v="TKK-OTAK-NOHU"/>
    <s v="Tapolca"/>
    <s v="Veszprém"/>
    <s v="Bati Ágota"/>
    <s v="Magyarország"/>
    <d v="2001-07-26T00:00:00"/>
    <s v="T184101/FI80798"/>
    <x v="5"/>
    <s v="Állami ösztöndíjas"/>
    <s v="2021/22/1"/>
    <s v="Nappali"/>
    <n v="13"/>
    <n v="1"/>
    <s v="2021/22/2"/>
    <n v="10"/>
    <s v="75409191017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Nő"/>
    <n v="500000"/>
    <s v="agotabativeronika@gmail.com"/>
    <s v="Gerics Márta"/>
    <n v="2"/>
    <s v="Aktív"/>
    <n v="2"/>
    <n v="2"/>
    <s v="magyar"/>
    <m/>
  </r>
  <r>
    <s v="Papp Laura Kinga"/>
    <s v="A45OML"/>
    <s v="Aktív"/>
    <s v="osztatlan tanári [12 félév [fizikatanár (természettudományi gyakorlatok); matematikatanár]]"/>
    <x v="3"/>
    <s v="osztatlan tanárképzés"/>
    <s v="TKK-OTAK-NOHU"/>
    <s v="Szombathely"/>
    <s v="Vas"/>
    <s v="Papp Laura Kinga"/>
    <s v="Magyarország"/>
    <d v="1999-09-11T00:00:00"/>
    <s v="T166794/FI80798"/>
    <x v="5"/>
    <s v="Állami ösztöndíjas"/>
    <s v="2020/21/1"/>
    <s v="Nappali"/>
    <n v="7"/>
    <n v="2"/>
    <s v="2021/22/2"/>
    <n v="10"/>
    <s v="76014772348"/>
    <n v="12"/>
    <x v="3"/>
    <m/>
    <m/>
    <m/>
    <m/>
    <s v="Képzésváltás intézményen belül"/>
    <d v="2020-09-14T00:00:00"/>
    <m/>
    <s v="BDPK-SEK"/>
    <s v="Eke Norbertné"/>
    <d v="2020-07-23T00:00:00"/>
    <d v="2027-07-15T00:00:00"/>
    <n v="500000"/>
    <m/>
    <n v="1"/>
    <s v="Nő"/>
    <n v="500000"/>
    <s v="laurakingap37@gmail.com"/>
    <s v="Füzes Bernadett Edina"/>
    <n v="2"/>
    <s v="Aktív"/>
    <n v="2"/>
    <n v="2"/>
    <s v="magyar"/>
    <m/>
  </r>
  <r>
    <s v="Szabó Bálint"/>
    <s v="ZEKZRG"/>
    <s v="Aktív"/>
    <s v="osztatlan tanári [12 félév [fizikatanár (természettudományos gyakorlatok); matematikatanár]]"/>
    <x v="3"/>
    <s v="osztatlan tanárképzés"/>
    <s v="TKK-OTAK-NOHU"/>
    <s v="Pápa"/>
    <s v="Veszprém"/>
    <s v="Szabó Bálint"/>
    <s v="Magyarország"/>
    <d v="1997-07-11T00:00:00"/>
    <s v="T123583/FI80798"/>
    <x v="5"/>
    <s v="Állami ösztöndíjas"/>
    <s v="2017/18/1"/>
    <s v="Nappali"/>
    <n v="5"/>
    <n v="1"/>
    <s v="2021/22/2"/>
    <n v="10"/>
    <s v="75860353411"/>
    <n v="12"/>
    <x v="3"/>
    <m/>
    <m/>
    <m/>
    <m/>
    <s v="Képzésváltás intézményen belül"/>
    <d v="2019-09-14T00:00:00"/>
    <m/>
    <s v="BDPK-SEK"/>
    <s v="Eke Norbertné"/>
    <d v="2017-07-27T00:00:00"/>
    <d v="2023-06-30T00:00:00"/>
    <n v="500000"/>
    <m/>
    <n v="5"/>
    <s v="Férfi"/>
    <n v="500000"/>
    <s v="szabobalintELTESEK@gmail.com"/>
    <s v="Németh Csilla"/>
    <n v="6"/>
    <s v="Aktív"/>
    <n v="6"/>
    <n v="10"/>
    <s v="magyar"/>
    <m/>
  </r>
  <r>
    <s v="Pipics János István"/>
    <s v="E5VX3S"/>
    <s v="Aktív"/>
    <s v="osztatlan tanári [12 félév [fizikatanár (természettudományos gyakorlatok); történelemtanár és állampolgári ismeretek tanára]]"/>
    <x v="3"/>
    <s v="osztatlan tanárképzés"/>
    <s v="TKK-OTAK-NOHU"/>
    <s v="Szombathely"/>
    <s v="Vas"/>
    <s v="Pipics János István"/>
    <s v="Magyarország"/>
    <d v="1998-04-03T00:00:00"/>
    <s v="T125366/FI80798"/>
    <x v="5"/>
    <s v="Állami ösztöndíjas"/>
    <s v="2017/18/1"/>
    <s v="Nappali"/>
    <n v="5"/>
    <n v="1"/>
    <s v="2021/22/2"/>
    <n v="10"/>
    <s v="77649485305"/>
    <n v="12"/>
    <x v="3"/>
    <m/>
    <m/>
    <m/>
    <m/>
    <s v="Képzésváltás intézményen belül"/>
    <d v="2019-09-14T00:00:00"/>
    <m/>
    <s v="BDPK-SEK"/>
    <s v="Eke Norbertné"/>
    <d v="2017-07-27T00:00:00"/>
    <d v="2023-06-30T00:00:00"/>
    <n v="500000"/>
    <m/>
    <n v="5"/>
    <s v="Férfi"/>
    <n v="500000"/>
    <s v="pipics34@citromail.hu"/>
    <s v="Kiss Beáta Mária"/>
    <n v="6"/>
    <s v="Aktív"/>
    <n v="6"/>
    <n v="10"/>
    <s v="magyar"/>
    <m/>
  </r>
  <r>
    <s v="Szabó Gergely"/>
    <s v="IYO5I5"/>
    <s v="Aktív"/>
    <s v="osztatlan tanári [12 félév [földrajztanár; matematikatanár]]"/>
    <x v="12"/>
    <s v="osztatlan tanárképzés"/>
    <s v="TKK-OTAK-NOHU"/>
    <s v="Tatabánya"/>
    <s v="Komárom-Esztergom"/>
    <s v="Szabó Gergely"/>
    <s v="Magyarország"/>
    <d v="2000-01-23T00:00:00"/>
    <s v="T135743/FI80798"/>
    <x v="5"/>
    <s v="Állami ösztöndíjas"/>
    <s v="2018/19/1"/>
    <s v="Nappali"/>
    <n v="7"/>
    <n v="1"/>
    <s v="2021/22/2"/>
    <n v="10"/>
    <s v="74518906539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Férfi"/>
    <n v="400000"/>
    <s v="szabo.gery0305@gmail.com"/>
    <s v="Dobos Anita"/>
    <n v="8"/>
    <s v="Aktív"/>
    <n v="8"/>
    <n v="8"/>
    <s v="magyar"/>
    <m/>
  </r>
  <r>
    <s v="Kalamár Milán"/>
    <s v="D89VLN"/>
    <s v="Aktív"/>
    <s v="osztatlan tanári [12 félév [földrajztanár; testnevelő tanár]]"/>
    <x v="12"/>
    <s v="osztatlan tanárképzés"/>
    <s v="TKK-OTAK-NOHU"/>
    <s v="Zalaegerszeg"/>
    <s v="Zala"/>
    <s v="Kalamár Milán"/>
    <s v="Magyarország"/>
    <d v="1995-06-11T00:00:00"/>
    <s v="T125744/FI80798"/>
    <x v="5"/>
    <s v="Állami ösztöndíjas"/>
    <s v="2017/18/1"/>
    <s v="Nappali"/>
    <n v="1"/>
    <n v="1"/>
    <s v="2021/22/2"/>
    <n v="10"/>
    <s v="74726842899"/>
    <n v="12"/>
    <x v="3"/>
    <m/>
    <m/>
    <m/>
    <m/>
    <s v="Képzésváltás intézményen belül"/>
    <d v="2019-09-14T00:00:00"/>
    <m/>
    <s v="BDPK-SEK"/>
    <s v="Eke Norbertné"/>
    <d v="2017-07-27T00:00:00"/>
    <d v="2024-07-15T00:00:00"/>
    <n v="500000"/>
    <m/>
    <n v="3"/>
    <s v="Férfi"/>
    <n v="500000"/>
    <s v="midzso21@gmail.com"/>
    <s v="Pete Erzsébet"/>
    <n v="4"/>
    <s v="Aktív"/>
    <n v="4"/>
    <n v="8"/>
    <s v="magyar"/>
    <m/>
  </r>
  <r>
    <s v="Vécsey Balázs"/>
    <s v="EFI6FP"/>
    <s v="Aktív"/>
    <s v="osztatlan tanári [12 félév [földrajztanár; testnevelő tanár]]"/>
    <x v="12"/>
    <s v="osztatlan tanárképzés"/>
    <s v="TKK-OTAK-NOHU"/>
    <s v="Szekszárd"/>
    <s v="Tolna"/>
    <s v="Vécsey Balázs"/>
    <s v="Magyarország"/>
    <d v="1999-01-27T00:00:00"/>
    <s v="T138221/FI80798"/>
    <x v="5"/>
    <s v="Állami ösztöndíjas"/>
    <s v="2018/19/1"/>
    <s v="Nappali"/>
    <n v="7"/>
    <n v="1"/>
    <s v="2021/22/2"/>
    <n v="10"/>
    <s v="72032811652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Férfi"/>
    <n v="400000"/>
    <s v="vbazsi33@gmail.com"/>
    <s v="Kis-Tóth Ilona"/>
    <n v="8"/>
    <s v="Aktív"/>
    <n v="8"/>
    <n v="8"/>
    <s v="magyar"/>
    <m/>
  </r>
  <r>
    <s v="Juranits Richárd"/>
    <s v="EECQO6"/>
    <s v="Aktív"/>
    <s v="osztatlan tanári [12 félév [földrajztanár; testnevelő tanár]]"/>
    <x v="12"/>
    <s v="osztatlan tanárképzés"/>
    <s v="TKK-OTAK-NOHU"/>
    <s v="Sárvár"/>
    <s v="Vas"/>
    <s v="Juranits Richárd"/>
    <s v="Magyarország"/>
    <d v="2001-02-13T00:00:00"/>
    <s v="T148790/FI80798"/>
    <x v="5"/>
    <s v="Állami ösztöndíjas"/>
    <s v="2019/20/1"/>
    <s v="Nappali"/>
    <n v="9"/>
    <n v="1"/>
    <s v="2021/22/2"/>
    <n v="10"/>
    <s v="72692422895"/>
    <n v="12"/>
    <x v="3"/>
    <m/>
    <m/>
    <m/>
    <m/>
    <s v="Képzésváltás intézményen belül"/>
    <d v="2019-09-14T00:00:00"/>
    <m/>
    <s v="BDPK-SEK"/>
    <s v="Eke Norbertné"/>
    <d v="2019-07-24T00:00:00"/>
    <d v="2025-07-15T00:00:00"/>
    <n v="500000"/>
    <m/>
    <n v="5"/>
    <s v="Férfi"/>
    <n v="500000"/>
    <s v="jricsi2001@gmail.com"/>
    <s v="Németh Beatrix Éva"/>
    <n v="6"/>
    <s v="Aktív"/>
    <n v="6"/>
    <n v="6"/>
    <s v="magyar"/>
    <m/>
  </r>
  <r>
    <s v="Varga Máté"/>
    <s v="ZWQN5A"/>
    <s v="Aktív"/>
    <s v="osztatlan tanári [12 félév [földrajztanár; testnevelő tanár]]"/>
    <x v="12"/>
    <s v="osztatlan tanárképzés"/>
    <s v="TKK-OTAK-NOHU"/>
    <s v="Sopron"/>
    <s v="Győr-Moson-Sopron"/>
    <s v="Varga Máté"/>
    <s v="Magyarország"/>
    <d v="2000-11-17T00:00:00"/>
    <s v="T147756/FI80798"/>
    <x v="5"/>
    <s v="Állami ösztöndíjas"/>
    <s v="2019/20/1"/>
    <s v="Nappali"/>
    <n v="9"/>
    <n v="1"/>
    <s v="2021/22/2"/>
    <n v="10"/>
    <s v="77504601852"/>
    <n v="12"/>
    <x v="3"/>
    <m/>
    <m/>
    <m/>
    <m/>
    <s v="Képzésváltás intézményen belül"/>
    <d v="2019-09-14T00:00:00"/>
    <m/>
    <s v="BDPK-SEK"/>
    <s v="Eke Norbertné"/>
    <d v="2019-07-24T00:00:00"/>
    <d v="2025-06-30T00:00:00"/>
    <n v="500000"/>
    <m/>
    <n v="5"/>
    <s v="Férfi"/>
    <n v="500000"/>
    <s v="varga.mate07@gmail.com"/>
    <s v="Horváth Andrea"/>
    <n v="6"/>
    <s v="Aktív"/>
    <n v="6"/>
    <n v="6"/>
    <s v="magyar"/>
    <m/>
  </r>
  <r>
    <s v="Putz Gergő"/>
    <s v="O2AMLE"/>
    <s v="Aktív"/>
    <s v="osztatlan tanári [12 félév [földrajztanár; testnevelő tanár]]"/>
    <x v="12"/>
    <s v="osztatlan tanárképzés"/>
    <s v="TKK-OTAK-NOHU"/>
    <s v="Szombathely"/>
    <s v="Vas"/>
    <s v="Putz Gergő"/>
    <s v="Magyarország"/>
    <d v="2000-07-21T00:00:00"/>
    <s v="T153481/FI80798"/>
    <x v="5"/>
    <s v="Állami ösztöndíjas"/>
    <s v="2019/20/1"/>
    <s v="Nappali"/>
    <n v="9"/>
    <n v="1"/>
    <s v="2021/22/2"/>
    <n v="10"/>
    <s v="76597006298"/>
    <n v="12"/>
    <x v="3"/>
    <m/>
    <m/>
    <m/>
    <m/>
    <s v="Képzésváltás intézményen belül"/>
    <d v="2019-09-14T00:00:00"/>
    <m/>
    <s v="BDPK-SEK"/>
    <s v="Eke Norbertné"/>
    <d v="2019-07-24T00:00:00"/>
    <d v="2025-07-15T00:00:00"/>
    <n v="500000"/>
    <m/>
    <n v="5"/>
    <s v="Férfi"/>
    <n v="500000"/>
    <s v="putzgeri123@gmail.com"/>
    <s v="Kovács Zsuzsanna"/>
    <n v="6"/>
    <s v="Aktív"/>
    <n v="6"/>
    <n v="6"/>
    <s v="magyar"/>
    <m/>
  </r>
  <r>
    <s v="Novák Róbert"/>
    <s v="KDV650"/>
    <s v="Aktív"/>
    <s v="osztatlan tanári [12 félév [földrajztanár; történelemtanár és állampolgári ismeretek tanára]]"/>
    <x v="12"/>
    <s v="osztatlan tanárképzés"/>
    <s v="TKK-OTAK-NOHU"/>
    <s v="Szombathely"/>
    <s v="Vas"/>
    <s v="Novák Róbert"/>
    <s v="Magyarország"/>
    <d v="1991-01-29T00:00:00"/>
    <s v="T130082/FI80798"/>
    <x v="5"/>
    <s v="Önköltséges"/>
    <s v="2017/18/1"/>
    <s v="Nappali"/>
    <n v="1"/>
    <n v="1"/>
    <s v="2020/21/1"/>
    <n v="10"/>
    <s v="76846244212"/>
    <n v="12"/>
    <x v="3"/>
    <m/>
    <m/>
    <m/>
    <m/>
    <s v="Képzésváltás intézményen belül"/>
    <d v="2019-09-14T00:00:00"/>
    <m/>
    <s v="BDPK-SEK"/>
    <s v="Eke Norbertné"/>
    <d v="2017-07-27T00:00:00"/>
    <d v="2023-06-30T00:00:00"/>
    <n v="500000"/>
    <m/>
    <n v="3"/>
    <s v="Férfi"/>
    <n v="500000"/>
    <s v="novak.robert00@gmail.com"/>
    <s v="Németh Bernadett"/>
    <n v="6"/>
    <s v="Aktív"/>
    <n v="3"/>
    <n v="10"/>
    <s v="magyar"/>
    <n v="400000"/>
  </r>
  <r>
    <s v="Hajgató Kristóf"/>
    <s v="CH5CHY"/>
    <s v="Aktív"/>
    <s v="osztatlan tanári [12 félév [földrajztanár; történelemtanár és állampolgári ismeretek tanára]]"/>
    <x v="12"/>
    <s v="osztatlan tanárképzés"/>
    <s v="TKK-OTAK-NOHU"/>
    <s v="Zalaegerszeg"/>
    <s v="Zala"/>
    <s v="Hajgató Kristóf"/>
    <s v="Magyarország"/>
    <d v="1995-02-02T00:00:00"/>
    <s v="T125959/FI80798"/>
    <x v="5"/>
    <s v="Állami ösztöndíjas"/>
    <s v="2017/18/1"/>
    <s v="Nappali"/>
    <n v="5"/>
    <n v="1"/>
    <s v="2021/22/2"/>
    <n v="10"/>
    <s v="75273762422"/>
    <n v="12"/>
    <x v="3"/>
    <m/>
    <m/>
    <m/>
    <m/>
    <s v="Képzésváltás intézményen belül"/>
    <d v="2019-09-14T00:00:00"/>
    <m/>
    <s v="BDPK-SEK"/>
    <s v="Eke Norbertné"/>
    <d v="2017-07-27T00:00:00"/>
    <d v="2023-06-30T00:00:00"/>
    <n v="500000"/>
    <m/>
    <n v="5"/>
    <s v="Férfi"/>
    <n v="500000"/>
    <s v="hajgatokristof95@freemail.hu"/>
    <s v="Igazi Andrea"/>
    <n v="6"/>
    <s v="Aktív"/>
    <n v="6"/>
    <n v="10"/>
    <s v="magyar"/>
    <m/>
  </r>
  <r>
    <s v="Brunner Balázs"/>
    <s v="X8TANY"/>
    <s v="Aktív"/>
    <s v="osztatlan tanári [12 félév [földrajztanár; történelemtanár és állampolgári ismeretek tanára]]"/>
    <x v="12"/>
    <s v="osztatlan tanárképzés"/>
    <s v="TKK-OTAK-NOHU"/>
    <s v="Székesfehérvár"/>
    <s v="Fejér"/>
    <s v="Brunner Balázs"/>
    <s v="Magyarország"/>
    <d v="2000-05-09T00:00:00"/>
    <s v="T136980/FI80798"/>
    <x v="5"/>
    <s v="Állami ösztöndíjas"/>
    <s v="2018/19/1"/>
    <s v="Nappali"/>
    <n v="7"/>
    <n v="1"/>
    <s v="2021/22/2"/>
    <n v="10"/>
    <s v="74447522472"/>
    <n v="12"/>
    <x v="3"/>
    <m/>
    <m/>
    <m/>
    <m/>
    <s v="Képzésváltás intézményen belül"/>
    <d v="2020-09-01T00:00:00"/>
    <m/>
    <s v="BDPK-SEK"/>
    <s v="Eke Norbertné"/>
    <d v="2018-07-25T00:00:00"/>
    <d v="2026-07-15T00:00:00"/>
    <n v="500000"/>
    <m/>
    <n v="3"/>
    <s v="Férfi"/>
    <n v="500000"/>
    <s v="bundyy20@gmail.com"/>
    <s v="Brunner Marianna"/>
    <n v="4"/>
    <s v="Aktív"/>
    <n v="4"/>
    <n v="8"/>
    <s v="magyar"/>
    <m/>
  </r>
  <r>
    <s v="Szabó Bálint"/>
    <s v="TV3YJD"/>
    <s v="Aktív"/>
    <s v="osztatlan tanári [12 félév [földrajztanár; történelemtanár és állampolgári ismeretek tanára]]"/>
    <x v="12"/>
    <s v="osztatlan tanárképzés"/>
    <s v="TKK-OTAK-NOHU"/>
    <s v="Kapuvár"/>
    <s v="Győr-Moson-Sopron"/>
    <s v="Szabó Bálint"/>
    <s v="Magyarország"/>
    <d v="1999-12-26T00:00:00"/>
    <s v="T137956/FI80798"/>
    <x v="5"/>
    <s v="Állami ösztöndíjas"/>
    <s v="2018/19/1"/>
    <s v="Nappali"/>
    <n v="7"/>
    <n v="1"/>
    <s v="2021/22/2"/>
    <n v="10"/>
    <s v="72480512896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Férfi"/>
    <n v="400000"/>
    <s v="balint.sz1999@gmail.com"/>
    <s v="Varga Anasztázia"/>
    <n v="8"/>
    <s v="Aktív"/>
    <n v="8"/>
    <n v="8"/>
    <s v="magyar"/>
    <m/>
  </r>
  <r>
    <s v="Gulyás Bálint"/>
    <s v="V9W5C5"/>
    <s v="Aktív"/>
    <s v="osztatlan tanári [12 félév [földrajztanár; történelemtanár és állampolgári ismeretek tanára]]"/>
    <x v="12"/>
    <s v="osztatlan tanárképzés"/>
    <s v="TKK-OTAK-NOHU"/>
    <s v="Kapuvár"/>
    <s v="Győr-Moson-Sopron"/>
    <s v="Gulyás Bálint"/>
    <s v="Magyarország"/>
    <d v="1997-03-17T00:00:00"/>
    <s v="T137621/FI80798"/>
    <x v="5"/>
    <s v="Állami ösztöndíjas"/>
    <s v="2018/19/1"/>
    <s v="Nappali"/>
    <n v="6"/>
    <n v="1"/>
    <s v="2021/22/2"/>
    <n v="10"/>
    <s v="73613683084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Férfi"/>
    <n v="400000"/>
    <s v="gulyasbalint21@gmail.com"/>
    <s v="Szücs Andrea"/>
    <n v="8"/>
    <s v="Aktív"/>
    <n v="8"/>
    <n v="8"/>
    <s v="magyar"/>
    <m/>
  </r>
  <r>
    <s v="Kovács Regina"/>
    <s v="GXR0U4"/>
    <s v="Aktív"/>
    <s v="osztatlan tanári [12 félév [földrajztanár; történelemtanár és állampolgári ismeretek tanára]]"/>
    <x v="12"/>
    <s v="osztatlan tanárképzés"/>
    <s v="TKK-OTAK-NOHU"/>
    <s v="Kaposvár"/>
    <s v="Somogy"/>
    <s v="Kovács Regina"/>
    <s v="Magyarország"/>
    <d v="2000-07-30T00:00:00"/>
    <s v="T149741/FI80798"/>
    <x v="5"/>
    <s v="Állami ösztöndíjas"/>
    <s v="2019/20/1"/>
    <s v="Nappali"/>
    <n v="9"/>
    <n v="1"/>
    <s v="2021/22/2"/>
    <n v="10"/>
    <s v="73168439716"/>
    <n v="12"/>
    <x v="3"/>
    <m/>
    <m/>
    <m/>
    <m/>
    <s v="Képzésváltás intézményen belül"/>
    <d v="2019-09-14T00:00:00"/>
    <m/>
    <s v="BDPK-SEK"/>
    <s v="Eke Norbertné"/>
    <d v="2019-07-24T00:00:00"/>
    <d v="2025-06-30T00:00:00"/>
    <n v="500000"/>
    <m/>
    <n v="5"/>
    <s v="Nő"/>
    <n v="500000"/>
    <s v="regi0730@gmail.com"/>
    <s v="Vida Anita"/>
    <n v="6"/>
    <s v="Aktív"/>
    <n v="6"/>
    <n v="6"/>
    <s v="magyar"/>
    <m/>
  </r>
  <r>
    <s v="Horváth Martin"/>
    <s v="ELW17Z"/>
    <s v="Aktív"/>
    <s v="osztatlan tanári [12 félév [földrajztanár; történelemtanár és állampolgári ismeretek tanára]]"/>
    <x v="12"/>
    <s v="osztatlan tanárképzés"/>
    <s v="TKK-OTAK-NOHU"/>
    <s v="Mosonmagyaróvár"/>
    <s v="Győr-Moson-Sopron"/>
    <s v="Horváth Martin"/>
    <s v="Magyarország"/>
    <d v="1997-12-02T00:00:00"/>
    <s v="T152406/FI80798"/>
    <x v="5"/>
    <s v="Állami ösztöndíjas"/>
    <s v="2019/20/1"/>
    <s v="Nappali"/>
    <n v="4"/>
    <n v="1"/>
    <s v="2021/22/2"/>
    <n v="10"/>
    <s v="75637816143"/>
    <n v="12"/>
    <x v="3"/>
    <m/>
    <m/>
    <m/>
    <m/>
    <s v="Képzésváltás intézményen belül"/>
    <d v="2019-09-14T00:00:00"/>
    <m/>
    <s v="BDPK-SEK"/>
    <s v="Eke Norbertné"/>
    <d v="2019-07-24T00:00:00"/>
    <d v="2025-07-15T00:00:00"/>
    <n v="500000"/>
    <m/>
    <n v="5"/>
    <s v="Férfi"/>
    <n v="500000"/>
    <s v="nova97palermo@gmail.com"/>
    <s v="Orbán Viktória"/>
    <n v="6"/>
    <s v="Aktív"/>
    <n v="6"/>
    <n v="6"/>
    <s v="magyar"/>
    <m/>
  </r>
  <r>
    <s v="Ujvári Lili"/>
    <s v="SLDKVP"/>
    <s v="Aktív"/>
    <s v="osztatlan tanári [12 félév [földrajztanár; történelemtanár és állampolgári ismeretek tanára]]"/>
    <x v="12"/>
    <s v="osztatlan tanárképzés"/>
    <s v="TKK-OTAK-NOHU"/>
    <s v="Tapolca"/>
    <s v="Veszprém"/>
    <s v="Ujvári Lili"/>
    <s v="Magyarország"/>
    <d v="1999-06-22T00:00:00"/>
    <s v="T148372/FI80798"/>
    <x v="5"/>
    <s v="Állami ösztöndíjas"/>
    <s v="2019/20/1"/>
    <s v="Nappali"/>
    <n v="9"/>
    <n v="1"/>
    <s v="2021/22/2"/>
    <n v="10"/>
    <s v="74615835928"/>
    <n v="12"/>
    <x v="3"/>
    <m/>
    <m/>
    <m/>
    <m/>
    <s v="Képzésváltás intézményen belül"/>
    <d v="2019-09-14T00:00:00"/>
    <m/>
    <s v="BDPK-SEK"/>
    <s v="Eke Norbertné"/>
    <d v="2019-07-24T00:00:00"/>
    <d v="2025-06-30T00:00:00"/>
    <n v="500000"/>
    <m/>
    <n v="5"/>
    <s v="Nő"/>
    <n v="500000"/>
    <s v="ulilien99@gmail.com"/>
    <s v="Szabó Mónika Erzsébet"/>
    <n v="6"/>
    <s v="Aktív"/>
    <n v="6"/>
    <n v="6"/>
    <s v="magyar"/>
    <m/>
  </r>
  <r>
    <s v="Takács Dániel"/>
    <s v="E91RV5"/>
    <s v="Aktív"/>
    <s v="osztatlan tanári [12 félév [földrajztanár; történelemtanár és állampolgári ismeretek tanára]]"/>
    <x v="12"/>
    <s v="osztatlan tanárképzés"/>
    <s v="TKK-OTAK-NOHU"/>
    <s v="Sárvár"/>
    <s v="Vas"/>
    <s v="Takács Dániel"/>
    <s v="Magyarország"/>
    <d v="2000-09-15T00:00:00"/>
    <s v="T153311/FI80798"/>
    <x v="5"/>
    <s v="Állami ösztöndíjas"/>
    <s v="2019/20/1"/>
    <s v="Nappali"/>
    <n v="9"/>
    <n v="1"/>
    <s v="2021/22/2"/>
    <n v="10"/>
    <s v="79070772730"/>
    <n v="12"/>
    <x v="3"/>
    <m/>
    <m/>
    <m/>
    <m/>
    <s v="Képzésváltás intézményen belül"/>
    <d v="2019-09-14T00:00:00"/>
    <m/>
    <s v="BDPK-SEK"/>
    <s v="Eke Norbertné"/>
    <d v="2019-07-24T00:00:00"/>
    <d v="2025-07-15T00:00:00"/>
    <n v="500000"/>
    <m/>
    <n v="5"/>
    <s v="Férfi"/>
    <n v="500000"/>
    <s v="danieltakacs09@gmail.com"/>
    <s v="Szabó Ibolya"/>
    <n v="6"/>
    <s v="Aktív"/>
    <n v="6"/>
    <n v="6"/>
    <s v="magyar"/>
    <m/>
  </r>
  <r>
    <s v="Makrai Csaba"/>
    <s v="ORGD1P"/>
    <s v="Aktív"/>
    <s v="osztatlan tanári [12 félév [földrajztanár; történelemtanár és állampolgári ismeretek tanára]]"/>
    <x v="12"/>
    <s v="osztatlan tanárképzés"/>
    <s v="TKK-OTAK-NOHU"/>
    <s v="Győr"/>
    <s v="Győr-Moson-Sopron"/>
    <s v="Makrai Csaba"/>
    <s v="Magyarország"/>
    <d v="2001-06-15T00:00:00"/>
    <s v="T162749/FI80798"/>
    <x v="5"/>
    <s v="Állami ösztöndíjas"/>
    <s v="2020/21/1"/>
    <s v="Nappali"/>
    <n v="15"/>
    <n v="1"/>
    <s v="2021/22/2"/>
    <n v="10"/>
    <s v="71629107574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Férfi"/>
    <n v="500000"/>
    <s v="m.cs0615@gmail.com"/>
    <s v="Stanyó Anita"/>
    <n v="4"/>
    <s v="Aktív"/>
    <n v="4"/>
    <n v="4"/>
    <s v="magyar"/>
    <m/>
  </r>
  <r>
    <s v="Hetyei Péter"/>
    <s v="PDA1N9"/>
    <s v="Aktív"/>
    <s v="osztatlan tanári [12 félév [földrajztanár; történelemtanár és állampolgári ismeretek tanára]]"/>
    <x v="12"/>
    <s v="osztatlan tanárképzés"/>
    <s v="TKK-OTAK-NOHU"/>
    <s v="Győr"/>
    <s v="Győr-Moson-Sopron"/>
    <s v="Hetyei Péter"/>
    <s v="Magyarország"/>
    <d v="2001-11-18T00:00:00"/>
    <s v="T163628/FI80798"/>
    <x v="5"/>
    <s v="Állami ösztöndíjas"/>
    <s v="2020/21/1"/>
    <s v="Nappali"/>
    <n v="15"/>
    <n v="1"/>
    <s v="2021/22/2"/>
    <n v="10"/>
    <s v="71626257827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Férfi"/>
    <n v="500000"/>
    <s v="hungariapistike@gmail.com"/>
    <s v="Lugosi Johanna"/>
    <n v="4"/>
    <s v="Aktív"/>
    <n v="4"/>
    <n v="4"/>
    <s v="magyar"/>
    <m/>
  </r>
  <r>
    <s v="Funtek Valter Tamás"/>
    <s v="UB9S47"/>
    <s v="Aktív"/>
    <s v="osztatlan tanári [12 félév [földrajztanár; történelemtanár és állampolgári ismeretek tanára]]"/>
    <x v="12"/>
    <s v="osztatlan tanárképzés"/>
    <s v="TKK-OTAK-NOHU"/>
    <s v="Győr"/>
    <s v="Győr-Moson-Sopron"/>
    <s v="Funtek Valter Tamás"/>
    <s v="Magyarország"/>
    <d v="2001-09-11T00:00:00"/>
    <s v="T165863/FI80798"/>
    <x v="5"/>
    <s v="Állami ösztöndíjas"/>
    <s v="2020/21/1"/>
    <s v="Nappali"/>
    <n v="11"/>
    <n v="1"/>
    <s v="2021/22/2"/>
    <n v="10"/>
    <s v="71637013721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Férfi"/>
    <n v="500000"/>
    <s v="walter.funtek@gmail.com"/>
    <s v="Babella Katalin"/>
    <n v="4"/>
    <s v="Aktív"/>
    <n v="4"/>
    <n v="4"/>
    <s v="magyar"/>
    <m/>
  </r>
  <r>
    <s v="Mór Máté"/>
    <s v="TFXDM3"/>
    <s v="Aktív"/>
    <s v="osztatlan tanári [12 félév [földrajztanár; történelemtanár és állampolgári ismeretek tanára]]"/>
    <x v="12"/>
    <s v="osztatlan tanárképzés"/>
    <s v="TKK-OTAK-NOHU"/>
    <s v="Zalaegerszeg"/>
    <s v="Zala"/>
    <s v="Mór Máté"/>
    <s v="Magyarország"/>
    <d v="2001-10-21T00:00:00"/>
    <s v="T162152/FI80798"/>
    <x v="5"/>
    <s v="Állami ösztöndíjas"/>
    <s v="2020/21/1"/>
    <s v="Nappali"/>
    <n v="11"/>
    <n v="1"/>
    <s v="2021/22/2"/>
    <n v="10"/>
    <s v="72025030770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Férfi"/>
    <n v="500000"/>
    <s v="mormate1@gmail.com"/>
    <s v="Varga Ibolya Erzsébet"/>
    <n v="4"/>
    <s v="Aktív"/>
    <n v="4"/>
    <n v="4"/>
    <s v="magyar"/>
    <m/>
  </r>
  <r>
    <s v="Sélley Regina Anna"/>
    <s v="DCZG2S"/>
    <s v="Aktív"/>
    <s v="osztatlan tanári [12 félév [földrajztanár; történelemtanár és állampolgári ismeretek tanára]]"/>
    <x v="12"/>
    <s v="osztatlan tanárképzés"/>
    <s v="TKK-OTAK-NOHU"/>
    <s v="Győr"/>
    <s v="Győr-Moson-Sopron"/>
    <s v="Sélley Regina Anna"/>
    <s v="Magyarország"/>
    <d v="2002-12-12T00:00:00"/>
    <s v="T184229/FI80798"/>
    <x v="5"/>
    <s v="Állami ösztöndíjas"/>
    <s v="2021/22/1"/>
    <s v="Nappali"/>
    <n v="13"/>
    <n v="1"/>
    <s v="2021/22/2"/>
    <n v="10"/>
    <s v="72148892369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Nő"/>
    <n v="500000"/>
    <s v="reginaanna.selley@gmail.com"/>
    <s v="Csordás Eszter"/>
    <n v="2"/>
    <s v="Aktív"/>
    <n v="2"/>
    <n v="2"/>
    <s v="magyar"/>
    <m/>
  </r>
  <r>
    <s v="Máriás Máté"/>
    <s v="X1GJ2H"/>
    <s v="Aktív"/>
    <s v="osztatlan tanári [12 félév [magyartanár; matematikatanár]]"/>
    <x v="14"/>
    <s v="osztatlan tanárképzés"/>
    <s v="TKK-OTAK-NOHU"/>
    <s v="Szombathely"/>
    <s v="Vas"/>
    <s v="Máriás Máté"/>
    <s v="Magyarország"/>
    <d v="2002-08-28T00:00:00"/>
    <s v="T190760/FI80798"/>
    <x v="5"/>
    <s v="Állami ösztöndíjas"/>
    <s v="2021/22/1"/>
    <s v="Nappali"/>
    <n v="13"/>
    <n v="1"/>
    <s v="2021/22/2"/>
    <n v="10"/>
    <s v="72252954237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Férfi"/>
    <n v="500000"/>
    <s v="marias.mate.cos@gmail.com"/>
    <s v="Vincze Anikó"/>
    <n v="2"/>
    <s v="Aktív"/>
    <n v="2"/>
    <n v="2"/>
    <s v="magyar"/>
    <m/>
  </r>
  <r>
    <s v="Németh Vanessza"/>
    <s v="QIDJDV"/>
    <s v="Aktív"/>
    <s v="osztatlan tanári [12 félév [magyartanár; német nyelv és kultúra tanára]]"/>
    <x v="14"/>
    <s v="osztatlan tanárképzés"/>
    <s v="TKK-OTAK-NOHU"/>
    <s v="Szombathely"/>
    <s v="Vas"/>
    <s v="Németh Vanessza"/>
    <s v="Magyarország"/>
    <d v="1999-08-31T00:00:00"/>
    <s v="T157312/FI80798"/>
    <x v="5"/>
    <s v="Állami ösztöndíjas"/>
    <s v="2019/20/1"/>
    <s v="Nappali"/>
    <n v="9"/>
    <n v="1"/>
    <s v="2021/22/2"/>
    <n v="10"/>
    <s v="71560519175"/>
    <n v="12"/>
    <x v="3"/>
    <m/>
    <m/>
    <m/>
    <m/>
    <s v="Képzésváltás intézményen belül"/>
    <d v="2021-09-01T00:00:00"/>
    <m/>
    <s v="BDPK-SEK"/>
    <s v="Eke Norbertné"/>
    <d v="2019-07-24T00:00:00"/>
    <d v="2027-07-15T00:00:00"/>
    <n v="500000"/>
    <m/>
    <n v="1"/>
    <s v="Nő"/>
    <n v="500000"/>
    <s v="n.vanessza08@gmail.com"/>
    <s v="Németh Tünde"/>
    <n v="2"/>
    <s v="Aktív"/>
    <n v="2"/>
    <n v="6"/>
    <s v="magyar"/>
    <m/>
  </r>
  <r>
    <s v="Szabó Dorina"/>
    <s v="SQTSEU"/>
    <s v="Aktív"/>
    <s v="osztatlan tanári [12 félév [magyartanár; történelemtanár és állampolgári ismeretek tanára]]"/>
    <x v="14"/>
    <s v="osztatlan tanárképzés"/>
    <s v="TKK-OTAK-NOHU"/>
    <s v="Zalaegerszeg"/>
    <s v="Zala"/>
    <s v="Szabó Dorina"/>
    <s v="Magyarország"/>
    <d v="1998-10-11T00:00:00"/>
    <s v="T125171/FI80798"/>
    <x v="5"/>
    <s v="Állami ösztöndíjas"/>
    <s v="2017/18/1"/>
    <s v="Nappali"/>
    <n v="5"/>
    <n v="1"/>
    <s v="2021/22/2"/>
    <n v="10"/>
    <s v="74537539049"/>
    <n v="12"/>
    <x v="3"/>
    <m/>
    <m/>
    <m/>
    <m/>
    <s v="Képzésváltás intézményen belül"/>
    <d v="2019-09-14T00:00:00"/>
    <m/>
    <s v="BDPK-SEK"/>
    <s v="Eke Norbertné"/>
    <d v="2017-07-27T00:00:00"/>
    <d v="2023-07-15T00:00:00"/>
    <n v="500000"/>
    <m/>
    <n v="5"/>
    <s v="Nő"/>
    <n v="500000"/>
    <s v="felvi.szabodorina1998@gmail.com"/>
    <s v="Torma Mária"/>
    <n v="6"/>
    <s v="Aktív"/>
    <n v="6"/>
    <n v="10"/>
    <s v="magyar"/>
    <m/>
  </r>
  <r>
    <s v="Hengszter Norbert Márk"/>
    <s v="QBYYPR"/>
    <s v="Aktív"/>
    <s v="osztatlan tanári [12 félév [magyartanár; történelemtanár és állampolgári ismeretek tanára]]"/>
    <x v="14"/>
    <s v="osztatlan tanárképzés"/>
    <s v="TKK-OTAK-NOHU"/>
    <s v="Győr"/>
    <s v="Győr-Moson-Sopron"/>
    <s v="Hengszter Norbert Márk"/>
    <s v="Magyarország"/>
    <d v="1997-06-08T00:00:00"/>
    <s v="T123573/FI80798"/>
    <x v="5"/>
    <s v="Állami ösztöndíjas"/>
    <s v="2017/18/1"/>
    <s v="Nappali"/>
    <n v="5"/>
    <n v="1"/>
    <s v="2021/22/2"/>
    <n v="10"/>
    <s v="77621935746"/>
    <n v="12"/>
    <x v="3"/>
    <m/>
    <m/>
    <m/>
    <m/>
    <s v="Képzésváltás intézményen belül"/>
    <d v="2019-09-14T00:00:00"/>
    <m/>
    <s v="BDPK-SEK"/>
    <s v="Eke Norbertné"/>
    <d v="2017-07-27T00:00:00"/>
    <d v="2023-07-15T00:00:00"/>
    <n v="500000"/>
    <m/>
    <n v="5"/>
    <s v="Férfi"/>
    <n v="500000"/>
    <s v="hengszter.n@vipmail.hu"/>
    <s v="Széles Ildikó"/>
    <n v="6"/>
    <s v="Aktív"/>
    <n v="6"/>
    <n v="10"/>
    <s v="magyar"/>
    <m/>
  </r>
  <r>
    <s v="Varga Mercédesz Kata"/>
    <s v="QF28C4"/>
    <s v="Aktív"/>
    <s v="osztatlan tanári [12 félév [magyartanár; történelemtanár és állampolgári ismeretek tanára]]"/>
    <x v="14"/>
    <s v="osztatlan tanárképzés"/>
    <s v="TKK-OTAK-NOHU"/>
    <s v="Körmend"/>
    <s v="Vas"/>
    <s v="Varga Mercédesz Kata"/>
    <s v="Magyarország"/>
    <d v="1998-09-07T00:00:00"/>
    <s v="T140379/FI80798"/>
    <x v="5"/>
    <s v="Állami ösztöndíjas"/>
    <s v="2018/19/1"/>
    <s v="Nappali"/>
    <n v="7"/>
    <n v="1"/>
    <s v="2021/22/2"/>
    <n v="10"/>
    <s v="76361019819"/>
    <n v="12"/>
    <x v="3"/>
    <m/>
    <m/>
    <m/>
    <m/>
    <s v="Képzésváltás intézményen belül"/>
    <d v="2019-09-14T00:00:00"/>
    <m/>
    <s v="BDPK-SEK"/>
    <s v="Eke Norbertné"/>
    <d v="2018-08-24T00:00:00"/>
    <d v="2024-06-30T00:00:00"/>
    <n v="500000"/>
    <m/>
    <n v="5"/>
    <s v="Nő"/>
    <n v="500000"/>
    <s v="vargakatamercedesz98@gmail.com"/>
    <s v="Pölcz Anita Katalin"/>
    <n v="6"/>
    <s v="Aktív"/>
    <n v="6"/>
    <n v="8"/>
    <s v="magyar"/>
    <m/>
  </r>
  <r>
    <s v="Szabó Miklós Dániel"/>
    <s v="GW3Z9P"/>
    <s v="Aktív"/>
    <s v="osztatlan tanári [12 félév [magyartanár; történelemtanár és állampolgári ismeretek tanára]]"/>
    <x v="14"/>
    <s v="osztatlan tanárképzés"/>
    <s v="TKK-OTAK-NOHU"/>
    <s v="Nagyatád"/>
    <s v="Somogy"/>
    <s v="Szabó Miklós Dániel"/>
    <s v="Magyarország"/>
    <d v="1999-04-02T00:00:00"/>
    <s v="T144241/FI80798"/>
    <x v="5"/>
    <s v="Állami ösztöndíjas"/>
    <s v="2018/19/1"/>
    <s v="Nappali"/>
    <n v="5"/>
    <n v="1"/>
    <s v="2021/22/2"/>
    <n v="10"/>
    <s v="76023436139"/>
    <n v="12"/>
    <x v="3"/>
    <m/>
    <m/>
    <m/>
    <m/>
    <s v="Képzésváltás intézményen belül"/>
    <d v="2019-09-14T00:00:00"/>
    <m/>
    <s v="BDPK-SEK"/>
    <s v="Eke Norbertné"/>
    <d v="2018-07-25T00:00:00"/>
    <d v="2024-07-15T00:00:00"/>
    <n v="500000"/>
    <m/>
    <n v="5"/>
    <s v="Férfi"/>
    <n v="500000"/>
    <s v="smdsu02@gmail.com"/>
    <s v="Andik Anikó"/>
    <n v="6"/>
    <s v="Aktív"/>
    <n v="6"/>
    <n v="8"/>
    <s v="magyar"/>
    <m/>
  </r>
  <r>
    <s v="Sárközi Réka"/>
    <s v="AQS09R"/>
    <s v="Aktív"/>
    <s v="osztatlan tanári [12 félév [magyartanár; történelemtanár és állampolgári ismeretek tanára]]"/>
    <x v="14"/>
    <s v="osztatlan tanárképzés"/>
    <s v="TKK-OTAK-NOHU"/>
    <s v="Sopron"/>
    <s v="Győr-Moson-Sopron"/>
    <s v="Sárközi Réka"/>
    <s v="Magyarország"/>
    <d v="1999-06-16T00:00:00"/>
    <s v="T135618/FI80798"/>
    <x v="5"/>
    <s v="Állami ösztöndíjas"/>
    <s v="2018/19/1"/>
    <s v="Nappali"/>
    <n v="7"/>
    <n v="1"/>
    <s v="2021/22/2"/>
    <n v="10"/>
    <s v="77773625888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Nő"/>
    <n v="400000"/>
    <s v="reka990616@gmail.com"/>
    <s v="Fábiánkovits Ágnes"/>
    <n v="8"/>
    <s v="Aktív"/>
    <n v="8"/>
    <n v="8"/>
    <s v="magyar"/>
    <m/>
  </r>
  <r>
    <s v="Czita Virág"/>
    <s v="LR40B2"/>
    <s v="Aktív"/>
    <s v="osztatlan tanári [12 félév [magyartanár; történelemtanár és állampolgári ismeretek tanára]]"/>
    <x v="14"/>
    <s v="osztatlan tanárképzés"/>
    <s v="TKK-OTAK-NOHU"/>
    <s v="Komárom"/>
    <s v="Komárom-Esztergom"/>
    <s v="Czita Virág"/>
    <s v="Magyarország"/>
    <d v="1999-05-29T00:00:00"/>
    <s v="T139097/FI80798"/>
    <x v="5"/>
    <s v="Állami ösztöndíjas"/>
    <s v="2018/19/1"/>
    <s v="Nappali"/>
    <n v="7"/>
    <n v="1"/>
    <s v="2021/22/2"/>
    <n v="10"/>
    <s v="77319462357"/>
    <n v="12"/>
    <x v="3"/>
    <m/>
    <m/>
    <m/>
    <m/>
    <s v="Képzésváltás intézményen belül"/>
    <d v="2021-02-03T00:00:00"/>
    <m/>
    <s v="BDPK-SEK"/>
    <s v="Eke Norbertné"/>
    <d v="2018-07-25T00:00:00"/>
    <d v="2024-07-15T00:00:00"/>
    <m/>
    <m/>
    <n v="2"/>
    <s v="Nő"/>
    <n v="300000"/>
    <s v="viragcz99@gmail.com"/>
    <s v="Bibók Melinda"/>
    <n v="3"/>
    <s v="Aktív"/>
    <n v="3"/>
    <n v="8"/>
    <s v="magyar"/>
    <m/>
  </r>
  <r>
    <s v="Gaál Flóra"/>
    <s v="CD4BPQ"/>
    <s v="Aktív"/>
    <s v="osztatlan tanári [12 félév [magyartanár; történelemtanár és állampolgári ismeretek tanára]]"/>
    <x v="14"/>
    <s v="osztatlan tanárképzés"/>
    <s v="TKK-OTAK-NOHU"/>
    <s v="Szombathely"/>
    <s v="Vas"/>
    <s v="Gaál Flóra"/>
    <s v="Magyarország"/>
    <d v="1999-04-20T00:00:00"/>
    <s v="T135548/FI80798"/>
    <x v="5"/>
    <s v="Állami ösztöndíjas"/>
    <s v="2018/19/1"/>
    <s v="Nappali"/>
    <n v="7"/>
    <n v="1"/>
    <s v="2021/22/2"/>
    <n v="10"/>
    <s v="74431150080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Nő"/>
    <n v="400000"/>
    <s v="gaalflora@gmail.com"/>
    <s v="Kovács Beatrix"/>
    <n v="8"/>
    <s v="Aktív"/>
    <n v="8"/>
    <n v="8"/>
    <s v="magyar"/>
    <m/>
  </r>
  <r>
    <s v="Katavics Fruzsina"/>
    <s v="IWPV79"/>
    <s v="Aktív"/>
    <s v="osztatlan tanári [12 félév [magyartanár; történelemtanár és állampolgári ismeretek tanára]]"/>
    <x v="14"/>
    <s v="osztatlan tanárképzés"/>
    <s v="TKK-OTAK-NOHU"/>
    <s v="Szombathely"/>
    <s v="Vas"/>
    <s v="Katavics Fruzsina"/>
    <s v="Magyarország"/>
    <d v="1998-11-05T00:00:00"/>
    <s v="T138153/FI80798"/>
    <x v="5"/>
    <s v="Állami ösztöndíjas"/>
    <s v="2018/19/1"/>
    <s v="Nappali"/>
    <n v="5"/>
    <n v="1"/>
    <s v="2021/22/2"/>
    <n v="10"/>
    <s v="77278514055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Nő"/>
    <n v="400000"/>
    <s v="fruzsi9819@freemail.hu"/>
    <s v="Kovács Ildikó"/>
    <n v="8"/>
    <s v="Aktív"/>
    <n v="8"/>
    <n v="8"/>
    <s v="magyar"/>
    <m/>
  </r>
  <r>
    <s v="Pados Benjámin János"/>
    <s v="TQPM2F"/>
    <s v="Aktív"/>
    <s v="osztatlan tanári [12 félév [magyartanár; történelemtanár és állampolgári ismeretek tanára]]"/>
    <x v="14"/>
    <s v="osztatlan tanárképzés"/>
    <s v="TKK-OTAK-NOHU"/>
    <s v="Szombathely"/>
    <s v="Vas"/>
    <s v="Pados Benjámin János"/>
    <s v="Magyarország"/>
    <d v="2000-01-07T00:00:00"/>
    <s v="T143455/FI80798"/>
    <x v="5"/>
    <s v="Állami ösztöndíjas"/>
    <s v="2018/19/1"/>
    <s v="Nappali"/>
    <n v="7"/>
    <n v="1"/>
    <s v="2021/22/2"/>
    <n v="10"/>
    <s v="78954643559"/>
    <n v="12"/>
    <x v="3"/>
    <m/>
    <m/>
    <m/>
    <m/>
    <s v="Képzésváltás intézményen belül"/>
    <d v="2019-09-14T00:00:00"/>
    <m/>
    <s v="BDPK-SEK"/>
    <s v="Eke Norbertné"/>
    <d v="2018-07-25T00:00:00"/>
    <d v="2024-06-30T00:00:00"/>
    <n v="500000"/>
    <m/>
    <n v="5"/>
    <s v="Férfi"/>
    <n v="500000"/>
    <s v="pados.benike@gmail.com"/>
    <s v="Erdődi Mária"/>
    <n v="6"/>
    <s v="Aktív"/>
    <n v="6"/>
    <n v="8"/>
    <s v="magyar"/>
    <m/>
  </r>
  <r>
    <s v="Pálfi Áron"/>
    <s v="HHPY1F"/>
    <s v="Aktív"/>
    <s v="osztatlan tanári [12 félév [magyartanár; történelemtanár és állampolgári ismeretek tanára]]"/>
    <x v="14"/>
    <s v="osztatlan tanárképzés"/>
    <s v="TKK-OTAK-NOHU"/>
    <s v="Kapuvár"/>
    <s v="Győr-Moson-Sopron"/>
    <s v="Pálfi Áron"/>
    <s v="Magyarország"/>
    <d v="1998-10-19T00:00:00"/>
    <s v="T136068/FI80798"/>
    <x v="5"/>
    <s v="Állami ösztöndíjas"/>
    <s v="2018/19/1"/>
    <s v="Nappali"/>
    <n v="7"/>
    <n v="1"/>
    <s v="2021/22/2"/>
    <n v="10"/>
    <s v="79611693411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Férfi"/>
    <n v="400000"/>
    <s v="palfi2012@gmail.com"/>
    <s v="Horváth Márta"/>
    <n v="8"/>
    <s v="Aktív"/>
    <n v="8"/>
    <n v="8"/>
    <s v="magyar"/>
    <m/>
  </r>
  <r>
    <s v="Szimandel Eszter"/>
    <s v="CLW4SK"/>
    <s v="Aktív"/>
    <s v="osztatlan tanári [12 félév [magyartanár; történelemtanár és állampolgári ismeretek tanára]]"/>
    <x v="14"/>
    <s v="osztatlan tanárképzés"/>
    <s v="TKK-OTAK-NOHU"/>
    <s v="Szombathely"/>
    <s v="Vas"/>
    <s v="Szimandel Eszter"/>
    <s v="Magyarország"/>
    <d v="1999-05-25T00:00:00"/>
    <s v="T137718/FI80798"/>
    <x v="5"/>
    <s v="Állami ösztöndíjas"/>
    <s v="2018/19/1"/>
    <s v="Nappali"/>
    <n v="7"/>
    <n v="1"/>
    <s v="2021/22/2"/>
    <n v="10"/>
    <s v="75929256248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Nő"/>
    <n v="400000"/>
    <s v="szimandel.eszter@gmail.com"/>
    <s v="Frei Zsuzsanna"/>
    <n v="8"/>
    <s v="Aktív"/>
    <n v="8"/>
    <n v="8"/>
    <s v="magyar"/>
    <m/>
  </r>
  <r>
    <s v="Görög Alexandra"/>
    <s v="LBGN0X"/>
    <s v="Aktív"/>
    <s v="osztatlan tanári [12 félév [magyartanár; történelemtanár és állampolgári ismeretek tanára]]"/>
    <x v="14"/>
    <s v="osztatlan tanárképzés"/>
    <s v="TKK-OTAK-NOHU"/>
    <s v="Sopron"/>
    <s v="Győr-Moson-Sopron"/>
    <s v="Görög Alexandra"/>
    <s v="Magyarország"/>
    <d v="1999-05-30T00:00:00"/>
    <s v="T142662/FI80798"/>
    <x v="5"/>
    <s v="Állami ösztöndíjas"/>
    <s v="2018/19/1"/>
    <s v="Nappali"/>
    <n v="7"/>
    <n v="1"/>
    <s v="2021/22/2"/>
    <n v="10"/>
    <s v="79797166837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Nő"/>
    <n v="400000"/>
    <s v="gorog.alexaa@gmail.com"/>
    <s v="Goger Judit"/>
    <n v="8"/>
    <s v="Aktív"/>
    <n v="8"/>
    <n v="8"/>
    <s v="magyar"/>
    <m/>
  </r>
  <r>
    <s v="Szabó Kitti Viktória"/>
    <s v="Z0PUMW"/>
    <s v="Aktív"/>
    <s v="osztatlan tanári [12 félév [magyartanár; történelemtanár és állampolgári ismeretek tanára]]"/>
    <x v="14"/>
    <s v="osztatlan tanárképzés"/>
    <s v="TKK-OTAK-NOHU"/>
    <s v="Körmend"/>
    <s v="Vas"/>
    <s v="Szabó Kitti Viktória"/>
    <s v="Magyarország"/>
    <d v="1999-09-11T00:00:00"/>
    <s v="T135568/FI80798"/>
    <x v="5"/>
    <s v="Állami ösztöndíjas"/>
    <s v="2018/19/1"/>
    <s v="Nappali"/>
    <n v="7"/>
    <n v="1"/>
    <s v="2021/22/2"/>
    <n v="10"/>
    <s v="72443460369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Nő"/>
    <n v="400000"/>
    <s v="szkitti99@gmail.com"/>
    <s v="Marosits Beáta"/>
    <n v="8"/>
    <s v="Aktív"/>
    <n v="8"/>
    <n v="8"/>
    <s v="magyar"/>
    <m/>
  </r>
  <r>
    <s v="Szemerics András"/>
    <s v="DGKIY6"/>
    <s v="Aktív"/>
    <s v="osztatlan tanári [12 félév [magyartanár; történelemtanár és állampolgári ismeretek tanára]]"/>
    <x v="14"/>
    <s v="osztatlan tanárképzés"/>
    <s v="TKK-OTAK-NOHU"/>
    <s v="Szombathely"/>
    <s v="Vas"/>
    <s v="Szemerics András"/>
    <s v="Magyarország"/>
    <d v="1998-04-25T00:00:00"/>
    <s v="T136356/FI80798"/>
    <x v="5"/>
    <s v="Állami ösztöndíjas"/>
    <s v="2018/19/1"/>
    <s v="Nappali"/>
    <n v="7"/>
    <n v="1"/>
    <s v="2021/22/2"/>
    <n v="10"/>
    <s v="79146086906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Férfi"/>
    <n v="400000"/>
    <s v="bandras9898@gmail.com"/>
    <s v="Szemerics Ildikó"/>
    <n v="8"/>
    <s v="Aktív"/>
    <n v="8"/>
    <n v="8"/>
    <s v="magyar"/>
    <m/>
  </r>
  <r>
    <s v="Lang Márk"/>
    <s v="CIRE9O"/>
    <s v="Aktív"/>
    <s v="osztatlan tanári [12 félév [magyartanár; történelemtanár és állampolgári ismeretek tanára]]"/>
    <x v="14"/>
    <s v="osztatlan tanárképzés"/>
    <s v="TKK-OTAK-NOHU"/>
    <s v="Körmend"/>
    <s v="Vas"/>
    <s v="Lang Márk"/>
    <s v="Magyarország"/>
    <d v="2000-03-28T00:00:00"/>
    <s v="T140189/FI80798"/>
    <x v="5"/>
    <s v="Állami ösztöndíjas"/>
    <s v="2018/19/1"/>
    <s v="Nappali"/>
    <n v="7"/>
    <n v="1"/>
    <s v="2021/22/2"/>
    <n v="10"/>
    <s v="79649269609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Férfi"/>
    <n v="400000"/>
    <s v="marklang00@gmail.com"/>
    <s v="Varga Magdolna"/>
    <n v="8"/>
    <s v="Aktív"/>
    <n v="8"/>
    <n v="8"/>
    <s v="magyar"/>
    <m/>
  </r>
  <r>
    <s v="Molnár Rebeka"/>
    <s v="D5ZIAL"/>
    <s v="Aktív"/>
    <s v="osztatlan tanári [12 félév [magyartanár; történelemtanár és állampolgári ismeretek tanára]]"/>
    <x v="14"/>
    <s v="osztatlan tanárképzés"/>
    <s v="TKK-OTAK-NOHU"/>
    <s v="Nagykanizsa"/>
    <s v="Zala"/>
    <s v="Molnár Rebeka"/>
    <s v="Magyarország"/>
    <d v="1999-07-09T00:00:00"/>
    <s v="T138173/FI80798"/>
    <x v="5"/>
    <s v="Állami ösztöndíjas"/>
    <s v="2018/19/1"/>
    <s v="Nappali"/>
    <n v="7"/>
    <n v="1"/>
    <s v="2021/22/2"/>
    <n v="10"/>
    <s v="78287146951"/>
    <n v="12"/>
    <x v="3"/>
    <m/>
    <m/>
    <m/>
    <m/>
    <s v="Képzésváltás intézményen belül"/>
    <d v="2021-02-03T00:00:00"/>
    <m/>
    <s v="BDPK-SEK"/>
    <s v="Eke Norbertné"/>
    <d v="2018-07-25T00:00:00"/>
    <d v="2024-07-15T00:00:00"/>
    <m/>
    <m/>
    <n v="2"/>
    <s v="Nő"/>
    <n v="300000"/>
    <s v="molnar.rebeka0709@gmail.com"/>
    <s v="Szlávecz Tímea Viktória"/>
    <n v="3"/>
    <s v="Aktív"/>
    <n v="3"/>
    <n v="8"/>
    <s v="magyar"/>
    <m/>
  </r>
  <r>
    <s v="Kazinczki Dóra"/>
    <s v="XFRPYE"/>
    <s v="Aktív"/>
    <s v="osztatlan tanári [12 félév [magyartanár; történelemtanár és állampolgári ismeretek tanára]]"/>
    <x v="14"/>
    <s v="osztatlan tanárképzés"/>
    <s v="TKK-OTAK-NOHU"/>
    <s v="Körmend"/>
    <s v="Vas"/>
    <s v="Kazinczki Dóra"/>
    <s v="Magyarország"/>
    <d v="2000-08-25T00:00:00"/>
    <s v="T148701/FI80798"/>
    <x v="5"/>
    <s v="Állami ösztöndíjas"/>
    <s v="2019/20/1"/>
    <s v="Nappali"/>
    <n v="9"/>
    <n v="1"/>
    <s v="2021/22/2"/>
    <n v="10"/>
    <s v="72921775946"/>
    <n v="12"/>
    <x v="3"/>
    <m/>
    <m/>
    <m/>
    <m/>
    <s v="Képzésváltás intézményen belül"/>
    <d v="2019-09-14T00:00:00"/>
    <m/>
    <s v="BDPK-SEK"/>
    <s v="Eke Norbertné"/>
    <d v="2019-07-24T00:00:00"/>
    <d v="2025-07-15T00:00:00"/>
    <n v="500000"/>
    <m/>
    <n v="5"/>
    <s v="Nő"/>
    <n v="500000"/>
    <s v="dodocska2000@gmail.com"/>
    <s v="Trencséni Orsolya Judit"/>
    <n v="6"/>
    <s v="Aktív"/>
    <n v="6"/>
    <n v="6"/>
    <s v="magyar"/>
    <m/>
  </r>
  <r>
    <s v="Bán-Farkas Bernadett"/>
    <s v="E4MRQ2"/>
    <s v="Aktív"/>
    <s v="osztatlan tanári [12 félév [magyartanár; történelemtanár és állampolgári ismeretek tanára]]"/>
    <x v="14"/>
    <s v="osztatlan tanárképzés"/>
    <s v="TKK-OTAK-NOHU"/>
    <s v="Marcali"/>
    <s v="Somogy"/>
    <s v="Bán-Farkas Bernadett"/>
    <s v="Magyarország"/>
    <d v="2001-03-30T00:00:00"/>
    <s v="T155561/FI80798"/>
    <x v="5"/>
    <s v="Állami ösztöndíjas"/>
    <s v="2019/20/1"/>
    <s v="Nappali"/>
    <n v="9"/>
    <n v="1"/>
    <s v="2021/22/2"/>
    <n v="10"/>
    <s v="73190394664"/>
    <n v="12"/>
    <x v="3"/>
    <m/>
    <m/>
    <m/>
    <m/>
    <s v="Képzésváltás intézményen belül"/>
    <d v="2019-09-14T00:00:00"/>
    <m/>
    <s v="BDPK-SEK"/>
    <s v="Eke Norbertné"/>
    <d v="2019-07-24T00:00:00"/>
    <d v="2025-07-15T00:00:00"/>
    <n v="500000"/>
    <m/>
    <n v="5"/>
    <s v="Nő"/>
    <n v="500000"/>
    <s v="banfarkasberni@gmail.com"/>
    <s v="Horváth Tímea"/>
    <n v="6"/>
    <s v="Aktív"/>
    <n v="6"/>
    <n v="6"/>
    <s v="magyar"/>
    <m/>
  </r>
  <r>
    <s v="Pintér Patrik"/>
    <s v="YIBFQ8"/>
    <s v="Aktív"/>
    <s v="osztatlan tanári [12 félév [magyartanár; történelemtanár és állampolgári ismeretek tanára]]"/>
    <x v="14"/>
    <s v="osztatlan tanárképzés"/>
    <s v="TKK-OTAK-NOHU"/>
    <s v="Sopron"/>
    <s v="Győr-Moson-Sopron"/>
    <s v="Pintér Patrik"/>
    <s v="Magyarország"/>
    <d v="1997-07-26T00:00:00"/>
    <s v="T151258/FI80798"/>
    <x v="5"/>
    <s v="Állami ösztöndíjas"/>
    <s v="2019/20/1"/>
    <s v="Nappali"/>
    <n v="9"/>
    <n v="1"/>
    <s v="2021/22/2"/>
    <n v="10"/>
    <s v="73918748976"/>
    <n v="12"/>
    <x v="3"/>
    <m/>
    <m/>
    <m/>
    <m/>
    <s v="Képzésváltás intézményen belül"/>
    <d v="2019-09-14T00:00:00"/>
    <m/>
    <s v="BDPK-SEK"/>
    <s v="Eke Norbertné"/>
    <d v="2019-07-24T00:00:00"/>
    <d v="2025-07-15T00:00:00"/>
    <n v="500000"/>
    <m/>
    <n v="5"/>
    <s v="Férfi"/>
    <n v="500000"/>
    <s v="pinpat97@gmail.com"/>
    <s v="Vissi Natália"/>
    <n v="6"/>
    <s v="Aktív"/>
    <n v="6"/>
    <n v="6"/>
    <s v="magyar"/>
    <m/>
  </r>
  <r>
    <s v="Weinhoffer Ramóna"/>
    <s v="I033G2"/>
    <s v="Aktív"/>
    <s v="osztatlan tanári [12 félév [magyartanár; történelemtanár és állampolgári ismeretek tanára]]"/>
    <x v="14"/>
    <s v="osztatlan tanárképzés"/>
    <s v="TKK-OTAK-NOHU"/>
    <s v="Szombathely"/>
    <s v="Vas"/>
    <s v="Weinhoffer Ramóna"/>
    <s v="Magyarország"/>
    <d v="1999-10-26T00:00:00"/>
    <s v="T155839/FI80798"/>
    <x v="5"/>
    <s v="Állami ösztöndíjas"/>
    <s v="2019/20/1"/>
    <s v="Nappali"/>
    <n v="9"/>
    <n v="1"/>
    <s v="2021/22/2"/>
    <n v="10"/>
    <s v="77785661027"/>
    <n v="12"/>
    <x v="3"/>
    <m/>
    <m/>
    <m/>
    <m/>
    <s v="Képzésváltás intézményen belül"/>
    <d v="2019-09-14T00:00:00"/>
    <m/>
    <s v="BDPK-SEK"/>
    <s v="Eke Norbertné"/>
    <d v="2019-07-24T00:00:00"/>
    <d v="2025-07-15T00:00:00"/>
    <n v="500000"/>
    <m/>
    <n v="5"/>
    <s v="Nő"/>
    <n v="500000"/>
    <s v="ramona.weinhoffer@gmail.com"/>
    <s v="Szalai Katalin"/>
    <n v="6"/>
    <s v="Aktív"/>
    <n v="6"/>
    <n v="6"/>
    <s v="magyar"/>
    <m/>
  </r>
  <r>
    <s v="Kiss Barnabás"/>
    <s v="CLL9FR"/>
    <s v="Aktív"/>
    <s v="osztatlan tanári [12 félév [magyartanár; történelemtanár és állampolgári ismeretek tanára]]"/>
    <x v="14"/>
    <s v="osztatlan tanárképzés"/>
    <s v="TKK-OTAK-NOHU"/>
    <s v="Csorna"/>
    <s v="Győr-Moson-Sopron"/>
    <s v="Kiss Barnabás"/>
    <s v="Magyarország"/>
    <d v="2000-04-07T00:00:00"/>
    <s v="T154372/FI80798"/>
    <x v="5"/>
    <s v="Állami ösztöndíjas"/>
    <s v="2019/20/1"/>
    <s v="Nappali"/>
    <n v="9"/>
    <n v="1"/>
    <s v="2021/22/2"/>
    <n v="10"/>
    <s v="73799739222"/>
    <n v="12"/>
    <x v="3"/>
    <m/>
    <m/>
    <m/>
    <m/>
    <s v="Képzésváltás intézményen belül"/>
    <d v="2019-09-14T00:00:00"/>
    <m/>
    <s v="BDPK-SEK"/>
    <s v="Eke Norbertné"/>
    <d v="2019-07-24T00:00:00"/>
    <d v="2025-07-15T00:00:00"/>
    <n v="500000"/>
    <m/>
    <n v="5"/>
    <s v="Férfi"/>
    <n v="500000"/>
    <s v="barni20@icloud.com"/>
    <s v="Szabó Ildikó"/>
    <n v="6"/>
    <s v="Aktív"/>
    <n v="6"/>
    <n v="6"/>
    <s v="magyar"/>
    <m/>
  </r>
  <r>
    <s v="Koller Adél Antónia"/>
    <s v="GNA7WN"/>
    <s v="Aktív"/>
    <s v="osztatlan tanári [12 félév [magyartanár; történelemtanár és állampolgári ismeretek tanára]]"/>
    <x v="14"/>
    <s v="osztatlan tanárképzés"/>
    <s v="TKK-OTAK-NOHU"/>
    <s v="Sárvár"/>
    <s v="Vas"/>
    <s v="Koller Adél Antónia"/>
    <s v="Magyarország"/>
    <d v="2000-09-17T00:00:00"/>
    <s v="T150450/FI80798"/>
    <x v="5"/>
    <s v="Állami ösztöndíjas"/>
    <s v="2019/20/1"/>
    <s v="Nappali"/>
    <n v="9"/>
    <n v="1"/>
    <s v="2021/22/2"/>
    <n v="10"/>
    <s v="76893406208"/>
    <n v="12"/>
    <x v="3"/>
    <m/>
    <m/>
    <m/>
    <m/>
    <s v="Képzésváltás intézményen belül"/>
    <d v="2022-02-01T00:00:00"/>
    <m/>
    <s v="BDPK-SEK"/>
    <s v="Eke Norbertné"/>
    <d v="2019-07-24T00:00:00"/>
    <d v="2028-01-31T00:00:00"/>
    <m/>
    <m/>
    <n v="1"/>
    <s v="Nő"/>
    <n v="300000"/>
    <s v="kollernetti@gmail.com"/>
    <s v="Loós Zsuzsanna"/>
    <n v="1"/>
    <s v="Aktív"/>
    <n v="1"/>
    <n v="6"/>
    <s v="magyar"/>
    <m/>
  </r>
  <r>
    <s v="Szomi Tamás Ifj."/>
    <s v="V83VYB"/>
    <s v="Aktív"/>
    <s v="osztatlan tanári [12 félév [magyartanár; történelemtanár és állampolgári ismeretek tanára]]"/>
    <x v="14"/>
    <s v="osztatlan tanárképzés"/>
    <s v="TKK-OTAK-NOHU"/>
    <s v="Nagykanizsa"/>
    <s v="Zala"/>
    <s v="Szomi Tamás"/>
    <s v="Magyarország"/>
    <d v="1999-07-08T00:00:00"/>
    <s v="T150892/FI80798"/>
    <x v="5"/>
    <s v="Állami ösztöndíjas"/>
    <s v="2019/20/1"/>
    <s v="Nappali"/>
    <n v="9"/>
    <n v="1"/>
    <s v="2021/22/2"/>
    <n v="10"/>
    <s v="78235363713"/>
    <n v="12"/>
    <x v="3"/>
    <m/>
    <m/>
    <m/>
    <m/>
    <s v="Képzésváltás intézményen belül"/>
    <d v="2019-09-14T00:00:00"/>
    <m/>
    <s v="BDPK-SEK"/>
    <s v="Eke Norbertné"/>
    <d v="2019-07-24T00:00:00"/>
    <d v="2025-07-15T00:00:00"/>
    <n v="500000"/>
    <m/>
    <n v="5"/>
    <s v="Férfi"/>
    <n v="500000"/>
    <s v="tomiszomi@gmail.com"/>
    <s v="Kropf Szilvia"/>
    <n v="6"/>
    <s v="Aktív"/>
    <n v="6"/>
    <n v="6"/>
    <s v="magyar"/>
    <m/>
  </r>
  <r>
    <s v="Málics Viktória"/>
    <s v="U1ZW7Q"/>
    <s v="Aktív"/>
    <s v="osztatlan tanári [12 félév [magyartanár; történelemtanár és állampolgári ismeretek tanára]]"/>
    <x v="14"/>
    <s v="osztatlan tanárképzés"/>
    <s v="TKK-OTAK-NOHU"/>
    <s v="Zalaegerszeg"/>
    <s v="Zala"/>
    <s v="Málics Viktória"/>
    <s v="Magyarország"/>
    <d v="2001-11-19T00:00:00"/>
    <s v="T164795/FI80798"/>
    <x v="5"/>
    <s v="Állami ösztöndíjas"/>
    <s v="2020/21/1"/>
    <s v="Nappali"/>
    <n v="11"/>
    <n v="1"/>
    <s v="2021/22/2"/>
    <n v="10"/>
    <s v="71607464697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Nő"/>
    <n v="500000"/>
    <s v="viktoriamalics11@gmail.com"/>
    <s v="Lascsik Edina"/>
    <n v="4"/>
    <s v="Aktív"/>
    <n v="4"/>
    <n v="4"/>
    <s v="magyar"/>
    <m/>
  </r>
  <r>
    <s v="Farkas Mihály Tamás"/>
    <s v="J5Y7ES"/>
    <s v="Passzív"/>
    <s v="osztatlan tanári [12 félév [magyartanár; történelemtanár és állampolgári ismeretek tanára]]"/>
    <x v="14"/>
    <s v="osztatlan tanárképzés"/>
    <s v="TKK-OTAK-NOHU"/>
    <s v="Szeged"/>
    <s v="Csongrád"/>
    <s v="Farkas Mihály Tamás"/>
    <s v="Magyarország"/>
    <d v="1995-07-18T00:00:00"/>
    <s v="T189826/FI80798"/>
    <x v="5"/>
    <s v="Állami ösztöndíjas"/>
    <s v="2021/22/1"/>
    <s v="Nappali"/>
    <n v="2"/>
    <n v="1"/>
    <s v="2021/22/1"/>
    <n v="10"/>
    <s v="76940436478"/>
    <n v="12"/>
    <x v="3"/>
    <m/>
    <m/>
    <m/>
    <m/>
    <s v="Képzésváltás intézményen belül"/>
    <d v="2021-09-13T00:00:00"/>
    <m/>
    <s v="BDPK-SEK"/>
    <s v="Eke Norbertné"/>
    <d v="2021-07-23T00:00:00"/>
    <d v="2028-07-15T00:00:00"/>
    <n v="500000"/>
    <m/>
    <n v="1"/>
    <s v="Férfi"/>
    <n v="500000"/>
    <s v="farkasmihalytamas@freemail.hu"/>
    <s v="Gyuris Katalin"/>
    <n v="1"/>
    <s v="Passzív"/>
    <m/>
    <n v="1"/>
    <s v="magyar"/>
    <m/>
  </r>
  <r>
    <s v="Keresztes Anna"/>
    <s v="DYEQMS"/>
    <s v="Aktív"/>
    <s v="osztatlan tanári [12 félév [magyartanár; történelemtanár és állampolgári ismeretek tanára]]"/>
    <x v="14"/>
    <s v="osztatlan tanárképzés"/>
    <s v="TKK-OTAK-NOHU"/>
    <s v="Sopron"/>
    <s v="Győr-Moson-Sopron"/>
    <s v="Keresztes Anna"/>
    <s v="Magyarország"/>
    <d v="2001-11-20T00:00:00"/>
    <s v="T183887/FI80798"/>
    <x v="5"/>
    <s v="Állami ösztöndíjas"/>
    <s v="2021/22/1"/>
    <s v="Nappali"/>
    <n v="13"/>
    <n v="1"/>
    <s v="2021/22/2"/>
    <n v="10"/>
    <s v="71587376053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Nő"/>
    <n v="500000"/>
    <s v="ankakeresztes@gmail.com"/>
    <s v="Horváth Judit"/>
    <n v="2"/>
    <s v="Aktív"/>
    <n v="2"/>
    <n v="2"/>
    <s v="magyar"/>
    <m/>
  </r>
  <r>
    <s v="Gyarmati Flóra"/>
    <s v="ECFI1M"/>
    <s v="Aktív"/>
    <s v="osztatlan tanári [12 félév [magyartanár; történelemtanár és állampolgári ismeretek tanára]]"/>
    <x v="14"/>
    <s v="osztatlan tanárképzés"/>
    <s v="TKK-OTAK-NOHU"/>
    <s v="Körmend"/>
    <s v="Vas"/>
    <s v="Gyarmati Flóra"/>
    <s v="Magyarország"/>
    <d v="2002-03-17T00:00:00"/>
    <s v="T163711/FI80798"/>
    <x v="5"/>
    <s v="Állami ösztöndíjas"/>
    <s v="2020/21/1"/>
    <s v="Nappali"/>
    <n v="11"/>
    <n v="1"/>
    <s v="2021/22/2"/>
    <n v="10"/>
    <s v="71646059677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Nő"/>
    <n v="500000"/>
    <s v="gyaflo@gmail.com"/>
    <s v="Szabó Eszter"/>
    <n v="4"/>
    <s v="Aktív"/>
    <n v="4"/>
    <n v="4"/>
    <s v="magyar"/>
    <m/>
  </r>
  <r>
    <s v="Nagy Henrietta"/>
    <s v="CO1DRJ"/>
    <s v="Aktív"/>
    <s v="osztatlan tanári [12 félév [magyartanár; történelemtanár és állampolgári ismeretek tanára]]"/>
    <x v="14"/>
    <s v="osztatlan tanárképzés"/>
    <s v="TKK-OTAK-NOHU"/>
    <s v="Zalaegerszeg"/>
    <s v="Zala"/>
    <s v="Nagy Henrietta"/>
    <s v="Magyarország"/>
    <d v="2000-09-30T00:00:00"/>
    <s v="T168938/FI80798"/>
    <x v="5"/>
    <s v="Állami ösztöndíjas"/>
    <s v="2020/21/1"/>
    <s v="Nappali"/>
    <n v="11"/>
    <n v="1"/>
    <s v="2021/22/2"/>
    <n v="10"/>
    <s v="75225061301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Nő"/>
    <n v="500000"/>
    <s v="heni0930@gmail.com"/>
    <s v="Németh Mónika"/>
    <n v="4"/>
    <s v="Aktív"/>
    <n v="4"/>
    <n v="4"/>
    <s v="magyar"/>
    <m/>
  </r>
  <r>
    <s v="Polócz Patrícia"/>
    <s v="I4H9IJ"/>
    <s v="Aktív"/>
    <s v="osztatlan tanári [12 félév [magyartanár; történelemtanár és állampolgári ismeretek tanára]]"/>
    <x v="14"/>
    <s v="osztatlan tanárképzés"/>
    <s v="TKK-OTAK-NOHU"/>
    <s v="Győr"/>
    <s v="Győr-Moson-Sopron"/>
    <s v="Polócz Patrícia"/>
    <s v="Magyarország"/>
    <d v="2001-07-22T00:00:00"/>
    <s v="T162963/FI80798"/>
    <x v="5"/>
    <s v="Állami ösztöndíjas"/>
    <s v="2020/21/1"/>
    <s v="Nappali"/>
    <n v="11"/>
    <n v="1"/>
    <s v="2021/22/2"/>
    <n v="10"/>
    <s v="71622021440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Nő"/>
    <n v="500000"/>
    <s v="poloczpatti@gmail.com"/>
    <s v="Lamperth Renáta"/>
    <n v="4"/>
    <s v="Aktív"/>
    <n v="4"/>
    <n v="4"/>
    <s v="magyar"/>
    <m/>
  </r>
  <r>
    <s v="Balogh Zsófia"/>
    <s v="RMIG1G"/>
    <s v="Aktív"/>
    <s v="osztatlan tanári [12 félév [magyartanár; történelemtanár és állampolgári ismeretek tanára]]"/>
    <x v="14"/>
    <s v="osztatlan tanárképzés"/>
    <s v="TKK-OTAK-NOHU"/>
    <s v="Szombathely"/>
    <s v="Vas"/>
    <s v="Balogh Zsófia"/>
    <s v="Magyarország"/>
    <d v="2001-08-26T00:00:00"/>
    <s v="T168011/FI80798"/>
    <x v="5"/>
    <s v="Állami ösztöndíjas"/>
    <s v="2020/21/1"/>
    <s v="Nappali"/>
    <n v="11"/>
    <n v="1"/>
    <s v="2021/22/2"/>
    <n v="10"/>
    <s v="71613388400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Nő"/>
    <n v="500000"/>
    <s v="baloghzsofi1208@gmail.com"/>
    <s v="Markovits Tímea"/>
    <n v="4"/>
    <s v="Aktív"/>
    <n v="4"/>
    <n v="4"/>
    <s v="magyar"/>
    <m/>
  </r>
  <r>
    <s v="Goda Máté"/>
    <s v="K9J5EA"/>
    <s v="Aktív"/>
    <s v="osztatlan tanári [12 félév [magyartanár; történelemtanár és állampolgári ismeretek tanára]]"/>
    <x v="14"/>
    <s v="osztatlan tanárképzés"/>
    <s v="TKK-OTAK-NOHU"/>
    <s v="Pápa"/>
    <s v="Veszprém"/>
    <s v="Goda Máté"/>
    <s v="Magyarország"/>
    <d v="2001-10-29T00:00:00"/>
    <s v="T182775/FI80798"/>
    <x v="5"/>
    <s v="Állami ösztöndíjas"/>
    <s v="2021/22/1"/>
    <s v="Nappali"/>
    <n v="13"/>
    <n v="1"/>
    <s v="2021/22/2"/>
    <n v="10"/>
    <s v="71621299646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Férfi"/>
    <n v="500000"/>
    <s v="mategodus@gmail.com"/>
    <s v="Domján Ágnes Csilla"/>
    <n v="2"/>
    <s v="Aktív"/>
    <n v="2"/>
    <n v="2"/>
    <s v="magyar"/>
    <m/>
  </r>
  <r>
    <s v="Háberl Márk"/>
    <s v="NC6NMY"/>
    <s v="Aktív"/>
    <s v="osztatlan tanári [12 félév [magyartanár; történelemtanár és állampolgári ismeretek tanára]]"/>
    <x v="14"/>
    <s v="osztatlan tanárképzés"/>
    <s v="TKK-OTAK-NOHU"/>
    <s v="Nagykanizsa"/>
    <s v="Zala"/>
    <s v="Háberl Márk"/>
    <s v="Magyarország"/>
    <d v="2002-07-10T00:00:00"/>
    <s v="T184709/FI80798"/>
    <x v="5"/>
    <s v="Állami ösztöndíjas"/>
    <s v="2021/22/1"/>
    <s v="Nappali"/>
    <n v="13"/>
    <n v="1"/>
    <s v="2021/22/2"/>
    <n v="10"/>
    <s v="71763453359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Férfi"/>
    <n v="500000"/>
    <s v="haberl.mark2002@gmail.com"/>
    <s v="Somfalvi Beáta"/>
    <n v="2"/>
    <s v="Aktív"/>
    <n v="2"/>
    <n v="2"/>
    <s v="magyar"/>
    <m/>
  </r>
  <r>
    <s v="Labritz Regina"/>
    <s v="EYOTG4"/>
    <s v="Aktív"/>
    <s v="osztatlan tanári [12 félév [matematikatanár; szlovén és nemzetiségi szlovén nyelv és kultúra tanára]]"/>
    <x v="7"/>
    <s v="osztatlan tanárképzés"/>
    <s v="TKK-OTAK-NOHU"/>
    <s v="Körmend"/>
    <s v="Vas"/>
    <s v="Labritz Regina"/>
    <s v="Magyarország"/>
    <d v="1999-11-29T00:00:00"/>
    <s v="T141994/FI80798"/>
    <x v="5"/>
    <s v="Állami ösztöndíjas"/>
    <s v="2018/19/1"/>
    <s v="Nappali"/>
    <n v="7"/>
    <n v="1"/>
    <s v="2021/22/2"/>
    <n v="10"/>
    <s v="76264480024"/>
    <n v="12"/>
    <x v="3"/>
    <m/>
    <m/>
    <m/>
    <m/>
    <s v="Képzésváltás intézményen belül"/>
    <d v="2019-09-14T00:00:00"/>
    <m/>
    <s v="BDPK-SEK"/>
    <s v="Eke Norbertné"/>
    <d v="2018-07-25T00:00:00"/>
    <d v="2024-06-30T00:00:00"/>
    <n v="500000"/>
    <m/>
    <n v="5"/>
    <s v="Nő"/>
    <n v="500000"/>
    <s v="labritzregina@gmail.com"/>
    <s v="Korpics Andrea"/>
    <n v="6"/>
    <s v="Aktív"/>
    <n v="6"/>
    <n v="8"/>
    <s v="magyar"/>
    <m/>
  </r>
  <r>
    <s v="Horváth Rita"/>
    <s v="GXK6PK"/>
    <s v="Aktív"/>
    <s v="osztatlan tanári [12 félév [matematikatanár; testnevelő tanár]]"/>
    <x v="7"/>
    <s v="osztatlan tanárképzés"/>
    <s v="TKK-OTAK-NOHU"/>
    <s v="Keszthely"/>
    <s v="Zala"/>
    <s v="Horváth Rita"/>
    <s v="Magyarország"/>
    <d v="1995-02-20T00:00:00"/>
    <s v="T130397/FI80798"/>
    <x v="5"/>
    <s v="Állami ösztöndíjas"/>
    <s v="2017/18/1"/>
    <s v="Nappali"/>
    <n v="5"/>
    <n v="1"/>
    <s v="2021/22/2"/>
    <n v="10"/>
    <s v="72063385019"/>
    <n v="12"/>
    <x v="3"/>
    <m/>
    <m/>
    <m/>
    <m/>
    <s v="Képzésváltás intézményen belül"/>
    <d v="2020-02-14T00:00:00"/>
    <m/>
    <s v="BDPK-SEK"/>
    <s v="Eke Norbertné"/>
    <d v="2017-07-27T00:00:00"/>
    <d v="2023-07-15T00:00:00"/>
    <m/>
    <m/>
    <n v="4"/>
    <s v="Nő"/>
    <n v="300000"/>
    <s v="horirita20@gmail.com"/>
    <s v="Bors Jolán"/>
    <n v="5"/>
    <s v="Aktív"/>
    <n v="5"/>
    <n v="10"/>
    <s v="magyar"/>
    <m/>
  </r>
  <r>
    <s v="Balogh Viktória"/>
    <s v="B6ZD6R"/>
    <s v="Aktív"/>
    <s v="osztatlan tanári [12 félév [matematikatanár; testnevelő tanár]]"/>
    <x v="7"/>
    <s v="osztatlan tanárképzés"/>
    <s v="TKK-OTAK-NOHU"/>
    <s v="Sopron"/>
    <s v="Győr-Moson-Sopron"/>
    <s v="Balogh Viktória"/>
    <s v="Magyarország"/>
    <d v="1997-06-25T00:00:00"/>
    <s v="T123591/FI80798"/>
    <x v="5"/>
    <s v="Állami ösztöndíjas"/>
    <s v="2017/18/1"/>
    <s v="Nappali"/>
    <n v="5"/>
    <n v="1"/>
    <s v="2021/22/2"/>
    <n v="10"/>
    <s v="73833358346"/>
    <n v="12"/>
    <x v="3"/>
    <m/>
    <m/>
    <m/>
    <m/>
    <s v="Képzésváltás intézményen belül"/>
    <d v="2019-09-14T00:00:00"/>
    <m/>
    <s v="BDPK-SEK"/>
    <s v="Eke Norbertné"/>
    <d v="2017-07-27T00:00:00"/>
    <d v="2023-06-30T00:00:00"/>
    <n v="500000"/>
    <m/>
    <n v="5"/>
    <s v="Nő"/>
    <n v="500000"/>
    <s v="balogh.viki.bv@gmail.com"/>
    <s v="Tóth Judit"/>
    <n v="6"/>
    <s v="Aktív"/>
    <n v="6"/>
    <n v="10"/>
    <s v="magyar"/>
    <m/>
  </r>
  <r>
    <s v="Krivácsy Zoltán"/>
    <s v="LJ3NVZ"/>
    <s v="Aktív"/>
    <s v="osztatlan tanári [12 félév [matematikatanár; testnevelő tanár]]"/>
    <x v="7"/>
    <s v="osztatlan tanárképzés"/>
    <s v="TKK-OTAK-NOHU"/>
    <s v="Pápa"/>
    <s v="Veszprém"/>
    <s v="Krivácsy Zoltán"/>
    <s v="Magyarország"/>
    <d v="1999-11-01T00:00:00"/>
    <s v="T138635/FI80798"/>
    <x v="5"/>
    <s v="Állami ösztöndíjas"/>
    <s v="2018/19/1"/>
    <s v="Nappali"/>
    <n v="7"/>
    <n v="1"/>
    <s v="2021/22/2"/>
    <n v="10"/>
    <s v="76295414730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Férfi"/>
    <n v="400000"/>
    <s v="zkrivacsy@gmail.com"/>
    <s v="Farkas Zsuzsanna"/>
    <n v="8"/>
    <s v="Aktív"/>
    <n v="8"/>
    <n v="8"/>
    <s v="magyar"/>
    <m/>
  </r>
  <r>
    <s v="Németh Tamás Zsolt"/>
    <s v="DAXET1"/>
    <s v="Aktív"/>
    <s v="osztatlan tanári [12 félév [matematikatanár; testnevelő tanár]]"/>
    <x v="7"/>
    <s v="osztatlan tanárképzés"/>
    <s v="TKK-OTAK-NOHU"/>
    <s v="Zalaegerszeg"/>
    <s v="Zala"/>
    <s v="Németh Tamás Zsolt"/>
    <s v="Magyarország"/>
    <d v="2001-02-20T00:00:00"/>
    <s v="T149524/FI80798"/>
    <x v="5"/>
    <s v="Állami ösztöndíjas"/>
    <s v="2019/20/1"/>
    <s v="Nappali"/>
    <n v="9"/>
    <n v="1"/>
    <s v="2021/22/2"/>
    <n v="10"/>
    <s v="77739898879"/>
    <n v="12"/>
    <x v="3"/>
    <m/>
    <m/>
    <m/>
    <m/>
    <s v="Képzésváltás intézményen belül"/>
    <d v="2019-09-14T00:00:00"/>
    <m/>
    <s v="BDPK-SEK"/>
    <s v="Eke Norbertné"/>
    <d v="2019-07-24T00:00:00"/>
    <d v="2025-07-15T00:00:00"/>
    <n v="500000"/>
    <m/>
    <n v="5"/>
    <s v="Férfi"/>
    <n v="500000"/>
    <s v="nemethtamasmindszenty@gmail.com"/>
    <s v="Lóránt Krisztina"/>
    <n v="6"/>
    <s v="Aktív"/>
    <n v="6"/>
    <n v="6"/>
    <s v="magyar"/>
    <m/>
  </r>
  <r>
    <s v="Fehér Bálint Csaba"/>
    <s v="ILGA4V"/>
    <s v="Aktív"/>
    <s v="osztatlan tanári [12 félév [matematikatanár; testnevelő tanár]]"/>
    <x v="7"/>
    <s v="osztatlan tanárképzés"/>
    <s v="TKK-OTAK-NOHU"/>
    <s v="Keszthely"/>
    <s v="Zala"/>
    <s v="Fehér Bálint Csaba"/>
    <s v="Magyarország"/>
    <d v="1999-08-06T00:00:00"/>
    <s v="T141150/FI80798"/>
    <x v="5"/>
    <s v="Állami ösztöndíjas"/>
    <s v="2018/19/1"/>
    <s v="Nappali"/>
    <n v="7"/>
    <n v="1"/>
    <s v="2021/22/2"/>
    <n v="10"/>
    <s v="74347782512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Férfi"/>
    <n v="400000"/>
    <s v="balu990806@gmail.com"/>
    <s v="Kelemen Nóra"/>
    <n v="8"/>
    <s v="Aktív"/>
    <n v="8"/>
    <n v="8"/>
    <s v="magyar"/>
    <m/>
  </r>
  <r>
    <s v="Orbán Petra"/>
    <s v="EB28U1"/>
    <s v="Aktív"/>
    <s v="osztatlan tanári [12 félév [matematikatanár; történelemtanár és állampolgári ismeretek tanára]]"/>
    <x v="7"/>
    <s v="osztatlan tanárképzés"/>
    <s v="TKK-OTAK-NOHU"/>
    <s v="Csorna"/>
    <s v="Győr-Moson-Sopron"/>
    <s v="Orbán Petra"/>
    <s v="Magyarország"/>
    <d v="1999-10-24T00:00:00"/>
    <s v="T138379/FI80798"/>
    <x v="5"/>
    <s v="Állami ösztöndíjas"/>
    <s v="2018/19/1"/>
    <s v="Nappali"/>
    <n v="7"/>
    <n v="1"/>
    <s v="2021/22/2"/>
    <n v="10"/>
    <s v="75891794879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Nő"/>
    <n v="400000"/>
    <s v="petrus99100@gmail.com"/>
    <s v="Németh Ildikó"/>
    <n v="8"/>
    <s v="Aktív"/>
    <n v="8"/>
    <n v="8"/>
    <s v="magyar"/>
    <m/>
  </r>
  <r>
    <s v="Novák Marcell"/>
    <s v="P984C4"/>
    <s v="Aktív"/>
    <s v="osztatlan tanári [12 félév [matematikatanár; történelemtanár és állampolgári ismeretek tanára]]"/>
    <x v="7"/>
    <s v="osztatlan tanárképzés"/>
    <s v="TKK-OTAK-NOHU"/>
    <s v="Zalaegerszeg"/>
    <s v="Zala"/>
    <s v="Novák Marcell"/>
    <s v="Magyarország"/>
    <d v="2001-09-13T00:00:00"/>
    <s v="T150483/FI80798"/>
    <x v="5"/>
    <s v="Állami ösztöndíjas"/>
    <s v="2019/20/1"/>
    <s v="Nappali"/>
    <n v="9"/>
    <n v="1"/>
    <s v="2021/22/2"/>
    <n v="10"/>
    <s v="77619610672"/>
    <n v="12"/>
    <x v="3"/>
    <m/>
    <m/>
    <m/>
    <m/>
    <s v="Képzésváltás intézményen belül"/>
    <d v="2019-09-14T00:00:00"/>
    <m/>
    <s v="BDPK-SEK"/>
    <s v="Eke Norbertné"/>
    <d v="2019-07-24T00:00:00"/>
    <d v="2025-07-15T00:00:00"/>
    <n v="500000"/>
    <m/>
    <n v="5"/>
    <s v="Férfi"/>
    <n v="500000"/>
    <s v="novimarci20010913@gmail.com"/>
    <s v="Bosits Csilla"/>
    <n v="6"/>
    <s v="Aktív"/>
    <n v="6"/>
    <n v="6"/>
    <s v="magyar"/>
    <m/>
  </r>
  <r>
    <s v="Horváth Anna"/>
    <s v="ROI8W5"/>
    <s v="Aktív"/>
    <s v="osztatlan tanári [12 félév [matematikatanár; történelemtanár és állampolgári ismeretek tanára]]"/>
    <x v="7"/>
    <s v="osztatlan tanárképzés"/>
    <s v="TKK-OTAK-NOHU"/>
    <s v="Szombathely"/>
    <s v="Vas"/>
    <s v="Horváth Anna"/>
    <s v="Magyarország"/>
    <d v="2001-08-30T00:00:00"/>
    <s v="T163641/FI80798"/>
    <x v="5"/>
    <s v="Állami ösztöndíjas"/>
    <s v="2020/21/1"/>
    <s v="Nappali"/>
    <n v="11"/>
    <n v="1"/>
    <s v="2021/22/2"/>
    <n v="10"/>
    <s v="71630380587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Nő"/>
    <n v="500000"/>
    <s v="annahorvath42@gmail.com"/>
    <s v="Tóth Judit"/>
    <n v="4"/>
    <s v="Aktív"/>
    <n v="4"/>
    <n v="4"/>
    <s v="magyar"/>
    <m/>
  </r>
  <r>
    <s v="Kovács Balázs"/>
    <s v="NOZH3I"/>
    <s v="Aktív"/>
    <s v="osztatlan tanári [12 félév [német nyelv és kultúra tanára; testnevelő tanár]]"/>
    <x v="4"/>
    <s v="osztatlan tanárképzés"/>
    <s v="TKK-OTAK-NOHU"/>
    <s v="Szombathely"/>
    <s v="Vas"/>
    <s v="Kovács Balázs"/>
    <s v="Magyarország"/>
    <d v="2001-01-20T00:00:00"/>
    <s v="T164372/FI80798"/>
    <x v="5"/>
    <s v="Állami ösztöndíjas"/>
    <s v="2020/21/1"/>
    <s v="Nappali"/>
    <m/>
    <m/>
    <m/>
    <n v="10"/>
    <s v="76420080713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Férfi"/>
    <n v="500000"/>
    <s v="balazs.kovacs2001@gmail.com"/>
    <s v="Nagy Zsuzsanna"/>
    <n v="4"/>
    <s v="Aktív"/>
    <n v="4"/>
    <n v="4"/>
    <s v="magyar"/>
    <m/>
  </r>
  <r>
    <s v="Kürti Regina"/>
    <s v="ENF6YS"/>
    <s v="Aktív"/>
    <s v="osztatlan tanári [12 félév [német nyelv és kultúra tanára; testnevelő tanár]]"/>
    <x v="4"/>
    <s v="osztatlan tanárképzés"/>
    <s v="TKK-OTAK-NOHU"/>
    <s v="Kapuvár"/>
    <s v="Győr-Moson-Sopron"/>
    <s v="Kürti Regina"/>
    <s v="Magyarország"/>
    <d v="2002-02-14T00:00:00"/>
    <s v="T167350/FI80798"/>
    <x v="5"/>
    <s v="Állami ösztöndíjas"/>
    <s v="2020/21/1"/>
    <s v="Nappali"/>
    <n v="11"/>
    <n v="1"/>
    <s v="2021/22/2"/>
    <n v="10"/>
    <s v="71595977666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Nő"/>
    <n v="500000"/>
    <s v="redzsi2010@gmail.com"/>
    <s v="Cseh Emőke"/>
    <n v="4"/>
    <s v="Aktív"/>
    <n v="4"/>
    <n v="4"/>
    <s v="magyar"/>
    <m/>
  </r>
  <r>
    <s v="Menyhárt Dorka"/>
    <s v="DJDWOJ"/>
    <s v="Aktív"/>
    <s v="osztatlan tanári [12 félév [német nyelv és kultúra tanára; testnevelő tanár]]"/>
    <x v="4"/>
    <s v="osztatlan tanárképzés"/>
    <s v="TKK-OTAK-NOHU"/>
    <s v="Győr"/>
    <s v="Győr-Moson-Sopron"/>
    <s v="Menyhárt Dorka"/>
    <s v="Magyarország"/>
    <d v="2001-07-21T00:00:00"/>
    <s v="T162775/FI80798"/>
    <x v="5"/>
    <s v="Állami ösztöndíjas"/>
    <s v="2020/21/1"/>
    <s v="Nappali"/>
    <n v="11"/>
    <n v="1"/>
    <s v="2021/22/2"/>
    <n v="10"/>
    <s v="71978633804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Nő"/>
    <n v="500000"/>
    <s v="menyhartdorka@yahoo.hu"/>
    <s v="Magyari Tünde"/>
    <n v="4"/>
    <s v="Aktív"/>
    <n v="4"/>
    <n v="4"/>
    <s v="magyar"/>
    <m/>
  </r>
  <r>
    <s v="Szánthó Dóra"/>
    <s v="EN0IIK"/>
    <s v="Aktív"/>
    <s v="osztatlan tanári [12 félév [német nyelv és kultúra tanára; testnevelő tanár]]"/>
    <x v="4"/>
    <s v="osztatlan tanárképzés"/>
    <s v="TKK-OTAK-NOHU"/>
    <s v="Körmend"/>
    <s v="Vas"/>
    <s v="Szánthó Dóra"/>
    <s v="Magyarország"/>
    <d v="2002-09-04T00:00:00"/>
    <s v="T185188/FI80798"/>
    <x v="5"/>
    <s v="Állami ösztöndíjas"/>
    <s v="2021/22/1"/>
    <s v="Nappali"/>
    <n v="13"/>
    <n v="1"/>
    <s v="2021/22/2"/>
    <n v="10"/>
    <s v="71768097505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Nő"/>
    <n v="500000"/>
    <s v="szanthodora9422@gmail.com"/>
    <s v="Bérdi Andrea"/>
    <n v="2"/>
    <s v="Aktív"/>
    <n v="2"/>
    <n v="2"/>
    <s v="magyar"/>
    <m/>
  </r>
  <r>
    <s v="Táncos Dominika"/>
    <s v="GWJOIY"/>
    <s v="Aktív"/>
    <s v="osztatlan tanári [12 félév [német nyelv és kultúra tanára; történelemtanár és állampolgári ismeretek tanára]]"/>
    <x v="4"/>
    <s v="osztatlan tanárképzés"/>
    <s v="TKK-OTAK-NOHU"/>
    <s v="Nagykanizsa"/>
    <s v="Zala"/>
    <s v="Táncos Dominika"/>
    <s v="Magyarország"/>
    <d v="1997-12-05T00:00:00"/>
    <s v="T170215/FI80798"/>
    <x v="5"/>
    <s v="Állami ösztöndíjas"/>
    <s v="2020/21/1"/>
    <s v="Nappali"/>
    <n v="5"/>
    <n v="1"/>
    <s v="2021/22/2"/>
    <n v="10"/>
    <s v="73128736538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Nő"/>
    <n v="500000"/>
    <s v="domcsii234@gmail.com"/>
    <s v="Lakos Katalin"/>
    <n v="4"/>
    <s v="Aktív"/>
    <n v="4"/>
    <n v="4"/>
    <s v="magyar"/>
    <m/>
  </r>
  <r>
    <s v="Sábler Péter"/>
    <s v="TV0OVB"/>
    <s v="Aktív"/>
    <s v="osztatlan tanári [12 félév [német nyelv és kultúra tanára; történelemtanár és állampolgári ismeretek tanára]]"/>
    <x v="4"/>
    <s v="osztatlan tanárképzés"/>
    <s v="TKK-OTAK-NOHU"/>
    <s v="Szombathely"/>
    <s v="Vas"/>
    <s v="Sábler Péter"/>
    <s v="Magyarország"/>
    <d v="2001-11-01T00:00:00"/>
    <s v="T164822/FI80798"/>
    <x v="5"/>
    <s v="Állami ösztöndíjas"/>
    <s v="2020/21/1"/>
    <s v="Nappali"/>
    <n v="11"/>
    <n v="1"/>
    <s v="2021/22/2"/>
    <n v="10"/>
    <s v="71628236399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Férfi"/>
    <n v="500000"/>
    <s v="sabler.peti@gmail.com"/>
    <s v="Molnár Hajnalka"/>
    <n v="4"/>
    <s v="Aktív"/>
    <n v="4"/>
    <n v="4"/>
    <s v="magyar"/>
    <m/>
  </r>
  <r>
    <s v="Horváth Dániel"/>
    <s v="U1YVU6"/>
    <s v="Aktív"/>
    <s v="osztatlan tanári [12 félév [német nyelv és kultúra tanára; történelemtanár és állampolgári ismeretek tanára]]"/>
    <x v="4"/>
    <s v="osztatlan tanárképzés"/>
    <s v="TKK-OTAK-NOHU"/>
    <s v="Győr"/>
    <s v="Győr-Moson-Sopron"/>
    <s v="Horváth Dániel"/>
    <s v="Magyarország"/>
    <d v="2000-04-29T00:00:00"/>
    <s v="T162964/FI80798"/>
    <x v="5"/>
    <s v="Állami ösztöndíjas"/>
    <s v="2020/21/1"/>
    <s v="Nappali"/>
    <n v="11"/>
    <n v="1"/>
    <s v="2021/22/2"/>
    <n v="10"/>
    <s v="74156104965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Férfi"/>
    <n v="500000"/>
    <s v="nsoaif@gmail.com"/>
    <s v="Kosuth Krisztina"/>
    <n v="4"/>
    <s v="Aktív"/>
    <n v="4"/>
    <n v="4"/>
    <s v="magyar"/>
    <m/>
  </r>
  <r>
    <s v="Sipos Nikolett"/>
    <s v="ZHAQG2"/>
    <s v="Aktív"/>
    <s v="osztatlan tanári [12 félév [német nyelv és kultúra tanára; történelemtanár és állampolgári ismeretek tanára]]"/>
    <x v="4"/>
    <s v="osztatlan tanárképzés"/>
    <s v="TKK-OTAK-NOHU"/>
    <s v="Nagykanizsa"/>
    <s v="Zala"/>
    <s v="Sipos Nikolett"/>
    <s v="Magyarország"/>
    <d v="2002-12-02T00:00:00"/>
    <s v="T184412/FI80798"/>
    <x v="5"/>
    <s v="Állami ösztöndíjas"/>
    <s v="2021/22/1"/>
    <s v="Nappali"/>
    <n v="13"/>
    <n v="1"/>
    <s v="2021/22/2"/>
    <n v="10"/>
    <s v="71761201808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Nő"/>
    <n v="500000"/>
    <s v="siposniki02@gmail.com"/>
    <s v="Póka Ildikó"/>
    <n v="2"/>
    <s v="Aktív"/>
    <n v="2"/>
    <n v="2"/>
    <s v="magyar"/>
    <m/>
  </r>
  <r>
    <s v="Sipos Cintia Panna"/>
    <s v="IOIL3L"/>
    <s v="Aktív"/>
    <s v="osztatlan tanári [12 félév [német nyelv és kultúra tanára; történelemtanár és állampolgári ismeretek tanára]]"/>
    <x v="4"/>
    <s v="osztatlan tanárképzés"/>
    <s v="TKK-OTAK-NOHU"/>
    <s v="Körmend"/>
    <s v="Vas"/>
    <s v="Sipos Cintia Panna"/>
    <s v="Magyarország"/>
    <d v="2002-07-20T00:00:00"/>
    <s v="T182352/FI80798"/>
    <x v="5"/>
    <s v="Állami ösztöndíjas"/>
    <s v="2021/22/1"/>
    <s v="Nappali"/>
    <n v="13"/>
    <n v="1"/>
    <s v="2021/22/2"/>
    <n v="10"/>
    <s v="72144360127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Nő"/>
    <n v="500000"/>
    <s v="sipos200210@gmail.com"/>
    <s v="Varga Piroska"/>
    <n v="2"/>
    <s v="Aktív"/>
    <n v="2"/>
    <n v="2"/>
    <s v="magyar"/>
    <m/>
  </r>
  <r>
    <s v="Nagy Csenger Gyula"/>
    <s v="XFI7FC"/>
    <s v="Aktív"/>
    <s v="osztatlan tanári [12 félév [testnevelő tanár; történelemtanár és állampolgári ismeretek tanára]]"/>
    <x v="8"/>
    <s v="osztatlan tanárképzés"/>
    <s v="TKK-OTAK-NOHU"/>
    <s v="Celldömölk"/>
    <s v="Vas"/>
    <s v="Nagy Csenger Gyula"/>
    <s v="Magyarország"/>
    <d v="1999-12-23T00:00:00"/>
    <s v="T138575/FI80798"/>
    <x v="5"/>
    <s v="Állami ösztöndíjas"/>
    <s v="2018/19/1"/>
    <s v="Nappali"/>
    <n v="7"/>
    <n v="1"/>
    <s v="2021/22/2"/>
    <n v="10"/>
    <s v="79830296198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Férfi"/>
    <n v="400000"/>
    <s v="nagycsenger1999@freemail.hu"/>
    <s v="Ferencz Mirtill Veronika"/>
    <n v="8"/>
    <s v="Aktív"/>
    <n v="8"/>
    <n v="8"/>
    <s v="magyar"/>
    <m/>
  </r>
  <r>
    <s v="Klujber Kristóf"/>
    <s v="G1693E"/>
    <s v="Aktív"/>
    <s v="osztatlan tanári [12 félév [testnevelő tanár; történelemtanár és állampolgári ismeretek tanára]]"/>
    <x v="8"/>
    <s v="osztatlan tanárképzés"/>
    <s v="TKK-OTAK-NOHU"/>
    <s v="Székesfehérvár"/>
    <s v="Fejér"/>
    <s v="Klujber Kristóf"/>
    <s v="Magyarország"/>
    <d v="2000-11-30T00:00:00"/>
    <s v="T149629/FI80798"/>
    <x v="5"/>
    <s v="Állami ösztöndíjas"/>
    <s v="2019/20/1"/>
    <s v="Nappali"/>
    <n v="9"/>
    <n v="1"/>
    <s v="2021/22/2"/>
    <n v="10"/>
    <s v="74350816701"/>
    <n v="12"/>
    <x v="3"/>
    <m/>
    <m/>
    <m/>
    <m/>
    <s v="Képzésváltás intézményen belül"/>
    <d v="2019-09-14T00:00:00"/>
    <m/>
    <s v="BDPK-SEK"/>
    <s v="Eke Norbertné"/>
    <d v="2019-07-24T00:00:00"/>
    <d v="2025-07-15T00:00:00"/>
    <n v="500000"/>
    <m/>
    <n v="5"/>
    <s v="Férfi"/>
    <n v="500000"/>
    <s v="Kriannoka@gmail.com"/>
    <s v="Krausz Annamária"/>
    <n v="6"/>
    <s v="Aktív"/>
    <n v="6"/>
    <n v="6"/>
    <s v="magyar"/>
    <m/>
  </r>
  <r>
    <s v="Bolfán Ákos"/>
    <s v="R902ZU"/>
    <s v="Aktív"/>
    <s v="osztatlan tanári [12 félév [testnevelő tanár; történelemtanár és állampolgári ismeretek tanára]]"/>
    <x v="8"/>
    <s v="osztatlan tanárképzés"/>
    <s v="TKK-OTAK-NOHU"/>
    <s v="Szombathely"/>
    <s v="Vas"/>
    <s v="Bolfán Ákos"/>
    <s v="Magyarország"/>
    <d v="2001-10-08T00:00:00"/>
    <s v="T166286/FI80798"/>
    <x v="5"/>
    <s v="Állami ösztöndíjas"/>
    <s v="2020/21/1"/>
    <s v="Nappali"/>
    <n v="11"/>
    <n v="1"/>
    <s v="2021/22/2"/>
    <n v="10"/>
    <s v="71466274747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Férfi"/>
    <n v="500000"/>
    <s v="bolfiaki2001@gmail.com"/>
    <s v="Zarka Ildikó"/>
    <n v="4"/>
    <s v="Aktív"/>
    <n v="4"/>
    <n v="4"/>
    <s v="magyar"/>
    <m/>
  </r>
  <r>
    <s v="Gyallai Martin"/>
    <s v="GIOE35"/>
    <s v="Aktív"/>
    <s v="osztatlan tanári [12 félév [testnevelő tanár; történelemtanár és állampolgári ismeretek tanára]]"/>
    <x v="8"/>
    <s v="osztatlan tanárképzés"/>
    <s v="TKK-OTAK-NOHU"/>
    <s v="Szombathely"/>
    <s v="Vas"/>
    <s v="Gyallai Martin"/>
    <s v="Magyarország"/>
    <d v="2001-01-29T00:00:00"/>
    <s v="T168217/FI80798"/>
    <x v="5"/>
    <s v="Állami ösztöndíjas"/>
    <s v="2020/21/1"/>
    <s v="Nappali"/>
    <n v="11"/>
    <n v="1"/>
    <s v="2021/22/2"/>
    <n v="10"/>
    <s v="71466277014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Férfi"/>
    <n v="500000"/>
    <s v="gyallai01@gmail.com"/>
    <s v="Nádasdy Beatrix"/>
    <n v="4"/>
    <s v="Aktív"/>
    <n v="4"/>
    <n v="4"/>
    <s v="magyar"/>
    <m/>
  </r>
  <r>
    <s v="Pataki Botond"/>
    <s v="FNC3BL"/>
    <s v="Aktív"/>
    <s v="osztatlan tanári [12 félév [testnevelő tanár; történelemtanár és állampolgári ismeretek tanára]]"/>
    <x v="8"/>
    <s v="osztatlan tanárképzés"/>
    <s v="TKK-OTAK-NOHU"/>
    <s v="Marcali"/>
    <s v="Somogy"/>
    <s v="Pataki Botond"/>
    <s v="Magyarország"/>
    <d v="2000-09-07T00:00:00"/>
    <s v="T166409/FI80798"/>
    <x v="5"/>
    <s v="Állami ösztöndíjas"/>
    <s v="2020/21/1"/>
    <s v="Nappali"/>
    <n v="11"/>
    <n v="1"/>
    <s v="2021/22/2"/>
    <n v="10"/>
    <s v="77391112244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Férfi"/>
    <n v="500000"/>
    <s v="patakibotond99@gmail.com"/>
    <s v="Jandzsó Mónika"/>
    <n v="4"/>
    <s v="Aktív"/>
    <n v="4"/>
    <n v="4"/>
    <s v="magyar"/>
    <m/>
  </r>
  <r>
    <s v="Répás Soma"/>
    <s v="LV33P5"/>
    <s v="Aktív"/>
    <s v="osztatlan tanári [12 félév [testnevelő tanár; történelemtanár és állampolgári ismeretek tanára]]"/>
    <x v="8"/>
    <s v="osztatlan tanárképzés"/>
    <s v="TKK-OTAK-NOHU"/>
    <s v="Győr"/>
    <s v="Győr-Moson-Sopron"/>
    <s v="Répás Soma"/>
    <s v="Magyarország"/>
    <d v="2002-11-18T00:00:00"/>
    <s v="T181663/FI80798"/>
    <x v="5"/>
    <s v="Állami ösztöndíjas"/>
    <s v="2021/22/1"/>
    <s v="Nappali"/>
    <n v="13"/>
    <n v="1"/>
    <s v="2021/22/2"/>
    <n v="10"/>
    <s v="72311738737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Férfi"/>
    <n v="500000"/>
    <s v="r.s.wes.m@gmail.com"/>
    <s v="Vági Szilvia"/>
    <n v="2"/>
    <s v="Aktív"/>
    <n v="2"/>
    <n v="2"/>
    <s v="magyar"/>
    <m/>
  </r>
  <r>
    <s v="Varga Enikő"/>
    <s v="OKCMAM"/>
    <s v="Aktív"/>
    <s v="osztatlan tanári [12 félév [testnevelő tanár; történelemtanár és állampolgári ismeretek tanára]]"/>
    <x v="8"/>
    <s v="osztatlan tanárképzés"/>
    <s v="TKK-OTAK-NOHU"/>
    <s v="Keszthely"/>
    <s v="Zala"/>
    <s v="Varga Enikő"/>
    <s v="Magyarország"/>
    <d v="2000-09-13T00:00:00"/>
    <s v="T181845/FI80798"/>
    <x v="5"/>
    <s v="Állami ösztöndíjas"/>
    <s v="2021/22/1"/>
    <s v="Nappali"/>
    <n v="11"/>
    <n v="1"/>
    <s v="2021/22/2"/>
    <n v="10"/>
    <s v="71980068911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Nő"/>
    <n v="500000"/>
    <s v="veniko2104@gmail.com"/>
    <s v="Bogdán Zsuzsanna"/>
    <n v="2"/>
    <s v="Aktív"/>
    <n v="2"/>
    <n v="2"/>
    <s v="magyar"/>
    <m/>
  </r>
  <r>
    <s v="Sós Alexa"/>
    <s v="Y5FVW8"/>
    <s v="Aktív"/>
    <s v="osztatlan tanári [12 félév [történelemtanár és állampolgári ismeretek tanára; horvát és nemzetiségi horvát nyelv és kultúra tanára]]"/>
    <x v="9"/>
    <s v="osztatlan tanárképzés"/>
    <s v="TKK-OTAK-NOHU"/>
    <s v="Nagykanizsa"/>
    <s v="Zala"/>
    <s v="Sós Alexa"/>
    <s v="Magyarország"/>
    <d v="1999-07-19T00:00:00"/>
    <s v="T135427/FI80798"/>
    <x v="5"/>
    <s v="Állami ösztöndíjas"/>
    <s v="2018/19/1"/>
    <s v="Nappali"/>
    <n v="7"/>
    <n v="1"/>
    <s v="2021/22/2"/>
    <n v="10"/>
    <s v="76992889775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Nő"/>
    <n v="400000"/>
    <s v="alexaa.sos.eyyo@gmail.com"/>
    <s v="Kópé Lívia"/>
    <n v="8"/>
    <s v="Aktív"/>
    <n v="8"/>
    <n v="8"/>
    <s v="magyar"/>
    <m/>
  </r>
  <r>
    <s v="Janó Tamás"/>
    <s v="ESMA1N"/>
    <s v="Aktív"/>
    <s v="osztatlan tanári [10 félév [angol nyelv és kultúra tanára; biológiatanár (egészségtan)]]"/>
    <x v="1"/>
    <s v="osztatlan tanár"/>
    <s v="BDPK-SEK-SANO-OT-NOHU"/>
    <s v="Győr"/>
    <s v="Győr-Moson-Sopron"/>
    <s v="Janó Tamás"/>
    <s v="Magyarország"/>
    <d v="1978-03-04T00:00:00"/>
    <s v="T013720/FI21120/B"/>
    <x v="5"/>
    <s v="Állami ösztöndíjas"/>
    <s v="2016/17/1"/>
    <s v="Nappali"/>
    <n v="8"/>
    <n v="1"/>
    <s v="2021/22/2"/>
    <n v="10"/>
    <s v="72514685543"/>
    <n v="10"/>
    <x v="3"/>
    <s v="a központi eljárásban magyarországi képzésre"/>
    <n v="370"/>
    <m/>
    <m/>
    <s v="Felvétel"/>
    <d v="2016-09-01T00:00:00"/>
    <s v="310682979003"/>
    <s v="BDPK-SEK"/>
    <s v="Eke Norbertné"/>
    <d v="2016-07-26T00:00:00"/>
    <d v="2023-01-31T00:00:00"/>
    <n v="400000"/>
    <m/>
    <n v="4"/>
    <s v="Férfi"/>
    <n v="400000"/>
    <s v="janotamas1979@gmail.com"/>
    <s v="Kovács Ildikó"/>
    <n v="9"/>
    <s v="Aktív"/>
    <n v="5"/>
    <n v="9"/>
    <s v="magyar"/>
    <m/>
  </r>
  <r>
    <s v="Szalai Kamilla Laura"/>
    <s v="DCV7EW"/>
    <s v="Aktív"/>
    <s v="osztatlan tanári [10 félév [angol nyelv és kultúra tanára; ének-zene tanár]]"/>
    <x v="6"/>
    <s v="osztatlan tanárképzés"/>
    <s v="TKK-OTAK-NOHU"/>
    <s v="Csorna"/>
    <s v="Győr-Moson-Sopron"/>
    <s v="Szalai Kamilla Laura"/>
    <s v="Magyarország"/>
    <d v="2000-03-01T00:00:00"/>
    <s v="T140920/FI80798"/>
    <x v="5"/>
    <s v="Állami ösztöndíjas"/>
    <s v="2018/19/1"/>
    <s v="Nappali"/>
    <n v="5"/>
    <n v="1"/>
    <s v="2021/22/2"/>
    <n v="10"/>
    <s v="76891161830"/>
    <n v="10"/>
    <x v="3"/>
    <s v="a központi eljárásban magyarországi képzésre"/>
    <n v="364"/>
    <m/>
    <m/>
    <s v="Felvétel"/>
    <d v="2018-09-01T00:00:00"/>
    <s v="310882271649"/>
    <s v="BDPK-SEK"/>
    <s v="Eke Norbertné"/>
    <d v="2018-07-25T00:00:00"/>
    <d v="2023-07-15T00:00:00"/>
    <n v="400000"/>
    <m/>
    <n v="7"/>
    <s v="Nő"/>
    <n v="400000"/>
    <s v="szalai.kamilla.laura@gmail.com"/>
    <s v="Szaszák Ibolya"/>
    <n v="8"/>
    <s v="Aktív"/>
    <n v="8"/>
    <n v="8"/>
    <s v="magyar"/>
    <m/>
  </r>
  <r>
    <s v="Sánta Szilvia"/>
    <s v="YZYSO4"/>
    <s v="Aktív"/>
    <s v="osztatlan tanári [10 félév [angol nyelv és kultúra tanára; magyartanár]]"/>
    <x v="14"/>
    <s v="osztatlan tanárképzés"/>
    <s v="TKK-OTAK-NOHU"/>
    <s v="Nagykanizsa"/>
    <s v="Zala"/>
    <s v="Sánta Szilvia"/>
    <s v="Magyarország"/>
    <d v="1995-08-25T00:00:00"/>
    <s v="T151689/FI80798"/>
    <x v="5"/>
    <s v="Állami ösztöndíjas"/>
    <s v="2019/20/1"/>
    <s v="Nappali"/>
    <n v="3"/>
    <n v="1"/>
    <s v="2021/22/2"/>
    <n v="10"/>
    <s v="76434675600"/>
    <n v="10"/>
    <x v="3"/>
    <m/>
    <m/>
    <m/>
    <m/>
    <s v="Képzésváltás intézményen belül"/>
    <d v="2021-09-02T00:00:00"/>
    <m/>
    <s v="BDPK-SEK"/>
    <s v="Eke Norbertné"/>
    <d v="2019-07-24T00:00:00"/>
    <d v="2024-07-15T00:00:00"/>
    <n v="500000"/>
    <m/>
    <n v="1"/>
    <s v="Nő"/>
    <n v="500000"/>
    <s v="sszilvia0825@gmail.com"/>
    <s v="Kiskó Mária"/>
    <n v="2"/>
    <s v="Aktív"/>
    <n v="2"/>
    <n v="6"/>
    <s v="magyar"/>
    <m/>
  </r>
  <r>
    <s v="Petkó Ágnes Mirtill"/>
    <s v="HY95CF"/>
    <s v="Aktív"/>
    <s v="osztatlan tanári [10 félév [angol nyelv és kultúra tanára; magyartanár]]"/>
    <x v="14"/>
    <s v="osztatlan tanárképzés"/>
    <s v="TKK-OTAK-NOHU"/>
    <s v="Szombathely"/>
    <s v="Vas"/>
    <s v="Petkó Ágnes Mirtill"/>
    <s v="Magyarország"/>
    <d v="1999-05-05T00:00:00"/>
    <s v="T147406/FI80798"/>
    <x v="5"/>
    <s v="Állami ösztöndíjas"/>
    <s v="2019/20/1"/>
    <s v="Nappali"/>
    <n v="7"/>
    <n v="1"/>
    <s v="2021/22/2"/>
    <n v="10"/>
    <s v="76197803682"/>
    <n v="10"/>
    <x v="3"/>
    <s v="a központi eljárásban magyarországi képzésre"/>
    <n v="380"/>
    <m/>
    <m/>
    <s v="Felvétel"/>
    <d v="2019-09-01T00:00:00"/>
    <s v="310982368170"/>
    <s v="BDPK-SEK"/>
    <s v="Eke Norbertné"/>
    <d v="2019-07-24T00:00:00"/>
    <d v="2024-06-30T00:00:00"/>
    <n v="500000"/>
    <m/>
    <n v="5"/>
    <s v="Nő"/>
    <n v="500000"/>
    <s v="petkoagnes@gmail.hu"/>
    <s v="Borsics Orsolya"/>
    <n v="6"/>
    <s v="Aktív"/>
    <n v="6"/>
    <n v="6"/>
    <s v="magyar"/>
    <m/>
  </r>
  <r>
    <s v="Veisz Helga"/>
    <s v="WU09IP"/>
    <s v="Aktív"/>
    <s v="osztatlan tanári [10 félév [angol nyelv és kultúra tanára; matematikatanár]]"/>
    <x v="7"/>
    <s v="osztatlan tanárképzés"/>
    <s v="TKK-OTAK-NOHU"/>
    <s v="Tatabánya"/>
    <s v="Komárom-Esztergom"/>
    <s v="Veisz Helga"/>
    <s v="Magyarország"/>
    <d v="2000-02-22T00:00:00"/>
    <s v="T142164/FI80798"/>
    <x v="5"/>
    <s v="Állami ösztöndíjas"/>
    <s v="2018/19/1"/>
    <s v="Nappali"/>
    <n v="7"/>
    <n v="1"/>
    <s v="2021/22/2"/>
    <n v="10"/>
    <s v="76909340328"/>
    <n v="10"/>
    <x v="3"/>
    <m/>
    <m/>
    <m/>
    <m/>
    <s v="Képzésváltás intézményen belül"/>
    <d v="2021-02-01T00:00:00"/>
    <m/>
    <s v="BDPK-SEK"/>
    <s v="Eke Norbertné"/>
    <d v="2018-07-25T00:00:00"/>
    <d v="2023-07-15T00:00:00"/>
    <m/>
    <m/>
    <n v="2"/>
    <s v="Nő"/>
    <n v="300000"/>
    <s v="veiszhelga222@gmail.com"/>
    <s v="Karsai Anikó"/>
    <n v="3"/>
    <s v="Aktív"/>
    <n v="3"/>
    <n v="8"/>
    <s v="magyar"/>
    <m/>
  </r>
  <r>
    <s v="Frank Petra"/>
    <s v="P9FDZD"/>
    <s v="Passzív"/>
    <s v="osztatlan tanári [10 félév [angol nyelv és kultúra tanára; német nyelv és kultúra tanára]]"/>
    <x v="4"/>
    <s v="osztatlan tanárképzés"/>
    <s v="TKK-OTAK-NOHU"/>
    <s v="Szombathely"/>
    <s v="Vas"/>
    <s v="Frank Petra"/>
    <s v="Magyarország"/>
    <d v="1997-02-19T00:00:00"/>
    <s v="T179573/FI80798"/>
    <x v="5"/>
    <s v="Állami ösztöndíjas"/>
    <s v="2021/22/1"/>
    <s v="Nappali"/>
    <n v="6"/>
    <n v="1"/>
    <s v="2021/22/1"/>
    <n v="10"/>
    <s v="74016573223"/>
    <n v="10"/>
    <x v="3"/>
    <s v="a központi eljárásban magyarországi képzésre"/>
    <n v="394"/>
    <m/>
    <m/>
    <s v="Felvétel"/>
    <d v="2021-09-01T00:00:00"/>
    <s v="310814899293"/>
    <s v="BDPK-SEK"/>
    <s v="Eke Norbertné"/>
    <d v="2021-07-23T00:00:00"/>
    <d v="2027-07-15T00:00:00"/>
    <n v="500000"/>
    <m/>
    <n v="1"/>
    <s v="Nő"/>
    <n v="500000"/>
    <s v="petra.frank0219@gmail.com"/>
    <s v="Tóth Mónika"/>
    <n v="1"/>
    <s v="Passzív"/>
    <n v="1"/>
    <n v="1"/>
    <s v="magyar"/>
    <m/>
  </r>
  <r>
    <s v="Gyöngyösi Judit"/>
    <s v="RRHRR3"/>
    <s v="Aktív"/>
    <s v="osztatlan tanári [10 félév [angol nyelv és kultúra tanára; rajz- és vizuáliskultúra-tanár]]"/>
    <x v="5"/>
    <s v="osztatlan tanárképzés"/>
    <s v="TKK-OTAK-NOHU"/>
    <s v="Sopron"/>
    <s v="Győr-Moson-Sopron"/>
    <s v="Gyöngyösi Judit"/>
    <s v="Magyarország"/>
    <d v="1998-07-08T00:00:00"/>
    <s v="T135644/FI80798"/>
    <x v="5"/>
    <s v="Állami ösztöndíjas"/>
    <s v="2018/19/1"/>
    <s v="Nappali"/>
    <n v="5"/>
    <n v="1"/>
    <s v="2021/22/2"/>
    <n v="10"/>
    <s v="75401067190"/>
    <n v="10"/>
    <x v="3"/>
    <s v="a központi eljárásban magyarországi képzésre"/>
    <n v="440"/>
    <m/>
    <m/>
    <s v="Felvétel"/>
    <d v="2018-09-01T00:00:00"/>
    <s v="310882165940"/>
    <s v="BDPK-SEK"/>
    <s v="Eke Norbertné"/>
    <d v="2018-07-25T00:00:00"/>
    <d v="2023-07-15T00:00:00"/>
    <n v="400000"/>
    <m/>
    <n v="7"/>
    <s v="Nő"/>
    <n v="400000"/>
    <s v="6611249@gmail.com"/>
    <s v="Jámbor Magdolna"/>
    <n v="8"/>
    <s v="Aktív"/>
    <n v="8"/>
    <n v="8"/>
    <s v="magyar"/>
    <m/>
  </r>
  <r>
    <s v="Zrinszki Emese"/>
    <s v="AV0P5V"/>
    <s v="Aktív"/>
    <s v="osztatlan tanári [10 félév [angol nyelv és kultúra tanára; rajz- és vizuáliskultúra-tanár]]"/>
    <x v="5"/>
    <s v="osztatlan tanárképzés"/>
    <s v="TKK-OTAK-NOHU"/>
    <s v="Szombathely"/>
    <s v="Vas"/>
    <s v="Zrinszki Emese"/>
    <s v="Magyarország"/>
    <d v="2003-03-12T00:00:00"/>
    <s v="T181566/FI80798"/>
    <x v="5"/>
    <s v="Állami ösztöndíjas"/>
    <s v="2021/22/1"/>
    <s v="Nappali"/>
    <n v="11"/>
    <n v="1"/>
    <s v="2021/22/2"/>
    <n v="10"/>
    <s v="72164203285"/>
    <n v="10"/>
    <x v="3"/>
    <s v="a központi eljárásban magyarországi képzésre"/>
    <n v="360"/>
    <m/>
    <m/>
    <s v="Felvétel"/>
    <d v="2021-09-01T00:00:00"/>
    <s v="310814956747"/>
    <s v="BDPK-SEK"/>
    <s v="Eke Norbertné"/>
    <d v="2021-07-23T00:00:00"/>
    <d v="2026-07-15T00:00:00"/>
    <n v="500000"/>
    <m/>
    <n v="1"/>
    <s v="Nő"/>
    <n v="500000"/>
    <s v="zrinszki.emese2003@gmail.com"/>
    <s v="Boros Mária"/>
    <n v="2"/>
    <s v="Aktív"/>
    <n v="2"/>
    <n v="2"/>
    <s v="magyar"/>
    <m/>
  </r>
  <r>
    <s v="Rosta Edina"/>
    <s v="II8RCA"/>
    <s v="Aktív"/>
    <s v="osztatlan tanári [10 félév [angol nyelv és kultúra tanára; történelemtanár és állampolgári ismeretek tanára]]"/>
    <x v="9"/>
    <s v="osztatlan tanárképzés"/>
    <s v="TKK-OTAK-NOHU"/>
    <s v="Tapolca"/>
    <s v="Veszprém"/>
    <s v="Rosta Edina"/>
    <s v="Magyarország"/>
    <d v="1998-08-25T00:00:00"/>
    <s v="T137141/FI80798"/>
    <x v="5"/>
    <s v="Állami ösztöndíjas"/>
    <s v="2018/19/1"/>
    <s v="Nappali"/>
    <n v="5"/>
    <n v="1"/>
    <s v="2021/22/2"/>
    <n v="10"/>
    <s v="76840015535"/>
    <n v="10"/>
    <x v="3"/>
    <s v="a központi eljárásban magyarországi képzésre"/>
    <n v="420"/>
    <m/>
    <m/>
    <s v="Felvétel"/>
    <d v="2018-09-01T00:00:00"/>
    <s v="310882135505"/>
    <s v="BDPK-SEK"/>
    <s v="Eke Norbertné"/>
    <d v="2018-07-25T00:00:00"/>
    <d v="2023-07-15T00:00:00"/>
    <n v="400000"/>
    <m/>
    <n v="7"/>
    <s v="Nő"/>
    <n v="400000"/>
    <s v="rosta.edina98@gmail.com"/>
    <s v="Györkös Andrea"/>
    <n v="8"/>
    <s v="Aktív"/>
    <n v="8"/>
    <n v="8"/>
    <s v="magyar"/>
    <m/>
  </r>
  <r>
    <s v="Rátz Dániel Ottó"/>
    <s v="FCKKM6"/>
    <s v="Aktív"/>
    <s v="osztatlan tanári [10 félév [angol nyelv és kultúra tanára; történelemtanár és állampolgári ismeretek tanára]]"/>
    <x v="9"/>
    <s v="osztatlan tanárképzés"/>
    <s v="TKK-OTAK-NOHU"/>
    <s v="Ajka"/>
    <s v="Veszprém"/>
    <s v="Rátz Dániel Ottó"/>
    <s v="Magyarország"/>
    <d v="2000-05-24T00:00:00"/>
    <s v="T136070/FI80798"/>
    <x v="5"/>
    <s v="Állami ösztöndíjas"/>
    <s v="2018/19/1"/>
    <s v="Nappali"/>
    <n v="5"/>
    <n v="1"/>
    <s v="2021/22/2"/>
    <n v="10"/>
    <s v="78594017587"/>
    <n v="10"/>
    <x v="3"/>
    <m/>
    <m/>
    <m/>
    <m/>
    <s v="Képzésváltás intézményen belül"/>
    <d v="2019-09-01T00:00:00"/>
    <m/>
    <s v="BDPK-SEK"/>
    <s v="Eke Norbertné"/>
    <d v="2018-07-25T00:00:00"/>
    <d v="2023-06-30T00:00:00"/>
    <n v="500000"/>
    <m/>
    <n v="5"/>
    <s v="Férfi"/>
    <n v="500000"/>
    <s v="ratzdanielotto@gmail.com"/>
    <s v="Gosztolya Ágota"/>
    <n v="6"/>
    <s v="Aktív"/>
    <n v="6"/>
    <n v="8"/>
    <s v="magyar"/>
    <m/>
  </r>
  <r>
    <s v="Füzi Katinka"/>
    <s v="Y5RX52"/>
    <s v="Passzív"/>
    <s v="osztatlan tanári [10 félév [biológiatanár (egészségtan); testnevelő tanár]]"/>
    <x v="8"/>
    <s v="osztatlan tanárképzés"/>
    <s v="TKK-OTAK-NOHU"/>
    <s v="Kapuvár"/>
    <s v="Győr-Moson-Sopron"/>
    <s v="Füzi Katinka"/>
    <s v="Magyarország"/>
    <d v="2002-11-14T00:00:00"/>
    <s v="T184520/FI80798"/>
    <x v="5"/>
    <s v="Állami ösztöndíjas"/>
    <s v="2021/22/1"/>
    <s v="Nappali"/>
    <n v="12"/>
    <n v="1"/>
    <s v="2021/22/1"/>
    <n v="10"/>
    <s v="71761010252"/>
    <n v="10"/>
    <x v="3"/>
    <s v="a központi eljárásban magyarországi képzésre"/>
    <n v="370"/>
    <m/>
    <m/>
    <s v="Felvétel"/>
    <d v="2021-09-01T00:00:00"/>
    <s v="310814911213"/>
    <s v="BDPK-SEK"/>
    <s v="Eke Norbertné"/>
    <d v="2021-07-23T00:00:00"/>
    <d v="2027-07-15T00:00:00"/>
    <n v="500000"/>
    <m/>
    <n v="1"/>
    <s v="Nő"/>
    <n v="500000"/>
    <s v="katinkafuzi@gmail.com"/>
    <s v="Kiss Katalin"/>
    <n v="1"/>
    <s v="Passzív"/>
    <n v="1"/>
    <n v="1"/>
    <s v="magyar"/>
    <m/>
  </r>
  <r>
    <s v="Lysewycz Adrienn"/>
    <s v="FRKXMG"/>
    <s v="Aktív"/>
    <s v="osztatlan tanári [10 félév [biológiatanár (egészségtan); történelemtanár és állampolgári ismeretek tanára]]"/>
    <x v="9"/>
    <s v="osztatlan tanárképzés"/>
    <s v="TKK-OTAK-NOHU"/>
    <s v="Sárvár"/>
    <s v="Vas"/>
    <s v="Lysewycz Adrienn"/>
    <s v="Magyarország"/>
    <d v="2000-03-27T00:00:00"/>
    <s v="T136722/FI80798"/>
    <x v="5"/>
    <s v="Állami ösztöndíjas"/>
    <s v="2018/19/1"/>
    <s v="Nappali"/>
    <n v="5"/>
    <n v="1"/>
    <s v="2021/22/2"/>
    <n v="10"/>
    <s v="74873153345"/>
    <n v="10"/>
    <x v="3"/>
    <s v="a központi eljárásban magyarországi képzésre"/>
    <n v="403"/>
    <m/>
    <m/>
    <s v="Felvétel"/>
    <d v="2018-09-01T00:00:00"/>
    <s v="310882225074"/>
    <s v="BDPK-SEK"/>
    <s v="Eke Norbertné"/>
    <d v="2018-07-25T00:00:00"/>
    <d v="2023-07-15T00:00:00"/>
    <n v="400000"/>
    <m/>
    <n v="7"/>
    <s v="Nő"/>
    <n v="400000"/>
    <s v="lysewycz.adrienn@hotmail.com"/>
    <s v="Szakács Ágnes"/>
    <n v="8"/>
    <s v="Aktív"/>
    <n v="8"/>
    <n v="8"/>
    <s v="magyar"/>
    <m/>
  </r>
  <r>
    <s v="Törőcsik Viktória"/>
    <s v="WGNCIO"/>
    <s v="Passzív"/>
    <s v="osztatlan tanári [10 félév [ének-zene tanár; rajz- és vizuáliskultúra-tanár]]"/>
    <x v="5"/>
    <s v="osztatlan tanárképzés"/>
    <s v="TKK-OTAK-NOHU"/>
    <s v="Budapest"/>
    <s v="Budapest"/>
    <s v="Törőcsik Viktória"/>
    <s v="Magyarország"/>
    <d v="2002-04-09T00:00:00"/>
    <s v="T181533/FI80798"/>
    <x v="5"/>
    <s v="Állami ösztöndíjas"/>
    <s v="2021/22/1"/>
    <s v="Nappali"/>
    <n v="12"/>
    <n v="1"/>
    <s v="2021/22/1"/>
    <n v="10"/>
    <s v="71610713014"/>
    <n v="10"/>
    <x v="3"/>
    <s v="a központi eljárásban magyarországi képzésre"/>
    <n v="386"/>
    <m/>
    <m/>
    <s v="Felvétel"/>
    <d v="2021-09-01T00:00:00"/>
    <s v="310814749498"/>
    <s v="BDPK-SEK"/>
    <s v="Eke Norbertné"/>
    <d v="2021-07-23T00:00:00"/>
    <d v="2027-07-15T00:00:00"/>
    <n v="500000"/>
    <m/>
    <n v="1"/>
    <s v="Nő"/>
    <n v="500000"/>
    <s v="vikitorocsik@gmail.com"/>
    <s v="Májer Andrea"/>
    <n v="1"/>
    <s v="Passzív"/>
    <m/>
    <n v="1"/>
    <s v="magyar"/>
    <m/>
  </r>
  <r>
    <s v="Kocsis Patrik"/>
    <s v="J0H8HQ"/>
    <s v="Aktív"/>
    <s v="osztatlan tanári [10 félév [földrajztanár; testnevelő tanár]]"/>
    <x v="8"/>
    <s v="osztatlan tanárképzés"/>
    <s v="TKK-OTAK-NOHU"/>
    <s v="Keszthely"/>
    <s v="Zala"/>
    <s v="Kocsis Patrik"/>
    <s v="Magyarország"/>
    <d v="1998-04-09T00:00:00"/>
    <s v="T013766/FI21120/B"/>
    <x v="5"/>
    <s v="Állami ösztöndíjas (képzési időn túli)"/>
    <s v="2016/17/1"/>
    <s v="Nappali"/>
    <n v="1"/>
    <n v="1"/>
    <s v="2021/22/2"/>
    <n v="10"/>
    <s v="71585461487"/>
    <n v="10"/>
    <x v="3"/>
    <m/>
    <m/>
    <m/>
    <m/>
    <s v="Képzésváltás intézményen belül"/>
    <d v="2017-09-15T00:00:00"/>
    <m/>
    <s v="BDPK-SEK"/>
    <s v="Eke Norbertné"/>
    <d v="2016-07-26T00:00:00"/>
    <d v="2022-07-15T00:00:00"/>
    <n v="400000"/>
    <m/>
    <n v="10"/>
    <s v="Férfi"/>
    <n v="400000"/>
    <s v="patyik98@gmail.com"/>
    <s v="Hosszu Ibolya"/>
    <n v="10"/>
    <s v="Aktív"/>
    <n v="10"/>
    <n v="12"/>
    <s v="magyar"/>
    <m/>
  </r>
  <r>
    <s v="Wilhelm Kristóf"/>
    <s v="EF5P42"/>
    <s v="Aktív"/>
    <s v="osztatlan tanári [10 félév [földrajztanár; történelemtanár és állampolgári ismeretek tanára]]"/>
    <x v="9"/>
    <s v="osztatlan tanárképzés"/>
    <s v="TKK-OTAK-NOHU"/>
    <s v="Budapest"/>
    <s v="Budapest"/>
    <s v="Wilhelm Kristóf"/>
    <s v="Magyarország"/>
    <d v="2001-01-30T00:00:00"/>
    <s v="T186369/FI80798"/>
    <x v="5"/>
    <s v="Állami ösztöndíjas"/>
    <s v="2021/22/1"/>
    <s v="Nappali"/>
    <n v="11"/>
    <n v="1"/>
    <s v="2021/22/2"/>
    <n v="10"/>
    <s v="71607735136"/>
    <n v="10"/>
    <x v="3"/>
    <s v="a központi eljárásban magyarországi képzésre"/>
    <n v="412"/>
    <m/>
    <m/>
    <s v="Felvétel"/>
    <d v="2021-09-01T00:00:00"/>
    <s v="310814736610"/>
    <s v="BDPK-SEK"/>
    <s v="Eke Norbertné"/>
    <d v="2021-07-23T00:00:00"/>
    <d v="2026-07-15T00:00:00"/>
    <n v="500000"/>
    <m/>
    <n v="1"/>
    <s v="Férfi"/>
    <n v="500000"/>
    <s v="wilhelmkristof2001@gmail.com"/>
    <s v="Molnár Tímea"/>
    <n v="2"/>
    <s v="Aktív"/>
    <n v="2"/>
    <n v="2"/>
    <s v="magyar"/>
    <m/>
  </r>
  <r>
    <s v="Horváth Nóra"/>
    <s v="CXJQTN"/>
    <s v="Aktív"/>
    <s v="osztatlan tanári [10 félév [magyartanár; ének-zene tanár]]"/>
    <x v="6"/>
    <s v="osztatlan tanárképzés"/>
    <s v="TKK-OTAK-NOHU"/>
    <s v="Budapest"/>
    <s v="Budapest"/>
    <s v="Horváth Nóra"/>
    <s v="Magyarország"/>
    <d v="1998-09-04T00:00:00"/>
    <s v="T152556/FI80798"/>
    <x v="5"/>
    <s v="Állami ösztöndíjas"/>
    <s v="2019/20/1"/>
    <s v="Nappali"/>
    <n v="5"/>
    <n v="1"/>
    <s v="2021/22/2"/>
    <n v="10"/>
    <s v="73455547607"/>
    <n v="10"/>
    <x v="3"/>
    <m/>
    <m/>
    <m/>
    <m/>
    <s v="Képzésváltás intézményen belül"/>
    <d v="2021-09-01T00:00:00"/>
    <m/>
    <s v="BDPK-SEK"/>
    <s v="Eke Norbertné"/>
    <d v="2019-07-24T00:00:00"/>
    <d v="2024-07-15T00:00:00"/>
    <n v="500000"/>
    <m/>
    <n v="1"/>
    <s v="Nő"/>
    <n v="500000"/>
    <s v="norika98@gmail.com"/>
    <s v="Turi Anikó"/>
    <n v="2"/>
    <s v="Aktív"/>
    <n v="2"/>
    <n v="6"/>
    <s v="magyar"/>
    <m/>
  </r>
  <r>
    <s v="Németh Liliána"/>
    <s v="CJ9TUE"/>
    <s v="Aktív"/>
    <s v="osztatlan tanári [10 félév [magyartanár; német nyelv és kultúra tanára]]"/>
    <x v="4"/>
    <s v="osztatlan tanárképzés"/>
    <s v="TKK-OTAK-NOHU"/>
    <s v="Budapest"/>
    <s v="Budapest"/>
    <s v="Németh Liliána"/>
    <s v="Magyarország"/>
    <d v="2002-11-06T00:00:00"/>
    <s v="T188281/FI80798"/>
    <x v="5"/>
    <s v="Állami ösztöndíjas"/>
    <s v="2021/22/1"/>
    <s v="Nappali"/>
    <n v="11"/>
    <n v="1"/>
    <s v="2021/22/2"/>
    <n v="10"/>
    <s v="71769083335"/>
    <n v="10"/>
    <x v="3"/>
    <s v="a központi eljárásban magyarországi képzésre"/>
    <n v="457"/>
    <m/>
    <m/>
    <s v="Felvétel"/>
    <d v="2021-09-01T00:00:00"/>
    <s v="310814213321"/>
    <s v="BDPK-SEK"/>
    <s v="Eke Norbertné"/>
    <d v="2021-07-23T00:00:00"/>
    <d v="2026-07-15T00:00:00"/>
    <n v="500000"/>
    <m/>
    <n v="1"/>
    <s v="Nő"/>
    <n v="500000"/>
    <s v="nemethlilivokvok.2002@gmail.com"/>
    <s v="Kasztner Andrea"/>
    <n v="2"/>
    <s v="Aktív"/>
    <n v="2"/>
    <n v="2"/>
    <s v="magyar"/>
    <m/>
  </r>
  <r>
    <s v="Antal Daniella Éva"/>
    <s v="I16GK4"/>
    <s v="Aktív"/>
    <s v="osztatlan tanári [10 félév [magyartanár; rajz- és vizuáliskultúra-tanár]]"/>
    <x v="5"/>
    <s v="osztatlan tanárképzés"/>
    <s v="TKK-OTAK-NOHU"/>
    <s v="Celldömölk"/>
    <s v="Vas"/>
    <s v="Antal Daniella Éva"/>
    <s v="Magyarország"/>
    <d v="1999-01-23T00:00:00"/>
    <s v="T143332/FI80798"/>
    <x v="5"/>
    <s v="Állami ösztöndíjas"/>
    <s v="2018/19/1"/>
    <s v="Nappali"/>
    <n v="5"/>
    <n v="1"/>
    <s v="2021/22/2"/>
    <n v="10"/>
    <s v="77439884801"/>
    <n v="10"/>
    <x v="3"/>
    <s v="a központi eljárásban magyarországi képzésre"/>
    <n v="364"/>
    <m/>
    <m/>
    <s v="Felvétel"/>
    <d v="2018-09-01T00:00:00"/>
    <s v="310882725719"/>
    <s v="BDPK-SEK"/>
    <s v="Eke Norbertné"/>
    <d v="2018-07-25T00:00:00"/>
    <d v="2023-07-15T00:00:00"/>
    <n v="400000"/>
    <m/>
    <n v="7"/>
    <s v="Nő"/>
    <n v="400000"/>
    <s v="antal.deni@gmail.com"/>
    <s v="Pethő Georgina Éva"/>
    <n v="8"/>
    <s v="Aktív"/>
    <n v="8"/>
    <n v="8"/>
    <s v="magyar"/>
    <m/>
  </r>
  <r>
    <s v="Rumi Réka"/>
    <s v="CXV36U"/>
    <s v="Aktív"/>
    <s v="osztatlan tanári [10 félév [magyartanár; természetismeret-környezettan tanár]]"/>
    <x v="13"/>
    <s v="osztatlan tanárképzés"/>
    <s v="TKK-OTAK-NOHU"/>
    <s v="Keszthely"/>
    <s v="Zala"/>
    <s v="Rumi Réka"/>
    <s v="Magyarország"/>
    <d v="2002-07-10T00:00:00"/>
    <s v="T182252/FI80798"/>
    <x v="5"/>
    <s v="Állami ösztöndíjas"/>
    <s v="2021/22/1"/>
    <s v="Nappali"/>
    <n v="11"/>
    <n v="1"/>
    <s v="2021/22/2"/>
    <n v="10"/>
    <s v="71761297827"/>
    <n v="10"/>
    <x v="3"/>
    <s v="a központi eljárásban magyarországi képzésre"/>
    <n v="340"/>
    <m/>
    <m/>
    <s v="Felvétel"/>
    <d v="2021-09-01T00:00:00"/>
    <s v="310814804137"/>
    <s v="BDPK-SEK"/>
    <s v="Eke Norbertné"/>
    <d v="2021-07-23T00:00:00"/>
    <d v="2026-07-15T00:00:00"/>
    <n v="500000"/>
    <m/>
    <n v="1"/>
    <s v="Nő"/>
    <n v="500000"/>
    <s v="rumireka1@gmail.com"/>
    <s v="Czotter Rita"/>
    <n v="2"/>
    <s v="Aktív"/>
    <n v="2"/>
    <n v="2"/>
    <s v="magyar"/>
    <m/>
  </r>
  <r>
    <s v="Zoltán Péter"/>
    <s v="L71OJZ"/>
    <s v="Passzív"/>
    <s v="osztatlan tanári [10 félév [magyartanár; történelemtanár és állampolgári ismeretek tanára]]"/>
    <x v="9"/>
    <s v="osztatlan tanárképzés"/>
    <s v="TKK-OTAK-LOHU"/>
    <s v="Nagykanizsa"/>
    <s v="Zala"/>
    <s v="Zoltán Péter"/>
    <s v="Magyarország"/>
    <d v="1984-06-07T00:00:00"/>
    <s v="T126869/FI80798"/>
    <x v="5"/>
    <s v="Állami ösztöndíjas"/>
    <s v="2017/18/1"/>
    <s v="Levelező"/>
    <n v="7"/>
    <n v="1"/>
    <s v="2020/21/2"/>
    <n v="10"/>
    <s v="78667578155"/>
    <n v="10"/>
    <x v="3"/>
    <s v="a központi eljárásban magyarországi képzésre"/>
    <n v="368"/>
    <m/>
    <m/>
    <s v="Felvétel"/>
    <d v="2017-09-01T00:00:00"/>
    <s v="310782409950"/>
    <s v="BDPK-SEK"/>
    <s v="Eke Norbertné"/>
    <d v="2017-07-27T00:00:00"/>
    <d v="2024-07-15T00:00:00"/>
    <n v="400000"/>
    <m/>
    <n v="6"/>
    <s v="Férfi"/>
    <n v="400000"/>
    <s v="petizoltan@freemail.hu"/>
    <s v="Nagy Mária"/>
    <n v="6"/>
    <s v="Passzív"/>
    <m/>
    <n v="6"/>
    <s v="magyar"/>
    <m/>
  </r>
  <r>
    <s v="Horváth Zsolt"/>
    <s v="F3IFMG"/>
    <s v="Aktív"/>
    <s v="osztatlan tanári [10 félév [magyartanár; történelemtanár és állampolgári ismeretek tanára]]"/>
    <x v="9"/>
    <s v="osztatlan tanárképzés"/>
    <s v="TKK-OTAK-NOHU"/>
    <s v="Szombathely"/>
    <s v="Vas"/>
    <s v="Horváth Zsolt"/>
    <s v="Magyarország"/>
    <d v="1999-11-29T00:00:00"/>
    <s v="T134573/FI80798"/>
    <x v="5"/>
    <s v="Állami ösztöndíjas"/>
    <s v="2018/19/1"/>
    <s v="Nappali"/>
    <n v="7"/>
    <n v="1"/>
    <s v="2021/22/2"/>
    <n v="10"/>
    <s v="71789236807"/>
    <n v="10"/>
    <x v="3"/>
    <m/>
    <m/>
    <m/>
    <m/>
    <s v="Képzésváltás intézményen belül"/>
    <d v="2021-02-03T00:00:00"/>
    <m/>
    <s v="BDPK-SEK"/>
    <s v="Eke Norbertné"/>
    <d v="2018-07-25T00:00:00"/>
    <d v="2023-07-15T00:00:00"/>
    <m/>
    <m/>
    <n v="2"/>
    <s v="Férfi"/>
    <n v="300000"/>
    <s v="horvath.zsolt.9700@gmail.com"/>
    <s v="Szalai Bernadett"/>
    <n v="3"/>
    <s v="Aktív"/>
    <n v="3"/>
    <n v="8"/>
    <s v="magyar"/>
    <m/>
  </r>
  <r>
    <s v="Derdák Dominik"/>
    <s v="GPOYOI"/>
    <s v="Aktív"/>
    <s v="osztatlan tanári [10 félév [magyartanár; történelemtanár és állampolgári ismeretek tanára]]"/>
    <x v="9"/>
    <s v="osztatlan tanárképzés"/>
    <s v="TKK-OTAK-NOHU"/>
    <s v="Szombathely"/>
    <s v="Vas"/>
    <s v="Derdák Dominik"/>
    <s v="Magyarország"/>
    <d v="2001-05-29T00:00:00"/>
    <s v="T163477/FI80798"/>
    <x v="5"/>
    <s v="Állami ösztöndíjas"/>
    <s v="2020/21/1"/>
    <s v="Nappali"/>
    <n v="11"/>
    <n v="1"/>
    <s v="2021/22/2"/>
    <n v="10"/>
    <s v="71466275379"/>
    <n v="10"/>
    <x v="3"/>
    <s v="a központi eljárásban magyarországi képzésre"/>
    <n v="336"/>
    <m/>
    <m/>
    <s v="Felvétel"/>
    <d v="2020-09-01T00:00:00"/>
    <s v="310804066366"/>
    <s v="BDPK-SEK"/>
    <s v="Eke Norbertné"/>
    <d v="2020-07-23T00:00:00"/>
    <d v="2025-07-15T00:00:00"/>
    <n v="500000"/>
    <m/>
    <n v="1"/>
    <s v="Férfi"/>
    <n v="500000"/>
    <s v="derdakdomi29@gmail.com"/>
    <s v="Toronyai Katalin"/>
    <n v="4"/>
    <s v="Aktív"/>
    <n v="2"/>
    <n v="4"/>
    <s v="magyar"/>
    <m/>
  </r>
  <r>
    <s v="Babócs Fanni"/>
    <s v="FEWEBO"/>
    <s v="Aktív"/>
    <s v="osztatlan tanári [10 félév [magyartanár; történelemtanár és állampolgári ismeretek tanára]]"/>
    <x v="9"/>
    <s v="osztatlan tanárképzés"/>
    <s v="TKK-OTAK-NOHU"/>
    <s v="Körmend"/>
    <s v="Vas"/>
    <s v="Babócs Fanni"/>
    <s v="Magyarország"/>
    <d v="2001-11-14T00:00:00"/>
    <s v="T165976/FI80798"/>
    <x v="5"/>
    <s v="Állami ösztöndíjas"/>
    <s v="2020/21/1"/>
    <s v="Nappali"/>
    <n v="9"/>
    <n v="1"/>
    <s v="2021/22/2"/>
    <n v="10"/>
    <s v="71588369797"/>
    <n v="10"/>
    <x v="3"/>
    <s v="a központi eljárásban magyarországi képzésre"/>
    <n v="369"/>
    <m/>
    <m/>
    <s v="Felvétel"/>
    <d v="2020-09-01T00:00:00"/>
    <s v="310804219809"/>
    <s v="BDPK-SEK"/>
    <s v="Eke Norbertné"/>
    <d v="2020-07-23T00:00:00"/>
    <d v="2025-07-15T00:00:00"/>
    <n v="500000"/>
    <m/>
    <n v="3"/>
    <s v="Nő"/>
    <n v="500000"/>
    <s v="b.fanni20011114@gmail.com"/>
    <s v="Monek Anita"/>
    <n v="4"/>
    <s v="Aktív"/>
    <n v="4"/>
    <n v="4"/>
    <s v="magyar"/>
    <m/>
  </r>
  <r>
    <s v="Musits Adrián Márk"/>
    <s v="PH7H6C"/>
    <s v="Aktív"/>
    <s v="osztatlan tanári [10 félév [magyartanár; történelemtanár és állampolgári ismeretek tanára]]"/>
    <x v="9"/>
    <s v="osztatlan tanárképzés"/>
    <s v="TKK-OTAK-NOHU"/>
    <s v="Körmend"/>
    <s v="Vas"/>
    <s v="Musits Adrián Márk"/>
    <s v="Magyarország"/>
    <d v="2001-11-08T00:00:00"/>
    <s v="T180783/FI80798"/>
    <x v="5"/>
    <s v="Állami ösztöndíjas"/>
    <s v="2021/22/1"/>
    <s v="Nappali"/>
    <n v="11"/>
    <n v="1"/>
    <s v="2021/22/2"/>
    <n v="10"/>
    <s v="71590293838"/>
    <n v="10"/>
    <x v="3"/>
    <s v="a központi eljárásban magyarországi képzésre"/>
    <n v="363"/>
    <m/>
    <m/>
    <s v="Felvétel"/>
    <d v="2021-09-01T00:00:00"/>
    <s v="310814290014"/>
    <s v="BDPK-SEK"/>
    <s v="Eke Norbertné"/>
    <d v="2021-07-23T00:00:00"/>
    <d v="2026-07-15T00:00:00"/>
    <n v="500000"/>
    <m/>
    <n v="1"/>
    <s v="Férfi"/>
    <n v="500000"/>
    <s v="musits.adrianmark@gmail.com"/>
    <s v="Kiss Magdolna"/>
    <n v="2"/>
    <s v="Aktív"/>
    <n v="2"/>
    <n v="2"/>
    <s v="magyar"/>
    <m/>
  </r>
  <r>
    <s v="Fodor Ármin"/>
    <s v="SU04S8"/>
    <s v="Aktív"/>
    <s v="osztatlan tanári [10 félév [magyartanár; történelemtanár és állampolgári ismeretek tanára]]"/>
    <x v="9"/>
    <s v="osztatlan tanárképzés"/>
    <s v="TKK-OTAK-NOHU"/>
    <s v="Szombathely"/>
    <s v="Vas"/>
    <s v="Fodor Ármin"/>
    <s v="Magyarország"/>
    <d v="2001-12-26T00:00:00"/>
    <s v="T184887/FI80798"/>
    <x v="5"/>
    <s v="Állami ösztöndíjas"/>
    <s v="2021/22/1"/>
    <s v="Nappali"/>
    <n v="11"/>
    <n v="1"/>
    <s v="2021/22/2"/>
    <n v="10"/>
    <s v="71768961969"/>
    <n v="10"/>
    <x v="3"/>
    <s v="a központi eljárásban magyarországi képzésre"/>
    <n v="347"/>
    <m/>
    <m/>
    <s v="Felvétel"/>
    <d v="2021-09-01T00:00:00"/>
    <s v="310814532118"/>
    <s v="BDPK-SEK"/>
    <s v="Eke Norbertné"/>
    <d v="2021-07-23T00:00:00"/>
    <d v="2026-07-15T00:00:00"/>
    <n v="500000"/>
    <m/>
    <n v="1"/>
    <s v="Férfi"/>
    <n v="500000"/>
    <s v="arminfodor032@gmail.com"/>
    <s v="Nagy Erika"/>
    <n v="2"/>
    <s v="Aktív"/>
    <n v="2"/>
    <n v="2"/>
    <s v="magyar"/>
    <m/>
  </r>
  <r>
    <s v="Srej Brigitta"/>
    <s v="GSWKS7"/>
    <s v="Aktív"/>
    <s v="osztatlan tanári [10 félév [matematikatanár; német nyelv és kultúra tanára]]"/>
    <x v="4"/>
    <s v="osztatlan tanárképzés"/>
    <s v="TKK-OTAK-NOHU"/>
    <s v="Zalaegerszeg"/>
    <s v="Zala"/>
    <s v="Srej Brigitta"/>
    <s v="Magyarország"/>
    <d v="2002-03-02T00:00:00"/>
    <s v="T186734/FI80798"/>
    <x v="5"/>
    <s v="Állami ösztöndíjas"/>
    <s v="2021/22/1"/>
    <s v="Nappali"/>
    <n v="11"/>
    <n v="1"/>
    <s v="2021/22/2"/>
    <n v="10"/>
    <s v="71467290520"/>
    <n v="10"/>
    <x v="3"/>
    <s v="a központi eljárásban magyarországi képzésre"/>
    <n v="373"/>
    <m/>
    <m/>
    <s v="Felvétel"/>
    <d v="2021-09-01T00:00:00"/>
    <s v="310814977610"/>
    <s v="BDPK-SEK"/>
    <s v="Eke Norbertné"/>
    <d v="2021-07-23T00:00:00"/>
    <d v="2026-07-15T00:00:00"/>
    <n v="500000"/>
    <m/>
    <n v="1"/>
    <s v="Nő"/>
    <n v="500000"/>
    <s v="brigittasrej@gmail.com"/>
    <s v="Kiss Anita"/>
    <n v="2"/>
    <s v="Aktív"/>
    <n v="2"/>
    <n v="2"/>
    <s v="magyar"/>
    <m/>
  </r>
  <r>
    <s v="Kovács Petra"/>
    <s v="H00KWS"/>
    <s v="Aktív"/>
    <s v="osztatlan tanári [10 félév [matematikatanár; testnevelő tanár]]"/>
    <x v="8"/>
    <s v="osztatlan tanárképzés"/>
    <s v="TKK-OTAK-NOHU"/>
    <s v="Kecskemét"/>
    <s v="Bács-Kiskun"/>
    <s v="Kovács Petra"/>
    <s v="Magyarország"/>
    <d v="1998-10-13T00:00:00"/>
    <s v="T190708/FI80798"/>
    <x v="5"/>
    <s v="Állami ösztöndíjas"/>
    <s v="2021/22/1"/>
    <s v="Nappali"/>
    <n v="11"/>
    <n v="1"/>
    <s v="2021/22/2"/>
    <n v="10"/>
    <s v="72463685491"/>
    <n v="10"/>
    <x v="3"/>
    <s v="a központi eljárásban magyarországi képzésre"/>
    <n v="324"/>
    <m/>
    <m/>
    <s v="Felvétel"/>
    <d v="2021-09-01T00:00:00"/>
    <s v="310814887165"/>
    <s v="BDPK-SEK"/>
    <s v="Eke Norbertné"/>
    <d v="2021-07-23T00:00:00"/>
    <d v="2027-01-31T00:00:00"/>
    <n v="500000"/>
    <m/>
    <n v="1"/>
    <s v="Nő"/>
    <n v="500000"/>
    <s v="petra.kovacs1013@gmail.com"/>
    <s v="Friedrich Nikoletta Zsuzsa"/>
    <n v="2"/>
    <s v="Aktív"/>
    <n v="2"/>
    <n v="2"/>
    <s v="magyar"/>
    <m/>
  </r>
  <r>
    <s v="Bödőcsné Kiss Adrienn"/>
    <s v="A8V6XI"/>
    <s v="Passzív"/>
    <s v="osztatlan tanári [10 félév [matematikatanár; történelemtanár és állampolgári ismeretek tanára]]"/>
    <x v="9"/>
    <s v="osztatlan tanárképzés"/>
    <s v="TKK-OTAK-NOHU"/>
    <s v="Zalaegerszeg"/>
    <s v="Zala"/>
    <s v="Kiss Adrienn"/>
    <s v="Magyarország"/>
    <d v="1992-07-18T00:00:00"/>
    <s v="T149979/FI80798"/>
    <x v="5"/>
    <s v="Önköltséges"/>
    <s v="2019/20/1"/>
    <s v="Nappali"/>
    <n v="1"/>
    <n v="1"/>
    <s v="2020/21/2"/>
    <n v="10"/>
    <s v="78791668562"/>
    <n v="10"/>
    <x v="3"/>
    <s v="a központi eljárásban magyarországi képzésre"/>
    <n v="438"/>
    <m/>
    <m/>
    <s v="Felvétel"/>
    <d v="2019-09-01T00:00:00"/>
    <s v="310983095301"/>
    <s v="BDPK-SEK"/>
    <s v="Eke Norbertné"/>
    <d v="2019-07-24T00:00:00"/>
    <d v="2025-07-15T00:00:00"/>
    <n v="500000"/>
    <m/>
    <n v="4"/>
    <s v="Nő"/>
    <n v="500000"/>
    <s v="kiss.adrienn1992@gmail.com"/>
    <s v="Várkonyi Zsuzsanna Magdolna"/>
    <n v="5"/>
    <s v="Passzív"/>
    <n v="4"/>
    <n v="5"/>
    <s v="magyar"/>
    <n v="500000"/>
  </r>
  <r>
    <s v="Gremsberger Attila"/>
    <s v="DSUD9P"/>
    <s v="Aktív"/>
    <s v="osztatlan tanári [10 félév [testnevelő tanár; gyógytestnevelő-egészségfejlesztő tanár]]"/>
    <x v="8"/>
    <s v="osztatlan tanár"/>
    <s v="BDPK-SEK-SANO-OT-NOHU"/>
    <s v="Budapest"/>
    <s v="Budapest"/>
    <s v="Gremsberger Attila"/>
    <s v="Magyarország"/>
    <d v="1993-04-20T00:00:00"/>
    <s v="T013727/FI21120/B"/>
    <x v="5"/>
    <s v="Önköltséges"/>
    <s v="2016/17/1"/>
    <s v="Nappali"/>
    <n v="1"/>
    <n v="1"/>
    <s v="2020/21/2"/>
    <n v="10"/>
    <s v="77163647105"/>
    <n v="10"/>
    <x v="3"/>
    <s v="a központi eljárásban magyarországi képzésre"/>
    <n v="347"/>
    <m/>
    <m/>
    <s v="Felvétel"/>
    <d v="2016-09-01T00:00:00"/>
    <s v="310682369288"/>
    <s v="BDPK-SEK"/>
    <s v="Eke Norbertné"/>
    <d v="2016-07-26T00:00:00"/>
    <d v="2022-07-15T00:00:00"/>
    <n v="400000"/>
    <m/>
    <n v="10"/>
    <s v="Férfi"/>
    <n v="400000"/>
    <s v="attila.gremsberger@gmail.com"/>
    <s v="Sáfrán Szilvia"/>
    <n v="12"/>
    <s v="Aktív"/>
    <n v="10"/>
    <n v="12"/>
    <s v="magyar"/>
    <n v="400000"/>
  </r>
  <r>
    <s v="Tóth Ákos Attila"/>
    <s v="FSK590"/>
    <s v="Aktív"/>
    <s v="osztatlan tanári [10 félév [testnevelő tanár; gyógytestnevelő-egészségfejlesztő tanár]]"/>
    <x v="8"/>
    <s v="osztatlan tanárképzés"/>
    <s v="TKK-OTAK-NOHU"/>
    <s v="Veszprém"/>
    <s v="Veszprém"/>
    <s v="Tóth Ákos Attila"/>
    <s v="Magyarország"/>
    <d v="1995-04-20T00:00:00"/>
    <s v="T141098/FI80798"/>
    <x v="5"/>
    <s v="Állami ösztöndíjas"/>
    <s v="2018/19/1"/>
    <s v="Nappali"/>
    <n v="5"/>
    <n v="1"/>
    <s v="2021/22/2"/>
    <n v="10"/>
    <s v="72533290277"/>
    <n v="10"/>
    <x v="3"/>
    <s v="a központi eljárásban magyarországi képzésre"/>
    <n v="321"/>
    <m/>
    <m/>
    <s v="Felvétel"/>
    <d v="2018-09-01T00:00:00"/>
    <s v="310882527214"/>
    <s v="BDPK-SEK"/>
    <s v="Eke Norbertné"/>
    <d v="2018-07-25T00:00:00"/>
    <d v="2023-07-15T00:00:00"/>
    <n v="400000"/>
    <m/>
    <n v="7"/>
    <s v="Férfi"/>
    <n v="400000"/>
    <s v="toth9347@gmail.com"/>
    <s v="Madár Edina"/>
    <n v="8"/>
    <s v="Aktív"/>
    <n v="8"/>
    <n v="8"/>
    <s v="magyar"/>
    <m/>
  </r>
  <r>
    <s v="Németh Tifani"/>
    <s v="ZZG08A"/>
    <s v="Aktív"/>
    <s v="osztatlan tanári [10 félév [testnevelő tanár; gyógytestnevelő-egészségfejlesztő tanár]]"/>
    <x v="8"/>
    <s v="osztatlan tanárképzés"/>
    <s v="TKK-OTAK-NOHU"/>
    <s v="Sárvár"/>
    <s v="Vas"/>
    <s v="Németh Tifani"/>
    <s v="Magyarország"/>
    <d v="1998-12-10T00:00:00"/>
    <s v="T126202/FI80798"/>
    <x v="5"/>
    <s v="Állami ösztöndíjas"/>
    <s v="2017/18/1"/>
    <s v="Nappali"/>
    <n v="3"/>
    <n v="1"/>
    <s v="2021/22/2"/>
    <n v="10"/>
    <s v="73342080041"/>
    <n v="10"/>
    <x v="3"/>
    <s v="a központi eljárásban magyarországi képzésre"/>
    <n v="346"/>
    <m/>
    <m/>
    <s v="Felvétel"/>
    <d v="2017-09-01T00:00:00"/>
    <s v="310782494366"/>
    <s v="BDPK-SEK"/>
    <s v="Eke Norbertné"/>
    <d v="2017-07-27T00:00:00"/>
    <d v="2022-06-30T00:00:00"/>
    <n v="400000"/>
    <m/>
    <n v="9"/>
    <s v="Nő"/>
    <n v="400000"/>
    <s v="nemethtifani98@gmail.com"/>
    <s v="Lada Szilvia"/>
    <n v="10"/>
    <s v="Aktív"/>
    <n v="10"/>
    <n v="10"/>
    <s v="magyar"/>
    <m/>
  </r>
  <r>
    <s v="Kaszás Dóra"/>
    <s v="E2EYAG"/>
    <s v="Aktív"/>
    <s v="osztatlan tanári [10 félév [testnevelő tanár; gyógytestnevelő-egészségfejlesztő tanár]]"/>
    <x v="8"/>
    <s v="osztatlan tanárképzés"/>
    <s v="TKK-OTAK-NOHU"/>
    <s v="Keszthely"/>
    <s v="Zala"/>
    <s v="Kaszás Dóra"/>
    <s v="Magyarország"/>
    <d v="1998-09-27T00:00:00"/>
    <s v="T125755/FI80798"/>
    <x v="5"/>
    <s v="Állami ösztöndíjas"/>
    <s v="2019/20/1"/>
    <s v="Nappali"/>
    <n v="3"/>
    <n v="1"/>
    <s v="2021/22/2"/>
    <n v="10"/>
    <s v="77378538292"/>
    <n v="10"/>
    <x v="3"/>
    <s v="a központi eljárásban magyarországi képzésre"/>
    <n v="340"/>
    <m/>
    <m/>
    <s v="Felvétel"/>
    <d v="2019-09-01T00:00:00"/>
    <s v="310982475777"/>
    <s v="BDPK-SEK"/>
    <s v="Eke Norbertné"/>
    <d v="2019-07-24T00:00:00"/>
    <d v="2024-07-15T00:00:00"/>
    <n v="500000"/>
    <m/>
    <n v="6"/>
    <s v="Nő"/>
    <n v="500000"/>
    <s v="kishalal989@gmail.hu"/>
    <s v="Kaszás Judit"/>
    <n v="6"/>
    <s v="Aktív"/>
    <n v="6"/>
    <n v="6"/>
    <s v="magyar"/>
    <m/>
  </r>
  <r>
    <s v="Szabó Dóra Mónika"/>
    <s v="INC0JX"/>
    <s v="Aktív"/>
    <s v="osztatlan tanári [10 félév [testnevelő tanár; gyógytestnevelő-egészségfejlesztő tanár]]"/>
    <x v="8"/>
    <s v="osztatlan tanárképzés"/>
    <s v="TKK-OTAK-NOHU"/>
    <s v="Budapest"/>
    <s v="Budapest"/>
    <s v="Szabó Dóra Mónika"/>
    <s v="Magyarország"/>
    <d v="1998-01-27T00:00:00"/>
    <s v="T190637/FI80798"/>
    <x v="5"/>
    <s v="Állami ösztöndíjas"/>
    <s v="2021/22/1"/>
    <s v="Nappali"/>
    <n v="6"/>
    <n v="1"/>
    <s v="2021/22/2"/>
    <n v="10"/>
    <s v="79146507599"/>
    <n v="10"/>
    <x v="3"/>
    <s v="a központi eljárásban magyarországi képzésre"/>
    <n v="328"/>
    <m/>
    <m/>
    <s v="Felvétel"/>
    <d v="2021-09-01T00:00:00"/>
    <s v="310814606623"/>
    <s v="BDPK-SEK"/>
    <s v="Eke Norbertné"/>
    <d v="2021-07-23T00:00:00"/>
    <d v="2026-07-15T00:00:00"/>
    <n v="500000"/>
    <m/>
    <n v="1"/>
    <s v="Nő"/>
    <n v="500000"/>
    <s v="szabodorka98@gmail.com"/>
    <s v="Mester Mónika Erzsébet"/>
    <n v="2"/>
    <s v="Aktív"/>
    <n v="2"/>
    <n v="2"/>
    <s v="magyar"/>
    <m/>
  </r>
  <r>
    <s v="Kovács Ákos"/>
    <s v="OHR68Y"/>
    <s v="Aktív"/>
    <s v="osztatlan tanári [10 félév [testnevelő tanár; gyógytestnevelő-egészségfejlesztő tanár]]"/>
    <x v="8"/>
    <s v="osztatlan tanárképzés"/>
    <s v="TKK-OTAK-NOHU"/>
    <s v="Zirc"/>
    <s v="Veszprém"/>
    <s v="Kovács Ákos"/>
    <s v="Magyarország"/>
    <d v="1996-05-08T00:00:00"/>
    <s v="T138505/FI80798"/>
    <x v="5"/>
    <s v="Állami ösztöndíjas"/>
    <s v="2018/19/1"/>
    <s v="Nappali"/>
    <n v="7"/>
    <n v="1"/>
    <s v="2021/22/2"/>
    <n v="10"/>
    <s v="72714203612"/>
    <n v="10"/>
    <x v="3"/>
    <s v="a központi eljárásban magyarországi képzésre"/>
    <n v="282"/>
    <m/>
    <m/>
    <s v="Felvétel"/>
    <d v="2018-09-01T00:00:00"/>
    <s v="310882171831"/>
    <s v="BDPK-SEK"/>
    <s v="Eke Norbertné"/>
    <d v="2018-07-25T00:00:00"/>
    <d v="2023-07-15T00:00:00"/>
    <n v="400000"/>
    <m/>
    <n v="5"/>
    <s v="Férfi"/>
    <n v="400000"/>
    <s v="kovacsakos96@gmail.com"/>
    <s v="Polniczky Vera"/>
    <n v="8"/>
    <s v="Aktív"/>
    <n v="6"/>
    <n v="8"/>
    <s v="magyar"/>
    <m/>
  </r>
  <r>
    <s v="Prédl Enikő"/>
    <s v="CWKDT4"/>
    <s v="Aktív"/>
    <s v="osztatlan tanári [10 félév [testnevelő tanár; gyógytestnevelő-egészségfejlesztő tanár]]"/>
    <x v="8"/>
    <s v="osztatlan tanárképzés"/>
    <s v="TKK-OTAK-NOHU"/>
    <s v="Siófok"/>
    <s v="Somogy"/>
    <s v="Prédl Enikő"/>
    <s v="Magyarország"/>
    <d v="1999-08-04T00:00:00"/>
    <s v="T135247/FI80798"/>
    <x v="5"/>
    <s v="Állami ösztöndíjas"/>
    <s v="2018/19/1"/>
    <s v="Nappali"/>
    <n v="5"/>
    <n v="1"/>
    <s v="2021/22/2"/>
    <n v="10"/>
    <s v="75302332756"/>
    <n v="10"/>
    <x v="3"/>
    <s v="a központi eljárásban magyarországi képzésre"/>
    <n v="358"/>
    <m/>
    <m/>
    <s v="Felvétel"/>
    <d v="2018-09-01T00:00:00"/>
    <s v="310882105599"/>
    <s v="BDPK-SEK"/>
    <s v="Eke Norbertné"/>
    <d v="2018-07-25T00:00:00"/>
    <d v="2023-07-15T00:00:00"/>
    <n v="400000"/>
    <m/>
    <n v="7"/>
    <s v="Nő"/>
    <n v="400000"/>
    <s v="predlenikoo@gmail.com"/>
    <s v="Vámosi Szilvia"/>
    <n v="8"/>
    <s v="Aktív"/>
    <n v="8"/>
    <n v="8"/>
    <s v="magyar"/>
    <m/>
  </r>
  <r>
    <s v="Kalmár Orsolya"/>
    <s v="Y0PMGC"/>
    <s v="Aktív"/>
    <s v="osztatlan tanári [10 félév [testnevelő tanár; gyógytestnevelő-egészségfejlesztő tanár]]"/>
    <x v="8"/>
    <s v="osztatlan tanárképzés"/>
    <s v="TKK-OTAK-NOHU"/>
    <s v="Szombathely"/>
    <s v="Vas"/>
    <s v="Kalmár Orsolya"/>
    <s v="Magyarország"/>
    <d v="2000-01-14T00:00:00"/>
    <s v="T140867/FI80798"/>
    <x v="5"/>
    <s v="Állami ösztöndíjas"/>
    <s v="2020/21/1"/>
    <s v="Nappali"/>
    <n v="9"/>
    <n v="1"/>
    <s v="2021/22/2"/>
    <n v="10"/>
    <s v="73583406757"/>
    <n v="10"/>
    <x v="3"/>
    <s v="a központi eljárásban magyarországi képzésre"/>
    <n v="309"/>
    <m/>
    <m/>
    <s v="Felvétel"/>
    <d v="2020-09-01T00:00:00"/>
    <s v="310804825951"/>
    <s v="BDPK-SEK"/>
    <s v="Eke Norbertné"/>
    <d v="2020-07-23T00:00:00"/>
    <d v="2025-07-15T00:00:00"/>
    <n v="500000"/>
    <m/>
    <n v="3"/>
    <s v="Nő"/>
    <n v="500000"/>
    <s v="kalmarorsi777@gmail.hu"/>
    <s v="Fodor Nikoletta"/>
    <n v="4"/>
    <s v="Aktív"/>
    <n v="4"/>
    <n v="4"/>
    <s v="magyar"/>
    <m/>
  </r>
  <r>
    <s v="Horváth Petra Alexa"/>
    <s v="JFK48N"/>
    <s v="Aktív"/>
    <s v="osztatlan tanári [10 félév [testnevelő tanár; gyógytestnevelő-egészségfejlesztő tanár]]"/>
    <x v="8"/>
    <s v="osztatlan tanárképzés"/>
    <s v="TKK-OTAK-NOHU"/>
    <s v="Győr"/>
    <s v="Győr-Moson-Sopron"/>
    <s v="Horváth Petra Alexa"/>
    <s v="Magyarország"/>
    <d v="1997-03-17T00:00:00"/>
    <s v="T138683/FI80798"/>
    <x v="5"/>
    <s v="Állami ösztöndíjas"/>
    <s v="2018/19/1"/>
    <s v="Nappali"/>
    <n v="4"/>
    <n v="1"/>
    <s v="2021/22/2"/>
    <n v="10"/>
    <s v="74752776043"/>
    <n v="10"/>
    <x v="3"/>
    <s v="a központi eljárásban magyarországi képzésre"/>
    <n v="322"/>
    <m/>
    <m/>
    <s v="Felvétel"/>
    <d v="2018-09-01T00:00:00"/>
    <s v="310882576161"/>
    <s v="BDPK-SEK"/>
    <s v="Eke Norbertné"/>
    <d v="2018-07-25T00:00:00"/>
    <d v="2023-07-15T00:00:00"/>
    <n v="400000"/>
    <m/>
    <n v="7"/>
    <s v="Nő"/>
    <n v="400000"/>
    <s v="hopetra17@gmail.com"/>
    <s v="Szabó Anett"/>
    <n v="8"/>
    <s v="Aktív"/>
    <n v="8"/>
    <n v="8"/>
    <s v="magyar"/>
    <m/>
  </r>
  <r>
    <s v="Komáromy Katalin Virág"/>
    <s v="HUH6D1"/>
    <s v="Passzív"/>
    <s v="osztatlan tanári [10 félév [testnevelő tanár; gyógytestnevelő-egészségfejlesztő tanár]]"/>
    <x v="8"/>
    <s v="osztatlan tanárképzés"/>
    <s v="TKK-OTAK-NOHU"/>
    <s v="Zalaegerszeg"/>
    <s v="Zala"/>
    <s v="Komáromy Katalin Virág"/>
    <s v="Magyarország"/>
    <d v="1999-11-03T00:00:00"/>
    <s v="T144179/FI80798"/>
    <x v="5"/>
    <s v="Önköltséges"/>
    <s v="2018/19/1"/>
    <s v="Nappali"/>
    <n v="12"/>
    <m/>
    <m/>
    <n v="10"/>
    <s v="71796438268"/>
    <n v="10"/>
    <x v="3"/>
    <s v="a központi eljárásban magyarországi képzésre"/>
    <n v="280"/>
    <m/>
    <m/>
    <s v="Felvétel"/>
    <d v="2018-09-04T00:00:00"/>
    <s v="310882879383"/>
    <s v="BDPK-SEK"/>
    <s v="Eke Norbertné"/>
    <d v="2018-07-25T00:00:00"/>
    <d v="2024-07-15T00:00:00"/>
    <m/>
    <m/>
    <n v="0"/>
    <s v="Nő"/>
    <m/>
    <s v="komaromykatalin99@gmail.com"/>
    <s v="Károlyi Judit Virág"/>
    <n v="7"/>
    <s v="Passzív"/>
    <m/>
    <n v="7"/>
    <s v="magyar"/>
    <m/>
  </r>
  <r>
    <s v="Marton Dóra"/>
    <s v="Y2L8EB"/>
    <s v="Aktív"/>
    <s v="osztatlan tanári [10 félév [testnevelő tanár; gyógytestnevelő-egészségfejlesztő tanár]]"/>
    <x v="8"/>
    <s v="osztatlan tanárképzés"/>
    <s v="TKK-OTAK-NOHU"/>
    <s v="Szombathely"/>
    <s v="Vas"/>
    <s v="Marton Dóra"/>
    <s v="Magyarország"/>
    <d v="2000-11-23T00:00:00"/>
    <s v="T150561/FI80798"/>
    <x v="5"/>
    <s v="Állami ösztöndíjas"/>
    <s v="2019/20/1"/>
    <s v="Nappali"/>
    <n v="7"/>
    <n v="1"/>
    <s v="2021/22/2"/>
    <n v="10"/>
    <s v="78849210472"/>
    <n v="10"/>
    <x v="3"/>
    <s v="a központi eljárásban magyarországi képzésre"/>
    <n v="333"/>
    <m/>
    <m/>
    <s v="Felvétel"/>
    <d v="2019-09-01T00:00:00"/>
    <s v="310982757729"/>
    <s v="BDPK-SEK"/>
    <s v="Eke Norbertné"/>
    <d v="2019-07-24T00:00:00"/>
    <d v="2024-07-15T00:00:00"/>
    <n v="500000"/>
    <m/>
    <n v="5"/>
    <s v="Nő"/>
    <n v="500000"/>
    <s v="d.marton9@gmail.com"/>
    <s v="Ragasits Andrea"/>
    <n v="6"/>
    <s v="Aktív"/>
    <n v="6"/>
    <n v="6"/>
    <s v="magyar"/>
    <m/>
  </r>
  <r>
    <s v="Goldfinger Szófia"/>
    <s v="BRFXS9"/>
    <s v="Aktív"/>
    <s v="osztatlan tanári [10 félév [testnevelő tanár; gyógytestnevelő-egészségfejlesztő tanár]]"/>
    <x v="8"/>
    <s v="osztatlan tanárképzés"/>
    <s v="TKK-OTAK-NOHU"/>
    <s v="Zalaegerszeg"/>
    <s v="Zala"/>
    <s v="Goldfinger Szófia"/>
    <s v="Magyarország"/>
    <d v="1998-02-05T00:00:00"/>
    <s v="T148757/FI80798"/>
    <x v="5"/>
    <s v="Állami ösztöndíjas"/>
    <s v="2019/20/1"/>
    <s v="Nappali"/>
    <n v="7"/>
    <n v="1"/>
    <s v="2021/22/2"/>
    <n v="10"/>
    <s v="71641084149"/>
    <n v="10"/>
    <x v="3"/>
    <s v="a központi eljárásban magyarországi képzésre"/>
    <n v="310"/>
    <m/>
    <m/>
    <s v="Felvétel"/>
    <d v="2019-09-01T00:00:00"/>
    <s v="310982564711"/>
    <s v="BDPK-SEK"/>
    <s v="Eke Norbertné"/>
    <d v="2019-07-24T00:00:00"/>
    <d v="2024-07-15T00:00:00"/>
    <n v="500000"/>
    <m/>
    <n v="5"/>
    <s v="Nő"/>
    <n v="500000"/>
    <s v="szofiagoldfinger@gmail.com"/>
    <s v="Varga Erzsébet"/>
    <n v="6"/>
    <s v="Aktív"/>
    <n v="6"/>
    <n v="6"/>
    <s v="magyar"/>
    <m/>
  </r>
  <r>
    <s v="Szabó Laura"/>
    <s v="XTNFCA"/>
    <s v="Aktív"/>
    <s v="osztatlan tanári [10 félév [testnevelő tanár; gyógytestnevelő-egészségfejlesztő tanár]]"/>
    <x v="8"/>
    <s v="osztatlan tanárképzés"/>
    <s v="TKK-OTAK-NOHU"/>
    <s v="Zalaegerszeg"/>
    <s v="Zala"/>
    <s v="Szabó Laura"/>
    <s v="Magyarország"/>
    <d v="2002-01-11T00:00:00"/>
    <s v="T164263/FI80798"/>
    <x v="5"/>
    <s v="Állami ösztöndíjas"/>
    <s v="2020/21/1"/>
    <s v="Nappali"/>
    <n v="9"/>
    <n v="1"/>
    <s v="2021/22/2"/>
    <n v="10"/>
    <s v="71600808357"/>
    <n v="10"/>
    <x v="3"/>
    <s v="a központi eljárásban magyarországi képzésre"/>
    <n v="352"/>
    <m/>
    <m/>
    <s v="Felvétel"/>
    <d v="2020-09-01T00:00:00"/>
    <s v="310804571365"/>
    <s v="BDPK-SEK"/>
    <s v="Eke Norbertné"/>
    <d v="2020-07-23T00:00:00"/>
    <d v="2025-07-15T00:00:00"/>
    <n v="500000"/>
    <m/>
    <n v="3"/>
    <s v="Nő"/>
    <n v="500000"/>
    <s v="szabolauraa2002@gmail.com"/>
    <s v="Gönye Erzsébet"/>
    <n v="4"/>
    <s v="Aktív"/>
    <n v="4"/>
    <n v="4"/>
    <s v="magyar"/>
    <m/>
  </r>
  <r>
    <s v="Horváth Márk"/>
    <s v="UKKRGG"/>
    <s v="Aktív"/>
    <s v="osztatlan tanári [10 félév [testnevelő tanár; gyógytestnevelő-egészségfejlesztő tanár]]"/>
    <x v="8"/>
    <s v="osztatlan tanárképzés"/>
    <s v="TKK-OTAK-NOHU"/>
    <s v="Szombathely"/>
    <s v="Vas"/>
    <s v="Horváth Márk"/>
    <s v="Magyarország"/>
    <d v="2001-01-25T00:00:00"/>
    <s v="T163362/FI80798"/>
    <x v="5"/>
    <s v="Állami ösztöndíjas"/>
    <s v="2020/21/1"/>
    <s v="Nappali"/>
    <n v="9"/>
    <n v="1"/>
    <s v="2021/22/2"/>
    <n v="10"/>
    <s v="71467797304"/>
    <n v="10"/>
    <x v="3"/>
    <s v="a központi eljárásban magyarországi képzésre"/>
    <n v="433"/>
    <m/>
    <m/>
    <s v="Felvétel"/>
    <d v="2020-09-01T00:00:00"/>
    <s v="310804102252"/>
    <s v="BDPK-SEK"/>
    <s v="Eke Norbertné"/>
    <d v="2020-07-23T00:00:00"/>
    <d v="2025-07-15T00:00:00"/>
    <n v="500000"/>
    <m/>
    <n v="3"/>
    <s v="Férfi"/>
    <n v="500000"/>
    <s v="horvath.mark1254@gmail.com"/>
    <s v="Bujtor Brigitta Mária"/>
    <n v="4"/>
    <s v="Aktív"/>
    <n v="4"/>
    <n v="4"/>
    <s v="magyar"/>
    <m/>
  </r>
  <r>
    <s v="Tóth Máté"/>
    <s v="G87781"/>
    <s v="Aktív"/>
    <s v="osztatlan tanári [10 félév [testnevelő tanár; történelemtanár és állampolgári ismeretek tanára]]"/>
    <x v="9"/>
    <s v="osztatlan tanárképzés"/>
    <s v="TKK-OTAK-NOHU"/>
    <s v="Zalaegerszeg"/>
    <s v="Zala"/>
    <s v="Tóth Máté"/>
    <s v="Magyarország"/>
    <d v="2002-06-22T00:00:00"/>
    <s v="T179818/FI80798"/>
    <x v="5"/>
    <s v="Állami ösztöndíjas"/>
    <s v="2021/22/1"/>
    <s v="Nappali"/>
    <n v="11"/>
    <n v="1"/>
    <s v="2021/22/2"/>
    <n v="10"/>
    <s v="71634552240"/>
    <n v="10"/>
    <x v="3"/>
    <s v="a központi eljárásban magyarországi képzésre"/>
    <n v="374"/>
    <m/>
    <m/>
    <s v="Felvétel"/>
    <d v="2021-09-01T00:00:00"/>
    <s v="310814361500"/>
    <s v="BDPK-SEK"/>
    <s v="Eke Norbertné"/>
    <d v="2021-07-23T00:00:00"/>
    <d v="2026-07-15T00:00:00"/>
    <n v="500000"/>
    <m/>
    <n v="1"/>
    <s v="Férfi"/>
    <n v="500000"/>
    <s v="tmate11111@gmail.com"/>
    <s v="Péter Judit"/>
    <n v="2"/>
    <s v="Aktív"/>
    <n v="2"/>
    <n v="2"/>
    <s v="magyar"/>
    <m/>
  </r>
  <r>
    <s v="Müller Alexandra"/>
    <s v="DJ1EBK"/>
    <s v="Aktív"/>
    <s v="osztatlan tanári [10 félév [történelemtanár és állampolgári ismeretek tanára; ének-zene tanár]]"/>
    <x v="6"/>
    <s v="osztatlan tanár"/>
    <s v="BDPK-SEK-SANO-OT-NOHU"/>
    <s v="Győr"/>
    <s v="Győr-Moson-Sopron"/>
    <s v="Müller Alexandra"/>
    <s v="Magyarország"/>
    <d v="1997-02-17T00:00:00"/>
    <s v="T013742/FI21120/B"/>
    <x v="5"/>
    <s v="Állami ösztöndíjas (képzési időn túli)"/>
    <s v="2016/17/1"/>
    <s v="Nappali"/>
    <n v="1"/>
    <n v="1"/>
    <s v="2021/22/2"/>
    <n v="10"/>
    <s v="77474305230"/>
    <n v="10"/>
    <x v="3"/>
    <s v="a központi eljárásban magyarországi képzésre"/>
    <n v="380"/>
    <m/>
    <m/>
    <s v="Felvétel"/>
    <d v="2016-09-01T00:00:00"/>
    <s v="310682667004"/>
    <s v="BDPK-SEK"/>
    <s v="Eke Norbertné"/>
    <d v="2016-07-26T00:00:00"/>
    <d v="2022-07-15T00:00:00"/>
    <n v="400000"/>
    <m/>
    <n v="11"/>
    <s v="Nő"/>
    <n v="400000"/>
    <s v="mulleralexandra417@gmail.com"/>
    <s v="Labancz Mónika"/>
    <n v="12"/>
    <s v="Aktív"/>
    <n v="12"/>
    <n v="12"/>
    <s v="magyar"/>
    <m/>
  </r>
  <r>
    <s v="Fenyvesi Mirtill"/>
    <s v="S9MFRB"/>
    <s v="Passzív"/>
    <s v="osztatlan tanári [10 félév [történelemtanár és állampolgári ismeretek tanára; rajz- és vizuáliskultúra-tanár]]"/>
    <x v="5"/>
    <s v="osztatlan tanárképzés"/>
    <s v="TKK-OTAK-NOHU"/>
    <s v="Sopron"/>
    <s v="Győr-Moson-Sopron"/>
    <s v="Fenyvesi Mirtill"/>
    <s v="Magyarország"/>
    <d v="2003-06-30T00:00:00"/>
    <s v="T182033/FI80798"/>
    <x v="5"/>
    <s v="Állami ösztöndíjas"/>
    <s v="2021/22/1"/>
    <s v="Nappali"/>
    <n v="12"/>
    <m/>
    <m/>
    <n v="10"/>
    <s v="71760124099"/>
    <n v="10"/>
    <x v="3"/>
    <s v="a központi eljárásban magyarországi képzésre"/>
    <n v="420"/>
    <m/>
    <m/>
    <s v="Felvétel"/>
    <d v="2021-09-01T00:00:00"/>
    <s v="310814445618"/>
    <s v="BDPK-SEK"/>
    <s v="Eke Norbertné"/>
    <d v="2021-07-23T00:00:00"/>
    <d v="2027-07-15T00:00:00"/>
    <n v="500000"/>
    <m/>
    <m/>
    <s v="Nő"/>
    <n v="500000"/>
    <s v="fenymimi8@gmail.com"/>
    <s v="Kelemen Nikoletta"/>
    <n v="0"/>
    <s v="Passzív"/>
    <n v="0"/>
    <n v="0"/>
    <s v="magyar"/>
    <m/>
  </r>
  <r>
    <s v="Bódi Flóra Eszter"/>
    <s v="IOW01A"/>
    <s v="Aktív"/>
    <s v="osztatlan tanári [10 félév [történelemtanár és állampolgári ismeretek tanára; rajz- és vizuáliskultúra-tanár]]"/>
    <x v="5"/>
    <s v="osztatlan tanárképzés"/>
    <s v="TKK-OTAK-NOHU"/>
    <s v="Debrecen"/>
    <s v="Hajdú-Bihar"/>
    <s v="Bódi Flóra Eszter"/>
    <s v="Magyarország"/>
    <d v="2001-02-08T00:00:00"/>
    <s v="T186569/FI80798"/>
    <x v="5"/>
    <s v="Állami ösztöndíjas"/>
    <s v="2021/22/1"/>
    <s v="Nappali"/>
    <n v="11"/>
    <n v="1"/>
    <s v="2021/22/2"/>
    <n v="10"/>
    <s v="71635085356"/>
    <n v="10"/>
    <x v="3"/>
    <s v="a központi eljárásban magyarországi képzésre"/>
    <n v="350"/>
    <m/>
    <m/>
    <s v="Felvétel"/>
    <d v="2021-09-01T00:00:00"/>
    <s v="310814785971"/>
    <s v="BDPK-SEK"/>
    <s v="Eke Norbertné"/>
    <d v="2021-07-23T00:00:00"/>
    <d v="2026-07-15T00:00:00"/>
    <n v="500000"/>
    <m/>
    <n v="1"/>
    <s v="Nő"/>
    <n v="500000"/>
    <s v="floramazsi@gmail.com"/>
    <s v="Bányay Lilla"/>
    <n v="2"/>
    <s v="Aktív"/>
    <n v="2"/>
    <n v="2"/>
    <s v="magyar"/>
    <m/>
  </r>
  <r>
    <s v="Hajba Adrienn"/>
    <s v="FCIOVC"/>
    <s v="Aktív"/>
    <s v="osztatlan tanári [11 félév [angol nyelv és kultúra tanára; biológiatanár (egészségtan) (természettudományi gyakorlatok)]]"/>
    <x v="1"/>
    <s v="osztatlan tanárképzés"/>
    <s v="TKK-OTAK-NOHU"/>
    <s v="Celldömölk"/>
    <s v="Vas"/>
    <s v="Hajba Adrienn"/>
    <s v="Magyarország"/>
    <d v="2000-12-17T00:00:00"/>
    <s v="T162849/FI80798"/>
    <x v="5"/>
    <s v="Állami ösztöndíjas"/>
    <s v="2020/21/1"/>
    <s v="Nappali"/>
    <n v="11"/>
    <n v="1"/>
    <s v="2021/22/2"/>
    <n v="10"/>
    <s v="73248676396"/>
    <n v="11"/>
    <x v="3"/>
    <m/>
    <m/>
    <m/>
    <m/>
    <s v="Képzésváltás intézményen belül"/>
    <d v="2020-09-14T00:00:00"/>
    <m/>
    <s v="BDPK-SEK"/>
    <s v="Eke Norbertné"/>
    <d v="2020-07-23T00:00:00"/>
    <d v="2026-01-31T00:00:00"/>
    <n v="500000"/>
    <m/>
    <n v="3"/>
    <s v="Nő"/>
    <n v="500000"/>
    <s v="hjb.drnn17@gmail.com"/>
    <s v="Göltl Andrea"/>
    <n v="4"/>
    <s v="Aktív"/>
    <n v="4"/>
    <n v="4"/>
    <s v="magyar"/>
    <m/>
  </r>
  <r>
    <s v="Bolbos Laura"/>
    <s v="KULD36"/>
    <s v="Aktív"/>
    <s v="osztatlan tanári [11 félév [angol nyelv és kultúra tanára; ének-zene tanár]]"/>
    <x v="6"/>
    <s v="osztatlan tanárképzés"/>
    <s v="TKK-OTAK-NOHU"/>
    <s v="Ajka"/>
    <s v="Veszprém"/>
    <s v="Bolbos Laura"/>
    <s v="Magyarország"/>
    <d v="1999-06-06T00:00:00"/>
    <s v="T141848/FI80798"/>
    <x v="5"/>
    <s v="Állami ösztöndíjas"/>
    <s v="2018/19/1"/>
    <s v="Nappali"/>
    <n v="7"/>
    <n v="1"/>
    <s v="2021/22/2"/>
    <n v="10"/>
    <s v="73776213513"/>
    <n v="11"/>
    <x v="3"/>
    <m/>
    <m/>
    <m/>
    <m/>
    <s v="Képzésváltás intézményen belül"/>
    <d v="2018-09-06T00:00:00"/>
    <m/>
    <s v="BDPK-SEK"/>
    <s v="Eke Norbertné"/>
    <d v="2018-07-25T00:00:00"/>
    <d v="2024-01-31T00:00:00"/>
    <n v="400000"/>
    <m/>
    <n v="7"/>
    <s v="Nő"/>
    <n v="400000"/>
    <s v="bolboslaura@gmail.com"/>
    <s v="Homályos Szilvia"/>
    <n v="8"/>
    <s v="Aktív"/>
    <n v="8"/>
    <n v="8"/>
    <s v="magyar"/>
    <m/>
  </r>
  <r>
    <s v="Kovács Izabell Andrea"/>
    <s v="X9GD1Z"/>
    <s v="Aktív"/>
    <s v="osztatlan tanári [11 félév [angol nyelv és kultúra tanára; ének-zene tanár]]"/>
    <x v="6"/>
    <s v="osztatlan tanárképzés"/>
    <s v="TKK-OTAK-NOHU"/>
    <s v="Sárvár"/>
    <s v="Vas"/>
    <s v="Kovács Izabell Andrea"/>
    <s v="Magyarország"/>
    <d v="1999-12-17T00:00:00"/>
    <s v="T149482/FI80798"/>
    <x v="5"/>
    <s v="Állami ösztöndíjas"/>
    <s v="2019/20/1"/>
    <s v="Nappali"/>
    <n v="9"/>
    <n v="1"/>
    <s v="2021/22/2"/>
    <n v="10"/>
    <s v="73586989080"/>
    <n v="11"/>
    <x v="3"/>
    <m/>
    <m/>
    <m/>
    <m/>
    <s v="Képzésváltás intézményen belül"/>
    <d v="2019-09-14T00:00:00"/>
    <m/>
    <s v="BDPK-SEK"/>
    <s v="Eke Norbertné"/>
    <d v="2019-07-24T00:00:00"/>
    <d v="2025-01-31T00:00:00"/>
    <n v="500000"/>
    <m/>
    <n v="5"/>
    <s v="Nő"/>
    <n v="500000"/>
    <s v="izabellkovacs17@gmail.com"/>
    <s v="Oszkó Judit Katalin"/>
    <n v="6"/>
    <s v="Aktív"/>
    <n v="6"/>
    <n v="6"/>
    <s v="magyar"/>
    <m/>
  </r>
  <r>
    <s v="Nagy Laura Anita"/>
    <s v="KAQXB4"/>
    <s v="Aktív"/>
    <s v="osztatlan tanári [11 félév [angol nyelv és kultúra tanára; ének-zene tanár]]"/>
    <x v="6"/>
    <s v="osztatlan tanárképzés"/>
    <s v="TKK-OTAK-NOHU"/>
    <s v="Zalaegerszeg"/>
    <s v="Zala"/>
    <s v="Nagy Laura Anita"/>
    <s v="Magyarország"/>
    <d v="1999-05-12T00:00:00"/>
    <s v="T144267/FI80798"/>
    <x v="5"/>
    <s v="Állami ösztöndíjas"/>
    <s v="2018/19/1"/>
    <s v="Nappali"/>
    <n v="7"/>
    <n v="1"/>
    <s v="2021/22/2"/>
    <n v="10"/>
    <s v="71418663666"/>
    <n v="11"/>
    <x v="3"/>
    <m/>
    <m/>
    <m/>
    <m/>
    <s v="Képzésváltás intézményen belül"/>
    <d v="2021-09-02T00:00:00"/>
    <m/>
    <s v="BDPK-SEK"/>
    <s v="Eke Norbertné"/>
    <d v="2018-07-25T00:00:00"/>
    <d v="2025-01-31T00:00:00"/>
    <n v="500000"/>
    <m/>
    <n v="1"/>
    <s v="Nő"/>
    <n v="500000"/>
    <s v="nalala051999@gmail.com"/>
    <s v="Schreiner Anita"/>
    <n v="2"/>
    <s v="Aktív"/>
    <n v="2"/>
    <n v="8"/>
    <s v="magyar"/>
    <m/>
  </r>
  <r>
    <s v="Kiss Ábel Krisztián"/>
    <s v="HCE2RX"/>
    <s v="Aktív"/>
    <s v="osztatlan tanári [11 félév [angol nyelv és kultúra tanára; földrajztanár]]"/>
    <x v="12"/>
    <s v="osztatlan tanárképzés"/>
    <s v="TKK-OTAK-NOHU"/>
    <s v="Szombathely"/>
    <s v="Vas"/>
    <s v="Kiss Ábel Krisztián"/>
    <s v="Magyarország"/>
    <d v="1997-10-14T00:00:00"/>
    <s v="T164287/FI80798"/>
    <x v="5"/>
    <s v="Állami ösztöndíjas"/>
    <s v="2020/21/1"/>
    <s v="Nappali"/>
    <m/>
    <m/>
    <m/>
    <n v="10"/>
    <s v="73210313730"/>
    <n v="11"/>
    <x v="3"/>
    <m/>
    <m/>
    <m/>
    <m/>
    <s v="Képzésváltás intézményen belül"/>
    <d v="2020-09-14T00:00:00"/>
    <m/>
    <s v="BDPK-SEK"/>
    <s v="Eke Norbertné"/>
    <d v="2020-07-23T00:00:00"/>
    <d v="2026-01-31T00:00:00"/>
    <n v="500000"/>
    <m/>
    <n v="3"/>
    <s v="Férfi"/>
    <n v="500000"/>
    <s v="abelkrisztian@citromail.hu"/>
    <s v="Roósz Orsolya"/>
    <n v="4"/>
    <s v="Aktív"/>
    <n v="4"/>
    <n v="4"/>
    <s v="magyar"/>
    <m/>
  </r>
  <r>
    <s v="Szécsi Tímea Ágnes"/>
    <s v="I9023Y"/>
    <s v="Aktív"/>
    <s v="osztatlan tanári [11 félév [angol nyelv és kultúra tanára; magyartanár]]"/>
    <x v="14"/>
    <s v="osztatlan tanár"/>
    <s v="BDPK-SEK-SANO-OT-NOHU"/>
    <s v="Budapest"/>
    <s v="Budapest"/>
    <s v="Szécsi Tímea Ágnes"/>
    <s v="Magyarország"/>
    <d v="1996-08-02T00:00:00"/>
    <s v="T121960/FI80798"/>
    <x v="5"/>
    <s v="Állami ösztöndíjas (képzési időn túli)"/>
    <s v="2016/17/1"/>
    <s v="Nappali"/>
    <n v="3"/>
    <n v="1"/>
    <s v="2021/22/2"/>
    <n v="10"/>
    <s v="74745006229"/>
    <n v="11"/>
    <x v="3"/>
    <m/>
    <m/>
    <m/>
    <m/>
    <s v="Képzésváltás intézményen belül"/>
    <d v="2019-09-01T00:00:00"/>
    <m/>
    <s v="BDPK-SEK"/>
    <s v="Eke Norbertné"/>
    <d v="2016-07-26T00:00:00"/>
    <d v="2022-07-15T00:00:00"/>
    <n v="500000"/>
    <m/>
    <n v="5"/>
    <s v="Nő"/>
    <n v="500000"/>
    <s v="timo9654@gmail.com"/>
    <s v="Bárány Ágnes Ibolya"/>
    <n v="6"/>
    <s v="Aktív"/>
    <n v="6"/>
    <n v="12"/>
    <s v="magyar"/>
    <m/>
  </r>
  <r>
    <s v="Hoós Domonkos"/>
    <s v="T7TPJB"/>
    <s v="Aktív"/>
    <s v="osztatlan tanári [11 félév [angol nyelv és kultúra tanára; magyartanár]]"/>
    <x v="14"/>
    <s v="osztatlan tanárképzés"/>
    <s v="TKK-OTAK-NOHU"/>
    <s v="Szombathely"/>
    <s v="Vas"/>
    <s v="Hoós Domonkos"/>
    <s v="Magyarország"/>
    <d v="2000-11-29T00:00:00"/>
    <s v="T188020/FI80798"/>
    <x v="5"/>
    <s v="Állami ösztöndíjas"/>
    <s v="2021/22/1"/>
    <s v="Nappali"/>
    <n v="13"/>
    <n v="1"/>
    <s v="2021/22/2"/>
    <n v="10"/>
    <s v="71466748860"/>
    <n v="11"/>
    <x v="3"/>
    <m/>
    <m/>
    <m/>
    <m/>
    <s v="Képzésváltás intézményen belül"/>
    <d v="2021-09-13T00:00:00"/>
    <m/>
    <s v="BDPK-SEK"/>
    <s v="Eke Norbertné"/>
    <d v="2021-07-23T00:00:00"/>
    <d v="2027-01-31T00:00:00"/>
    <n v="500000"/>
    <m/>
    <n v="1"/>
    <s v="Férfi"/>
    <n v="500000"/>
    <s v="domonkoshoos@gmail.com"/>
    <s v="Illés Csilla"/>
    <n v="2"/>
    <s v="Aktív"/>
    <n v="2"/>
    <n v="2"/>
    <s v="magyar"/>
    <m/>
  </r>
  <r>
    <s v="Pénzváltó Fanni"/>
    <s v="OS9K7Q"/>
    <s v="Aktív"/>
    <s v="osztatlan tanári [11 félév [angol nyelv és kultúra tanára; matematikatanár]]"/>
    <x v="7"/>
    <s v="osztatlan tanárképzés"/>
    <s v="TKK-OTAK-NOHU"/>
    <s v="Csorna"/>
    <s v="Győr-Moson-Sopron"/>
    <s v="Pénzváltó Fanni"/>
    <s v="Magyarország"/>
    <d v="2001-03-21T00:00:00"/>
    <s v="T165574/FI80798"/>
    <x v="5"/>
    <s v="Állami ösztöndíjas"/>
    <s v="2020/21/1"/>
    <s v="Nappali"/>
    <n v="11"/>
    <n v="1"/>
    <s v="2021/22/2"/>
    <n v="10"/>
    <s v="71588954699"/>
    <n v="11"/>
    <x v="3"/>
    <m/>
    <m/>
    <m/>
    <m/>
    <s v="Képzésváltás intézményen belül"/>
    <d v="2020-09-14T00:00:00"/>
    <m/>
    <s v="BDPK-SEK"/>
    <s v="Eke Norbertné"/>
    <d v="2020-07-23T00:00:00"/>
    <d v="2026-01-31T00:00:00"/>
    <n v="500000"/>
    <m/>
    <n v="3"/>
    <s v="Nő"/>
    <n v="500000"/>
    <s v="penzvaltofanni@gmail.com"/>
    <s v="Vargyas Rita"/>
    <n v="4"/>
    <s v="Aktív"/>
    <n v="4"/>
    <n v="4"/>
    <s v="magyar"/>
    <m/>
  </r>
  <r>
    <s v="Fülöp Liza"/>
    <s v="GN63AE"/>
    <s v="Passzív"/>
    <s v="osztatlan tanári [11 félév [angol nyelv és kultúra tanára; rajz- és vizuáliskultúra-tanár]]"/>
    <x v="5"/>
    <s v="osztatlan tanárképzés"/>
    <s v="TKK-OTAK-NOHU"/>
    <s v="Győr"/>
    <s v="Győr-Moson-Sopron"/>
    <s v="Fülöp Liza"/>
    <s v="Magyarország"/>
    <d v="1999-03-26T00:00:00"/>
    <s v="T190366/FI80798"/>
    <x v="5"/>
    <s v="Állami ösztöndíjas"/>
    <s v="2021/22/1"/>
    <s v="Nappali"/>
    <n v="13"/>
    <n v="1"/>
    <s v="2021/22/1"/>
    <n v="10"/>
    <s v="79660413647"/>
    <n v="11"/>
    <x v="3"/>
    <m/>
    <m/>
    <m/>
    <m/>
    <s v="Képzésváltás intézményen belül"/>
    <d v="2021-09-13T00:00:00"/>
    <m/>
    <s v="BDPK-SEK"/>
    <s v="Eke Norbertné"/>
    <d v="2021-07-23T00:00:00"/>
    <d v="2028-01-31T00:00:00"/>
    <n v="500000"/>
    <m/>
    <n v="1"/>
    <s v="Nő"/>
    <n v="500000"/>
    <s v="liza.fulop963@gmail.com"/>
    <s v="Vass Emília"/>
    <n v="1"/>
    <s v="Passzív"/>
    <m/>
    <n v="1"/>
    <s v="magyar"/>
    <m/>
  </r>
  <r>
    <s v="Borsos Réka"/>
    <s v="BXDN9Q"/>
    <s v="Aktív"/>
    <s v="osztatlan tanári [11 félév [angol nyelv és kultúra tanára; rajz- és vizuáliskultúra-tanár]]"/>
    <x v="5"/>
    <s v="osztatlan tanárképzés"/>
    <s v="TKK-OTAK-NOHU"/>
    <s v="Keszthely"/>
    <s v="Zala"/>
    <s v="Borsos Réka"/>
    <s v="Magyarország"/>
    <d v="2000-05-29T00:00:00"/>
    <s v="T141263/FI80798"/>
    <x v="5"/>
    <s v="Állami ösztöndíjas"/>
    <s v="2018/19/1"/>
    <s v="Nappali"/>
    <n v="7"/>
    <n v="1"/>
    <s v="2021/22/2"/>
    <n v="10"/>
    <s v="71449874049"/>
    <n v="11"/>
    <x v="3"/>
    <m/>
    <m/>
    <m/>
    <m/>
    <s v="Képzésváltás intézményen belül"/>
    <d v="2018-09-06T00:00:00"/>
    <m/>
    <s v="BDPK-SEK"/>
    <s v="Eke Norbertné"/>
    <d v="2018-07-25T00:00:00"/>
    <d v="2024-01-31T00:00:00"/>
    <n v="400000"/>
    <m/>
    <n v="7"/>
    <s v="Nő"/>
    <n v="400000"/>
    <s v="borsosreka1@gmail.com"/>
    <s v="Jankó Rozália"/>
    <n v="8"/>
    <s v="Aktív"/>
    <n v="8"/>
    <n v="8"/>
    <s v="magyar"/>
    <m/>
  </r>
  <r>
    <s v="Pap Gergő"/>
    <s v="W0ZEBW"/>
    <s v="Aktív"/>
    <s v="osztatlan tanári [11 félév [angol nyelv és kultúra tanára; rajz- és vizuáliskultúra-tanár]]"/>
    <x v="5"/>
    <s v="osztatlan tanárképzés"/>
    <s v="TKK-OTAK-NOHU"/>
    <s v="Csorna"/>
    <s v="Győr-Moson-Sopron"/>
    <s v="Pap Gergő"/>
    <s v="Magyarország"/>
    <d v="1999-09-08T00:00:00"/>
    <s v="T137159/FI80798"/>
    <x v="5"/>
    <s v="Állami ösztöndíjas"/>
    <s v="2018/19/1"/>
    <s v="Nappali"/>
    <n v="7"/>
    <n v="1"/>
    <s v="2021/22/2"/>
    <n v="10"/>
    <s v="73036785893"/>
    <n v="11"/>
    <x v="3"/>
    <m/>
    <m/>
    <m/>
    <m/>
    <s v="Képzésváltás intézményen belül"/>
    <d v="2021-02-01T00:00:00"/>
    <m/>
    <s v="BDPK-SEK"/>
    <s v="Eke Norbertné"/>
    <d v="2018-07-25T00:00:00"/>
    <d v="2024-01-31T00:00:00"/>
    <m/>
    <m/>
    <n v="2"/>
    <s v="Férfi"/>
    <n v="300000"/>
    <s v="papgergo99@citromail.hu"/>
    <s v="Pászli Andrea"/>
    <n v="3"/>
    <s v="Aktív"/>
    <n v="3"/>
    <n v="8"/>
    <s v="magyar"/>
    <m/>
  </r>
  <r>
    <s v="Szekér Csongor Árpád"/>
    <s v="H7FI72"/>
    <s v="Aktív"/>
    <s v="osztatlan tanári [11 félév [angol nyelv és kultúra tanára; rajz- és vizuáliskultúra-tanár]]"/>
    <x v="5"/>
    <s v="osztatlan tanárképzés"/>
    <s v="TKK-OTAK-NOHU"/>
    <s v="Szombathely"/>
    <s v="Vas"/>
    <s v="Szekér Csongor Árpád"/>
    <s v="Magyarország"/>
    <d v="2000-08-04T00:00:00"/>
    <s v="T157009/FI80798"/>
    <x v="5"/>
    <s v="Állami ösztöndíjas"/>
    <s v="2019/20/1"/>
    <s v="Nappali"/>
    <n v="9"/>
    <n v="1"/>
    <s v="2021/22/2"/>
    <n v="10"/>
    <s v="72152262541"/>
    <n v="11"/>
    <x v="3"/>
    <m/>
    <m/>
    <m/>
    <m/>
    <s v="Képzésváltás intézményen belül"/>
    <d v="2019-09-14T00:00:00"/>
    <m/>
    <s v="BDPK-SEK"/>
    <s v="Eke Norbertné"/>
    <d v="2019-07-24T00:00:00"/>
    <d v="2025-01-31T00:00:00"/>
    <n v="500000"/>
    <m/>
    <n v="5"/>
    <s v="Férfi"/>
    <n v="500000"/>
    <s v="csongor.szeker.4@freemail.hu"/>
    <s v="Iszak Csilla"/>
    <n v="6"/>
    <s v="Aktív"/>
    <n v="6"/>
    <n v="6"/>
    <s v="magyar"/>
    <m/>
  </r>
  <r>
    <s v="Fazekas Petra Réka"/>
    <s v="SPAAPX"/>
    <s v="Aktív"/>
    <s v="osztatlan tanári [11 félév [angol nyelv és kultúra tanára; rajz- és vizuáliskultúra-tanár]]"/>
    <x v="5"/>
    <s v="osztatlan tanárképzés"/>
    <s v="TKK-OTAK-NOHU"/>
    <s v="Szombathely"/>
    <s v="Vas"/>
    <s v="Fazekas Petra Réka"/>
    <s v="Magyarország"/>
    <d v="2000-08-03T00:00:00"/>
    <s v="T153633/FI80798"/>
    <x v="5"/>
    <s v="Állami ösztöndíjas"/>
    <s v="2019/20/1"/>
    <s v="Nappali"/>
    <n v="9"/>
    <n v="1"/>
    <s v="2021/22/2"/>
    <n v="10"/>
    <s v="72281268301"/>
    <n v="11"/>
    <x v="3"/>
    <m/>
    <m/>
    <m/>
    <m/>
    <s v="Képzésváltás intézményen belül"/>
    <d v="2019-09-14T00:00:00"/>
    <m/>
    <s v="BDPK-SEK"/>
    <s v="Eke Norbertné"/>
    <d v="2019-07-24T00:00:00"/>
    <d v="2025-01-31T00:00:00"/>
    <n v="500000"/>
    <m/>
    <n v="5"/>
    <s v="Nő"/>
    <n v="500000"/>
    <s v="fazekas.petra.r@gmail.com"/>
    <s v="Malomsoki Dorina Vénusz"/>
    <n v="6"/>
    <s v="Aktív"/>
    <n v="6"/>
    <n v="6"/>
    <s v="magyar"/>
    <m/>
  </r>
  <r>
    <s v="Molnár Ádám"/>
    <s v="ARVND5"/>
    <s v="Aktív"/>
    <s v="osztatlan tanári [11 félév [angol nyelv és kultúra tanára; rajz- és vizuáliskultúra-tanár]]"/>
    <x v="5"/>
    <s v="osztatlan tanárképzés"/>
    <s v="TKK-OTAK-NOHU"/>
    <s v="Szombathely"/>
    <s v="Vas"/>
    <s v="Molnár Ádám"/>
    <s v="Magyarország"/>
    <d v="2000-06-28T00:00:00"/>
    <s v="T165031/FI80798"/>
    <x v="5"/>
    <s v="Állami ösztöndíjas"/>
    <s v="2020/21/1"/>
    <s v="Nappali"/>
    <n v="11"/>
    <n v="1"/>
    <s v="2021/22/2"/>
    <n v="10"/>
    <s v="79490072839"/>
    <n v="11"/>
    <x v="3"/>
    <m/>
    <m/>
    <m/>
    <m/>
    <s v="Képzésváltás intézményen belül"/>
    <d v="2020-09-14T00:00:00"/>
    <m/>
    <s v="BDPK-SEK"/>
    <s v="Eke Norbertné"/>
    <d v="2020-07-23T00:00:00"/>
    <d v="2026-01-31T00:00:00"/>
    <n v="500000"/>
    <m/>
    <n v="3"/>
    <s v="Férfi"/>
    <n v="500000"/>
    <s v="molnaradam72@gmail.com"/>
    <s v="Szalai Ildikó"/>
    <n v="4"/>
    <s v="Aktív"/>
    <n v="4"/>
    <n v="4"/>
    <s v="magyar"/>
    <m/>
  </r>
  <r>
    <s v="Petkó Rebeka Anna"/>
    <s v="H0EEJT"/>
    <s v="Aktív"/>
    <s v="osztatlan tanári [11 félév [angol nyelv és kultúra tanára; rajz- és vizuáliskultúra-tanár]]"/>
    <x v="5"/>
    <s v="osztatlan tanárképzés"/>
    <s v="TKK-OTAK-NOHU"/>
    <s v="Szombathely"/>
    <s v="Vas"/>
    <s v="Petkó Rebeka Anna"/>
    <s v="Magyarország"/>
    <d v="2002-05-19T00:00:00"/>
    <s v="T184022/FI80798"/>
    <x v="5"/>
    <s v="Állami ösztöndíjas"/>
    <s v="2021/22/1"/>
    <s v="Nappali"/>
    <n v="13"/>
    <n v="1"/>
    <s v="2021/22/2"/>
    <n v="10"/>
    <s v="71761713083"/>
    <n v="11"/>
    <x v="3"/>
    <m/>
    <m/>
    <m/>
    <m/>
    <s v="Képzésváltás intézményen belül"/>
    <d v="2021-09-13T00:00:00"/>
    <m/>
    <s v="BDPK-SEK"/>
    <s v="Eke Norbertné"/>
    <d v="2021-07-23T00:00:00"/>
    <d v="2027-01-31T00:00:00"/>
    <n v="500000"/>
    <m/>
    <n v="1"/>
    <s v="Nő"/>
    <n v="500000"/>
    <s v="petkorebi@gmail.hu"/>
    <s v="Borsics Orsolya"/>
    <n v="2"/>
    <s v="Aktív"/>
    <n v="2"/>
    <n v="2"/>
    <s v="magyar"/>
    <m/>
  </r>
  <r>
    <s v="Csenár Dóra"/>
    <s v="ZXHDYN"/>
    <s v="Aktív"/>
    <s v="osztatlan tanári [11 félév [angol nyelv és kultúra tanára; rajz- és vizuáliskultúra-tanár]]"/>
    <x v="5"/>
    <s v="osztatlan tanárképzés"/>
    <s v="TKK-OTAK-NOHU"/>
    <s v="Szombathely"/>
    <s v="Vas"/>
    <s v="Csenár Dóra"/>
    <s v="Magyarország"/>
    <d v="2001-10-18T00:00:00"/>
    <s v="T183053/FI80798"/>
    <x v="5"/>
    <s v="Állami ösztöndíjas"/>
    <s v="2021/22/1"/>
    <s v="Nappali"/>
    <n v="13"/>
    <n v="1"/>
    <s v="2021/22/2"/>
    <n v="10"/>
    <s v="71596796226"/>
    <n v="11"/>
    <x v="3"/>
    <m/>
    <m/>
    <m/>
    <m/>
    <s v="Képzésváltás intézményen belül"/>
    <d v="2021-09-13T00:00:00"/>
    <m/>
    <s v="BDPK-SEK"/>
    <s v="Eke Norbertné"/>
    <d v="2021-07-23T00:00:00"/>
    <d v="2027-01-31T00:00:00"/>
    <n v="500000"/>
    <m/>
    <n v="1"/>
    <s v="Nő"/>
    <n v="500000"/>
    <s v="csenardoramgs5@gmail.com"/>
    <s v="Kóbor Ildikó"/>
    <n v="2"/>
    <s v="Aktív"/>
    <n v="2"/>
    <n v="2"/>
    <s v="magyar"/>
    <m/>
  </r>
  <r>
    <s v="Huszár Vanessza Anna"/>
    <s v="X46NEK"/>
    <s v="Aktív"/>
    <s v="osztatlan tanári [11 félév [angol nyelv és kultúra tanára; történelemtanár és állampolgári ismeretek tanára]]"/>
    <x v="9"/>
    <s v="osztatlan tanárképzés"/>
    <s v="TKK-OTAK-NOHU"/>
    <s v="Szombathely"/>
    <s v="Vas"/>
    <s v="Huszár Vanessza Anna"/>
    <s v="Magyarország"/>
    <d v="1998-09-29T00:00:00"/>
    <s v="T125611/FI80798"/>
    <x v="5"/>
    <s v="Állami ösztöndíjas"/>
    <s v="2017/18/1"/>
    <s v="Nappali"/>
    <n v="5"/>
    <n v="1"/>
    <s v="2021/22/2"/>
    <n v="10"/>
    <s v="71421340101"/>
    <n v="11"/>
    <x v="3"/>
    <m/>
    <m/>
    <m/>
    <m/>
    <s v="Képzésváltás intézményen belül"/>
    <d v="2020-09-01T00:00:00"/>
    <m/>
    <s v="BDPK-SEK"/>
    <s v="Eke Norbertné"/>
    <d v="2017-07-27T00:00:00"/>
    <d v="2023-01-31T00:00:00"/>
    <n v="500000"/>
    <m/>
    <n v="3"/>
    <s v="Nő"/>
    <n v="500000"/>
    <s v="vanesszahuszar98@gmail.com"/>
    <s v="Gergely Eszter"/>
    <n v="4"/>
    <s v="Aktív"/>
    <n v="4"/>
    <n v="10"/>
    <s v="magyar"/>
    <m/>
  </r>
  <r>
    <s v="Svertsits Anna"/>
    <s v="FV8WTU"/>
    <s v="Aktív"/>
    <s v="osztatlan tanári [11 félév [biológiatanár (egészségtan); rajz- és vizuáliskultúra-tanár]]"/>
    <x v="5"/>
    <s v="osztatlan tanárképzés"/>
    <s v="TKK-OTAK-NOHU"/>
    <s v="Szombathely"/>
    <s v="Vas"/>
    <s v="Svertsits Anna"/>
    <s v="Magyarország"/>
    <d v="1999-02-09T00:00:00"/>
    <s v="T149610/FI80798"/>
    <x v="5"/>
    <s v="Állami ösztöndíjas"/>
    <s v="2019/20/1"/>
    <s v="Nappali"/>
    <n v="9"/>
    <n v="1"/>
    <s v="2021/22/2"/>
    <n v="10"/>
    <s v="72961310701"/>
    <n v="11"/>
    <x v="3"/>
    <m/>
    <m/>
    <m/>
    <m/>
    <s v="Képzésváltás intézményen belül"/>
    <d v="2019-09-14T00:00:00"/>
    <m/>
    <s v="BDPK-SEK"/>
    <s v="Eke Norbertné"/>
    <d v="2019-07-24T00:00:00"/>
    <d v="2025-01-31T00:00:00"/>
    <n v="500000"/>
    <m/>
    <n v="5"/>
    <s v="Nő"/>
    <n v="500000"/>
    <s v="annasvertsits@gmail.com"/>
    <s v="Fehér Lilla"/>
    <n v="6"/>
    <s v="Aktív"/>
    <n v="6"/>
    <n v="6"/>
    <s v="magyar"/>
    <m/>
  </r>
  <r>
    <s v="Nárai Domonkos"/>
    <s v="IYDI4K"/>
    <s v="Aktív"/>
    <s v="osztatlan tanári [11 félév [biológiatanár (egészségtan); természetismeret-környezettan tanár]]"/>
    <x v="13"/>
    <s v="osztatlan tanárképzés"/>
    <s v="TKK-OTAK-NOHU"/>
    <s v="Szombathely"/>
    <s v="Vas"/>
    <s v="Nárai Domonkos"/>
    <s v="Magyarország"/>
    <d v="1998-06-02T00:00:00"/>
    <s v="T140391/FI80798"/>
    <x v="5"/>
    <s v="Állami ösztöndíjas"/>
    <s v="2018/19/1"/>
    <s v="Nappali"/>
    <n v="7"/>
    <n v="1"/>
    <s v="2021/22/2"/>
    <n v="10"/>
    <s v="72019286350"/>
    <n v="11"/>
    <x v="3"/>
    <m/>
    <m/>
    <m/>
    <m/>
    <s v="Képzésváltás intézményen belül"/>
    <d v="2018-09-06T00:00:00"/>
    <m/>
    <s v="BDPK-SEK"/>
    <s v="Eke Norbertné"/>
    <d v="2018-08-24T00:00:00"/>
    <d v="2024-01-31T00:00:00"/>
    <n v="400000"/>
    <m/>
    <n v="5"/>
    <s v="Férfi"/>
    <n v="400000"/>
    <s v="narai1998@gmail.com"/>
    <s v="Szovák Anita"/>
    <n v="8"/>
    <s v="Aktív"/>
    <n v="6"/>
    <n v="8"/>
    <s v="magyar"/>
    <m/>
  </r>
  <r>
    <s v="Horváth Sára Anna"/>
    <s v="UQSTS2"/>
    <s v="Aktív"/>
    <s v="osztatlan tanári [11 félév [biológiatanár (egészségtan); természetismeret-környezettan tanár]]"/>
    <x v="13"/>
    <s v="osztatlan tanárképzés"/>
    <s v="TKK-OTAK-NOHU"/>
    <s v="Mosonmagyaróvár"/>
    <s v="Győr-Moson-Sopron"/>
    <s v="Horváth Sára Anna"/>
    <s v="Magyarország"/>
    <d v="2000-03-05T00:00:00"/>
    <s v="T140515/FI80798"/>
    <x v="5"/>
    <s v="Állami ösztöndíjas"/>
    <s v="2018/19/1"/>
    <s v="Nappali"/>
    <n v="7"/>
    <n v="1"/>
    <s v="2021/22/2"/>
    <n v="10"/>
    <s v="77951739322"/>
    <n v="11"/>
    <x v="3"/>
    <m/>
    <m/>
    <m/>
    <m/>
    <s v="Képzésváltás intézményen belül"/>
    <d v="2018-09-06T00:00:00"/>
    <m/>
    <s v="BDPK-SEK"/>
    <s v="Eke Norbertné"/>
    <d v="2018-07-25T00:00:00"/>
    <d v="2024-01-31T00:00:00"/>
    <n v="400000"/>
    <m/>
    <n v="7"/>
    <s v="Nő"/>
    <n v="400000"/>
    <s v="horvath.sara10@freemail.hu"/>
    <s v="Fekete Eszter"/>
    <n v="8"/>
    <s v="Aktív"/>
    <n v="8"/>
    <n v="8"/>
    <s v="magyar"/>
    <m/>
  </r>
  <r>
    <s v="Kasznár Bálint"/>
    <s v="PFES7A"/>
    <s v="Aktív"/>
    <s v="osztatlan tanári [11 félév [fizikatanár (természettudományi gyakorlatok); matematikatanár]]"/>
    <x v="7"/>
    <s v="osztatlan tanárképzés"/>
    <s v="TKK-OTAK-NOHU"/>
    <s v="Győr"/>
    <s v="Győr-Moson-Sopron"/>
    <s v="Kasznár Bálint"/>
    <s v="Magyarország"/>
    <d v="1993-10-20T00:00:00"/>
    <s v="T130292/FI80798"/>
    <x v="5"/>
    <s v="Önköltséges"/>
    <s v="2017/18/1"/>
    <s v="Nappali"/>
    <n v="4"/>
    <n v="1"/>
    <s v="2017/18/2"/>
    <n v="10"/>
    <s v="76384735188"/>
    <n v="11"/>
    <x v="3"/>
    <m/>
    <m/>
    <m/>
    <m/>
    <s v="Képzésváltás intézményen belül"/>
    <d v="2019-09-14T00:00:00"/>
    <m/>
    <s v="BDPK-SEK"/>
    <s v="Eke Norbertné"/>
    <d v="2017-08-22T00:00:00"/>
    <d v="2023-01-31T00:00:00"/>
    <m/>
    <m/>
    <n v="0"/>
    <s v="Férfi"/>
    <m/>
    <s v="kasznar.balint@gmail.com"/>
    <s v="Kopetseg Éva"/>
    <n v="6"/>
    <s v="Aktív"/>
    <n v="0"/>
    <n v="10"/>
    <s v="magyar"/>
    <n v="400000"/>
  </r>
  <r>
    <s v="Hajas Ádám"/>
    <s v="KNDFYP"/>
    <s v="Aktív"/>
    <s v="osztatlan tanári [11 félév [földrajztanár; rajz- és vizuáliskultúra-tanár]]"/>
    <x v="5"/>
    <s v="osztatlan tanár"/>
    <s v="BDPK-SEK-SANO-OT-NOHU"/>
    <s v="Székesfehérvár"/>
    <s v="Fejér"/>
    <s v="Hajas Ádám"/>
    <s v="Magyarország"/>
    <d v="1996-04-09T00:00:00"/>
    <s v="T013729/FI21120/B"/>
    <x v="5"/>
    <s v="Állami ösztöndíjas (képzési időn túli)"/>
    <s v="2016/17/1"/>
    <s v="Nappali"/>
    <n v="3"/>
    <n v="1"/>
    <s v="2021/22/2"/>
    <n v="10"/>
    <s v="79632716699"/>
    <n v="11"/>
    <x v="3"/>
    <m/>
    <m/>
    <m/>
    <m/>
    <s v="Képzésváltás intézményen belül"/>
    <d v="2019-09-03T00:00:00"/>
    <m/>
    <s v="BDPK-SEK"/>
    <s v="Eke Norbertné"/>
    <d v="2016-07-26T00:00:00"/>
    <d v="2022-07-15T00:00:00"/>
    <n v="500000"/>
    <m/>
    <n v="5"/>
    <s v="Férfi"/>
    <n v="500000"/>
    <s v="adam.h.19960409@gmail.com"/>
    <s v="Balogh Anita"/>
    <n v="6"/>
    <s v="Aktív"/>
    <n v="6"/>
    <n v="12"/>
    <s v="magyar"/>
    <m/>
  </r>
  <r>
    <s v="Söveges Bernadett"/>
    <s v="DHK1W5"/>
    <s v="Aktív"/>
    <s v="osztatlan tanári [11 félév [földrajztanár; természetismeret-környezettan tanár]]"/>
    <x v="13"/>
    <s v="osztatlan tanárképzés"/>
    <s v="TKK-OTAK-NOHU"/>
    <s v="Tapolca"/>
    <s v="Veszprém"/>
    <s v="Söveges Bernadett"/>
    <s v="Magyarország"/>
    <d v="1998-04-20T00:00:00"/>
    <s v="T130661/FI80798"/>
    <x v="5"/>
    <s v="Állami ösztöndíjas"/>
    <s v="2017/18/1"/>
    <s v="Nappali"/>
    <n v="5"/>
    <n v="1"/>
    <s v="2021/22/2"/>
    <n v="10"/>
    <s v="75046599311"/>
    <n v="11"/>
    <x v="3"/>
    <m/>
    <m/>
    <m/>
    <m/>
    <s v="Képzésváltás intézményen belül"/>
    <d v="2019-09-14T00:00:00"/>
    <m/>
    <s v="BDPK-SEK"/>
    <s v="Eke Norbertné"/>
    <d v="2017-07-27T00:00:00"/>
    <d v="2023-01-31T00:00:00"/>
    <n v="500000"/>
    <m/>
    <n v="5"/>
    <s v="Nő"/>
    <n v="500000"/>
    <s v="soveges.bernadett.0420@gmail.com"/>
    <s v="Ujvári Bernadett"/>
    <n v="6"/>
    <s v="Aktív"/>
    <n v="6"/>
    <n v="10"/>
    <s v="magyar"/>
    <m/>
  </r>
  <r>
    <s v="Molnár Dávid"/>
    <s v="RF9G04"/>
    <s v="Aktív"/>
    <s v="osztatlan tanári [11 félév [földrajztanár; történelemtanár és állampolgári ismeretek tanára]]"/>
    <x v="9"/>
    <s v="osztatlan tanár"/>
    <s v="BDPK-SEK-SANO-OT-NOHU"/>
    <s v="Pápa"/>
    <s v="Veszprém"/>
    <s v="Molnár Dávid"/>
    <s v="Magyarország"/>
    <d v="1997-10-25T00:00:00"/>
    <s v="T013740/FI21120/B"/>
    <x v="5"/>
    <s v="Állami ösztöndíjas (képzési időn túli)"/>
    <s v="2016/17/1"/>
    <s v="Nappali"/>
    <n v="3"/>
    <n v="1"/>
    <s v="2021/22/2"/>
    <n v="10"/>
    <s v="72138238410"/>
    <n v="11"/>
    <x v="3"/>
    <m/>
    <m/>
    <m/>
    <m/>
    <s v="Képzésváltás intézményen belül"/>
    <d v="2019-09-03T00:00:00"/>
    <m/>
    <s v="BDPK-SEK"/>
    <s v="Eke Norbertné"/>
    <d v="2016-07-26T00:00:00"/>
    <d v="2022-07-15T00:00:00"/>
    <n v="500000"/>
    <m/>
    <n v="5"/>
    <s v="Férfi"/>
    <n v="500000"/>
    <s v="totya971025@gmail.com"/>
    <s v="László Anett"/>
    <n v="6"/>
    <s v="Aktív"/>
    <n v="6"/>
    <n v="12"/>
    <s v="magyar"/>
    <m/>
  </r>
  <r>
    <s v="Csendes Máté"/>
    <s v="FWMEEY"/>
    <s v="Passzív"/>
    <s v="osztatlan tanári [11 félév [földrajztanár; történelemtanár és állampolgári ismeretek tanára]]"/>
    <x v="9"/>
    <s v="osztatlan tanár"/>
    <s v="BDPK-SEK-SANO-OT-NOHU"/>
    <s v="Körmend"/>
    <s v="Vas"/>
    <s v="Csendes Máté"/>
    <s v="Magyarország"/>
    <d v="1997-10-28T00:00:00"/>
    <s v="T013779/FI21120/B"/>
    <x v="5"/>
    <s v="Állami ösztöndíjas"/>
    <s v="2016/17/1"/>
    <s v="Nappali"/>
    <n v="5"/>
    <n v="1"/>
    <s v="2020/21/2"/>
    <n v="10"/>
    <s v="78585423596"/>
    <n v="11"/>
    <x v="3"/>
    <m/>
    <m/>
    <m/>
    <m/>
    <s v="Képzésváltás intézményen belül"/>
    <d v="2019-09-03T00:00:00"/>
    <m/>
    <s v="BDPK-SEK"/>
    <s v="Eke Norbertné"/>
    <d v="2016-07-26T00:00:00"/>
    <d v="2023-01-31T00:00:00"/>
    <n v="500000"/>
    <m/>
    <n v="4"/>
    <s v="Férfi"/>
    <n v="500000"/>
    <s v="csendes.mate97@gmail.com"/>
    <s v="Márton Szilvia"/>
    <n v="4"/>
    <s v="Passzív"/>
    <m/>
    <n v="10"/>
    <s v="magyar"/>
    <m/>
  </r>
  <r>
    <s v="Horváthné Dani Brigitta Roxána"/>
    <s v="XYCWNR"/>
    <s v="Aktív"/>
    <s v="osztatlan tanári [11 félév [kémiatanár (természettudományi gyakorlatok); természetismeret-környezettan tanár]]"/>
    <x v="13"/>
    <s v="osztatlan tanárképzés"/>
    <s v="TKK-OTAK-NOHU"/>
    <s v="Győr"/>
    <s v="Győr-Moson-Sopron"/>
    <s v="Dani Brigitta Roxána"/>
    <s v="Magyarország"/>
    <d v="2000-07-10T00:00:00"/>
    <s v="T148527/FI80798"/>
    <x v="5"/>
    <s v="Állami ösztöndíjas"/>
    <s v="2019/20/1"/>
    <s v="Nappali"/>
    <n v="9"/>
    <n v="1"/>
    <s v="2021/22/2"/>
    <n v="10"/>
    <s v="75143667789"/>
    <n v="11"/>
    <x v="3"/>
    <m/>
    <m/>
    <m/>
    <m/>
    <s v="Képzésváltás intézményen belül"/>
    <d v="2019-09-14T00:00:00"/>
    <m/>
    <s v="BDPK-SEK"/>
    <s v="Eke Norbertné"/>
    <d v="2019-07-24T00:00:00"/>
    <d v="2025-01-31T00:00:00"/>
    <n v="500000"/>
    <m/>
    <n v="5"/>
    <s v="Nő"/>
    <n v="500000"/>
    <s v="danibrigiroxi@gmail.com"/>
    <s v="Tavaszi Nóra Ágnes"/>
    <n v="6"/>
    <s v="Aktív"/>
    <n v="6"/>
    <n v="6"/>
    <s v="magyar"/>
    <m/>
  </r>
  <r>
    <s v="Hercz Balázs"/>
    <s v="FJZT2R"/>
    <s v="Aktív"/>
    <s v="osztatlan tanári [11 félév [magyartanár; ének-zene tanár]]"/>
    <x v="6"/>
    <s v="osztatlan tanárképzés"/>
    <s v="TKK-OTAK-NOHU"/>
    <s v="Pápa"/>
    <s v="Veszprém"/>
    <s v="Hercz Balázs"/>
    <s v="Magyarország"/>
    <d v="1996-06-18T00:00:00"/>
    <s v="T131034/FI80798"/>
    <x v="5"/>
    <s v="Állami ösztöndíjas"/>
    <s v="2017/18/1"/>
    <s v="Nappali"/>
    <n v="5"/>
    <n v="1"/>
    <s v="2021/22/2"/>
    <n v="10"/>
    <s v="78922713401"/>
    <n v="11"/>
    <x v="3"/>
    <m/>
    <m/>
    <m/>
    <m/>
    <s v="Képzésváltás intézményen belül"/>
    <d v="2019-09-14T00:00:00"/>
    <m/>
    <s v="BDPK-SEK"/>
    <s v="Eke Norbertné"/>
    <d v="2017-07-27T00:00:00"/>
    <d v="2023-01-31T00:00:00"/>
    <n v="500000"/>
    <m/>
    <n v="5"/>
    <s v="Férfi"/>
    <n v="500000"/>
    <s v="humanizom@gmail.com"/>
    <s v="Szerdahelyi Judit Mária"/>
    <n v="6"/>
    <s v="Aktív"/>
    <n v="6"/>
    <n v="10"/>
    <s v="magyar"/>
    <m/>
  </r>
  <r>
    <s v="Kővári Dorottya"/>
    <s v="QYLHE6"/>
    <s v="Aktív"/>
    <s v="osztatlan tanári [11 félév [magyartanár; ének-zene tanár]]"/>
    <x v="6"/>
    <s v="osztatlan tanárképzés"/>
    <s v="TKK-OTAK-NOHU"/>
    <s v="Szombathely"/>
    <s v="Vas"/>
    <s v="Kővári Dorottya"/>
    <s v="Magyarország"/>
    <d v="1999-07-09T00:00:00"/>
    <s v="T137297/FI80798"/>
    <x v="5"/>
    <s v="Állami ösztöndíjas"/>
    <s v="2018/19/1"/>
    <s v="Nappali"/>
    <n v="7"/>
    <n v="1"/>
    <s v="2021/22/2"/>
    <n v="10"/>
    <s v="78429525212"/>
    <n v="11"/>
    <x v="3"/>
    <m/>
    <m/>
    <m/>
    <m/>
    <s v="Képzésváltás intézményen belül"/>
    <d v="2020-09-01T00:00:00"/>
    <m/>
    <s v="BDPK-SEK"/>
    <s v="Eke Norbertné"/>
    <d v="2018-07-25T00:00:00"/>
    <d v="2024-01-31T00:00:00"/>
    <n v="500000"/>
    <m/>
    <n v="3"/>
    <s v="Nő"/>
    <n v="500000"/>
    <s v="kovari.dorottya9@gmail.com"/>
    <s v="Serfőző Szilvia"/>
    <n v="4"/>
    <s v="Aktív"/>
    <n v="4"/>
    <n v="8"/>
    <s v="magyar"/>
    <m/>
  </r>
  <r>
    <s v="Vincze Bence"/>
    <s v="V7ENAI"/>
    <s v="Aktív"/>
    <s v="osztatlan tanári [11 félév [magyartanár; orosz nyelv és kultúra tanára]]"/>
    <x v="11"/>
    <s v="osztatlan tanár"/>
    <s v="BDPK-SEK-SANO-OT-NOHU"/>
    <s v="Szombathely"/>
    <s v="Vas"/>
    <s v="Vincze Bence"/>
    <s v="Magyarország"/>
    <d v="1997-10-13T00:00:00"/>
    <s v="T014231/FI21120/B"/>
    <x v="5"/>
    <s v="Állami ösztöndíjas"/>
    <s v="2016/17/1"/>
    <s v="Nappali"/>
    <n v="4"/>
    <n v="1"/>
    <s v="2021/22/2"/>
    <n v="10"/>
    <s v="79577878969"/>
    <n v="11"/>
    <x v="3"/>
    <s v="a központi eljárásban magyarországi képzésre"/>
    <n v="352"/>
    <m/>
    <m/>
    <s v="Felvétel"/>
    <d v="2016-10-17T00:00:00"/>
    <s v="310682710168"/>
    <s v="BDPK-SEK"/>
    <s v="Eke Norbertné"/>
    <d v="2016-10-17T00:00:00"/>
    <d v="2023-01-31T00:00:00"/>
    <n v="400000"/>
    <m/>
    <n v="10"/>
    <s v="Férfi"/>
    <n v="400000"/>
    <s v="vinczebence13@gmail.com"/>
    <s v="Kupi Anita Mária"/>
    <n v="11"/>
    <s v="Aktív"/>
    <n v="11"/>
    <n v="11"/>
    <s v="magyar"/>
    <m/>
  </r>
  <r>
    <s v="Kupi Maitra"/>
    <s v="BDD7SK"/>
    <s v="Aktív"/>
    <s v="osztatlan tanári [11 félév [magyartanár; rajz- és vizuáliskultúra-tanár]]"/>
    <x v="5"/>
    <s v="osztatlan tanárképzés"/>
    <s v="TKK-OTAK-NOHU"/>
    <s v="Szombathely"/>
    <s v="Vas"/>
    <s v="Kupi Maitra"/>
    <s v="Magyarország"/>
    <d v="1999-10-29T00:00:00"/>
    <s v="T136021/FI80798"/>
    <x v="5"/>
    <s v="Állami ösztöndíjas"/>
    <s v="2018/19/1"/>
    <s v="Nappali"/>
    <n v="7"/>
    <n v="1"/>
    <s v="2021/22/2"/>
    <n v="10"/>
    <s v="79775057380"/>
    <n v="11"/>
    <x v="3"/>
    <m/>
    <m/>
    <m/>
    <m/>
    <s v="Képzésváltás intézményen belül"/>
    <d v="2021-02-15T00:00:00"/>
    <m/>
    <s v="BDPK-SEK"/>
    <s v="Eke Norbertné"/>
    <d v="2018-07-25T00:00:00"/>
    <d v="2024-01-31T00:00:00"/>
    <m/>
    <m/>
    <n v="2"/>
    <s v="Nő"/>
    <n v="300000"/>
    <s v="kupimaitra@gmail.com"/>
    <s v="Buús Brigitta"/>
    <n v="3"/>
    <s v="Aktív"/>
    <n v="3"/>
    <n v="8"/>
    <s v="magyar"/>
    <m/>
  </r>
  <r>
    <s v="Szőke Szeverina Anna"/>
    <s v="B7UM2Y"/>
    <s v="Aktív"/>
    <s v="osztatlan tanári [11 félév [magyartanár; technika-, életvitel- és gyakorlat-tanár]]"/>
    <x v="15"/>
    <s v="osztatlan tanárképzés"/>
    <s v="TKK-OTAK-NOHU"/>
    <s v="Szombathely"/>
    <s v="Vas"/>
    <s v="Szőke Szeverina Anna"/>
    <s v="Magyarország"/>
    <d v="1999-03-05T00:00:00"/>
    <s v="T166953/FI80798"/>
    <x v="5"/>
    <s v="Állami ösztöndíjas"/>
    <s v="2020/21/1"/>
    <s v="Nappali"/>
    <n v="6"/>
    <n v="1"/>
    <s v="2021/22/2"/>
    <n v="10"/>
    <s v="73928498616"/>
    <n v="11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Nő"/>
    <n v="500000"/>
    <s v="szszeverina9756@gmail.com"/>
    <s v="Varga Andrea Csilla"/>
    <n v="4"/>
    <s v="Aktív"/>
    <n v="4"/>
    <n v="4"/>
    <s v="magyar"/>
    <m/>
  </r>
  <r>
    <s v="Orbán Kristóf Attila"/>
    <s v="PVLTXZ"/>
    <s v="Aktív"/>
    <s v="osztatlan tanári [11 félév [magyartanár; történelemtanár és állampolgári ismeretek tanára]]"/>
    <x v="9"/>
    <s v="osztatlan tanárképzés"/>
    <s v="TKK-OTAK-NOHU"/>
    <s v="Ajka"/>
    <s v="Veszprém"/>
    <s v="Orbán Kristóf Attila"/>
    <s v="Magyarország"/>
    <d v="1997-12-09T00:00:00"/>
    <s v="T126710/FI80798"/>
    <x v="5"/>
    <s v="Állami ösztöndíjas"/>
    <s v="2017/18/1"/>
    <s v="Nappali"/>
    <n v="5"/>
    <n v="1"/>
    <s v="2021/22/2"/>
    <n v="10"/>
    <s v="72764407076"/>
    <n v="11"/>
    <x v="3"/>
    <m/>
    <m/>
    <m/>
    <m/>
    <s v="Képzésváltás intézményen belül"/>
    <d v="2019-09-14T00:00:00"/>
    <m/>
    <s v="BDPK-SEK"/>
    <s v="Eke Norbertné"/>
    <d v="2017-07-27T00:00:00"/>
    <d v="2023-01-31T00:00:00"/>
    <n v="500000"/>
    <m/>
    <n v="5"/>
    <s v="Férfi"/>
    <n v="500000"/>
    <s v="orbankristof6@gmail.com"/>
    <s v="Simon Erzsébet"/>
    <n v="6"/>
    <s v="Aktív"/>
    <n v="6"/>
    <n v="10"/>
    <s v="magyar"/>
    <m/>
  </r>
  <r>
    <s v="Ádám Evelin"/>
    <s v="PABI7Q"/>
    <s v="Aktív"/>
    <s v="osztatlan tanári [11 félév [magyartanár; történelemtanár és állampolgári ismeretek tanára]]"/>
    <x v="9"/>
    <s v="osztatlan tanárképzés"/>
    <s v="TKK-OTAK-NOHU"/>
    <s v="Tatabánya"/>
    <s v="Komárom-Esztergom"/>
    <s v="Ádám Evelin"/>
    <s v="Magyarország"/>
    <d v="2001-08-10T00:00:00"/>
    <s v="T164875/FI80798"/>
    <x v="5"/>
    <s v="Állami ösztöndíjas"/>
    <s v="2020/21/1"/>
    <s v="Nappali"/>
    <n v="11"/>
    <n v="1"/>
    <s v="2021/22/2"/>
    <n v="10"/>
    <s v="71615803259"/>
    <n v="11"/>
    <x v="3"/>
    <m/>
    <m/>
    <m/>
    <m/>
    <s v="Képzésváltás intézményen belül"/>
    <d v="2020-09-14T00:00:00"/>
    <m/>
    <s v="BDPK-SEK"/>
    <s v="Eke Norbertné"/>
    <d v="2020-07-23T00:00:00"/>
    <d v="2026-01-31T00:00:00"/>
    <n v="500000"/>
    <m/>
    <n v="3"/>
    <s v="Nő"/>
    <n v="500000"/>
    <s v="adamevelin0810@gmail.com"/>
    <s v="Elek Éva"/>
    <n v="4"/>
    <s v="Aktív"/>
    <n v="4"/>
    <n v="4"/>
    <s v="magyar"/>
    <m/>
  </r>
  <r>
    <s v="Fáczán Gábor Dominik"/>
    <s v="O6RGM4"/>
    <s v="Aktív"/>
    <s v="osztatlan tanári [11 félév [magyartanár; történelemtanár és állampolgári ismeretek tanára]]"/>
    <x v="9"/>
    <s v="osztatlan tanárképzés"/>
    <s v="TKK-OTAK-NOHU"/>
    <s v="Sopron"/>
    <s v="Győr-Moson-Sopron"/>
    <s v="Fáczán Gábor Dominik"/>
    <s v="Magyarország"/>
    <d v="2002-09-02T00:00:00"/>
    <s v="T188578/FI80798"/>
    <x v="5"/>
    <s v="Állami ösztöndíjas"/>
    <s v="2021/22/1"/>
    <s v="Nappali"/>
    <n v="13"/>
    <n v="1"/>
    <s v="2021/22/2"/>
    <n v="10"/>
    <s v="72151414237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Férfi"/>
    <n v="500000"/>
    <s v="dfaczan@gmail.com"/>
    <s v="Bencsik Mária Edit"/>
    <n v="2"/>
    <s v="Aktív"/>
    <n v="2"/>
    <n v="2"/>
    <s v="magyar"/>
    <m/>
  </r>
  <r>
    <s v="Körmendi Roland"/>
    <s v="K00Q80"/>
    <s v="Aktív"/>
    <s v="osztatlan tanári [11 félév [matematikatanár; természetismeret-környezettan tanár (természettudományi gyakorlatok)]]"/>
    <x v="13"/>
    <s v="osztatlan tanárképzés"/>
    <s v="TKK-OTAK-NOHU"/>
    <s v="Zalaegerszeg"/>
    <s v="Zala"/>
    <s v="Körmendi Roland"/>
    <s v="Magyarország"/>
    <d v="2001-01-21T00:00:00"/>
    <s v="T164021/FI80798"/>
    <x v="5"/>
    <s v="Állami ösztöndíjas"/>
    <s v="2020/21/1"/>
    <s v="Nappali"/>
    <n v="10"/>
    <n v="1"/>
    <s v="2021/22/2"/>
    <n v="10"/>
    <s v="72778999881"/>
    <n v="11"/>
    <x v="3"/>
    <m/>
    <m/>
    <m/>
    <m/>
    <s v="Képzésváltás intézményen belül"/>
    <d v="2020-09-14T00:00:00"/>
    <m/>
    <s v="BDPK-SEK"/>
    <s v="Eke Norbertné"/>
    <d v="2020-07-23T00:00:00"/>
    <d v="2026-01-31T00:00:00"/>
    <n v="500000"/>
    <m/>
    <n v="3"/>
    <s v="Férfi"/>
    <n v="500000"/>
    <s v="roli.k0121@gmail.com"/>
    <s v="Andor Elvira"/>
    <n v="4"/>
    <s v="Aktív"/>
    <n v="4"/>
    <n v="4"/>
    <s v="magyar"/>
    <m/>
  </r>
  <r>
    <s v="Horváth Csaba"/>
    <s v="CVSG2J"/>
    <s v="Aktív"/>
    <s v="osztatlan tanári [11 félév [matematikatanár; történelemtanár és állampolgári ismeretek tanára]]"/>
    <x v="9"/>
    <s v="osztatlan tanárképzés"/>
    <s v="TKK-OTAK-NOHU"/>
    <s v="Csorna"/>
    <s v="Győr-Moson-Sopron"/>
    <s v="Horváth Csaba"/>
    <s v="Magyarország"/>
    <d v="2002-10-15T00:00:00"/>
    <s v="T181593/FI80798"/>
    <x v="5"/>
    <s v="Állami ösztöndíjas"/>
    <s v="2021/22/1"/>
    <s v="Nappali"/>
    <n v="13"/>
    <n v="1"/>
    <s v="2021/22/2"/>
    <n v="10"/>
    <s v="72311764399"/>
    <n v="11"/>
    <x v="3"/>
    <m/>
    <m/>
    <m/>
    <m/>
    <s v="Képzésváltás intézményen belül"/>
    <d v="2021-09-13T00:00:00"/>
    <m/>
    <s v="BDPK-SEK"/>
    <s v="Eke Norbertné"/>
    <d v="2021-07-23T00:00:00"/>
    <d v="2027-01-31T00:00:00"/>
    <n v="500000"/>
    <m/>
    <n v="1"/>
    <s v="Férfi"/>
    <n v="500000"/>
    <s v="hcsabi02@gmail.com"/>
    <s v="Kristóf Katalin"/>
    <n v="2"/>
    <s v="Aktív"/>
    <n v="2"/>
    <n v="2"/>
    <s v="magyar"/>
    <m/>
  </r>
  <r>
    <s v="Termeczky Kata"/>
    <s v="HQHV7F"/>
    <s v="Aktív"/>
    <s v="osztatlan tanári [11 félév [német nyelv és kultúra tanára; rajz- és vizuáliskultúra-tanár]]"/>
    <x v="5"/>
    <s v="osztatlan tanárképzés"/>
    <s v="TKK-OTAK-NOHU"/>
    <s v="Csorna"/>
    <s v="Győr-Moson-Sopron"/>
    <s v="Termeczky Kata"/>
    <s v="Magyarország"/>
    <d v="2003-02-03T00:00:00"/>
    <s v="T184863/FI80798"/>
    <x v="5"/>
    <s v="Állami ösztöndíjas"/>
    <s v="2021/22/1"/>
    <s v="Nappali"/>
    <n v="13"/>
    <n v="1"/>
    <s v="2021/22/2"/>
    <n v="10"/>
    <s v="71765672891"/>
    <n v="11"/>
    <x v="3"/>
    <m/>
    <m/>
    <m/>
    <m/>
    <s v="Képzésváltás intézményen belül"/>
    <d v="2021-09-13T00:00:00"/>
    <m/>
    <s v="BDPK-SEK"/>
    <s v="Eke Norbertné"/>
    <d v="2021-07-23T00:00:00"/>
    <d v="2027-01-31T00:00:00"/>
    <n v="500000"/>
    <m/>
    <n v="1"/>
    <s v="Nő"/>
    <n v="500000"/>
    <s v="termeczkykata@gmail.com"/>
    <s v="Kovács Katalin"/>
    <n v="2"/>
    <s v="Aktív"/>
    <n v="2"/>
    <n v="2"/>
    <s v="magyar"/>
    <m/>
  </r>
  <r>
    <s v="Horváth Gellért Ábrahám"/>
    <s v="IL8P1W"/>
    <s v="Aktív"/>
    <s v="osztatlan tanári [11 félév [testnevelő tanár; ének-zene tanár]]"/>
    <x v="6"/>
    <s v="osztatlan tanárképzés"/>
    <s v="TKK-OTAK-NOHU"/>
    <s v="Szombathely"/>
    <s v="Vas"/>
    <s v="Horváth Gellért Ábrahám"/>
    <s v="Magyarország"/>
    <d v="2000-05-06T00:00:00"/>
    <s v="T169703/FI80798"/>
    <x v="5"/>
    <s v="Állami ösztöndíjas"/>
    <s v="2020/21/1"/>
    <s v="Nappali"/>
    <n v="11"/>
    <n v="1"/>
    <s v="2021/22/2"/>
    <n v="10"/>
    <s v="74473178325"/>
    <n v="11"/>
    <x v="3"/>
    <m/>
    <m/>
    <m/>
    <m/>
    <s v="Képzésváltás intézményen belül"/>
    <d v="2020-09-14T00:00:00"/>
    <m/>
    <s v="BDPK-SEK"/>
    <s v="Eke Norbertné"/>
    <d v="2020-07-23T00:00:00"/>
    <d v="2026-01-31T00:00:00"/>
    <n v="500000"/>
    <m/>
    <n v="3"/>
    <s v="Férfi"/>
    <n v="500000"/>
    <s v="horvath.abra@gmail.com"/>
    <s v="Kiss Erika"/>
    <n v="4"/>
    <s v="Aktív"/>
    <n v="4"/>
    <n v="4"/>
    <s v="magyar"/>
    <m/>
  </r>
  <r>
    <s v="Kelemen Gábor"/>
    <s v="UTAFFB"/>
    <s v="Aktív"/>
    <s v="osztatlan tanári [11 félév [testnevelő tanár; gyógytestnevelő-egészségfejlesztő tanár]]"/>
    <x v="8"/>
    <s v="osztatlan tanár"/>
    <s v="BDPK-SEK-SANO-OT-NOHU"/>
    <s v="Dunaszerdahely"/>
    <m/>
    <s v="Kelemen Gábor"/>
    <s v="Szlovákia"/>
    <d v="1996-12-20T00:00:00"/>
    <s v="T013724/FI21120/B"/>
    <x v="5"/>
    <s v="Állami ösztöndíjas (képzési időn túli)"/>
    <s v="2016/17/1"/>
    <s v="Nappali"/>
    <n v="3"/>
    <n v="1"/>
    <s v="2021/22/2"/>
    <n v="10"/>
    <s v="73157152787"/>
    <n v="11"/>
    <x v="3"/>
    <m/>
    <m/>
    <m/>
    <m/>
    <s v="Képzésváltás intézményen belül"/>
    <d v="2019-09-01T00:00:00"/>
    <m/>
    <s v="BDPK-SEK"/>
    <s v="Eke Norbertné"/>
    <d v="2016-07-26T00:00:00"/>
    <d v="2022-07-15T00:00:00"/>
    <n v="500000"/>
    <m/>
    <n v="5"/>
    <s v="Férfi"/>
    <n v="500000"/>
    <s v="gabus96@gmail.com"/>
    <s v="Olléová Anita"/>
    <n v="6"/>
    <s v="Aktív"/>
    <n v="6"/>
    <n v="12"/>
    <s v="szlovák"/>
    <m/>
  </r>
  <r>
    <s v="Tomcsányiné Kenderessy Virág"/>
    <s v="CRA08J"/>
    <s v="Passzív"/>
    <s v="osztatlan tanári [11 félév [testnevelő tanár; gyógytestnevelő-egészségfejlesztő tanár]]"/>
    <x v="8"/>
    <s v="osztatlan tanár"/>
    <s v="BDPK-SEK-SANO-OT-NOHU"/>
    <s v="Budapest"/>
    <s v="Budapest"/>
    <s v="Tomcsányiné Kenderessy Virág"/>
    <s v="Magyarország"/>
    <d v="1994-08-09T00:00:00"/>
    <s v="T011716/FI21120/B"/>
    <x v="5"/>
    <s v="Állami ösztöndíjas"/>
    <s v="2014/15/1"/>
    <s v="Nappali"/>
    <n v="4"/>
    <n v="1"/>
    <s v="2020/21/2"/>
    <n v="10"/>
    <s v="71685502063"/>
    <n v="11"/>
    <x v="3"/>
    <m/>
    <m/>
    <m/>
    <m/>
    <s v="Képzésváltás intézményen belül"/>
    <d v="2020-02-14T00:00:00"/>
    <m/>
    <s v="BDPK-SEK"/>
    <s v="Eke Norbertné"/>
    <d v="2014-08-28T00:00:00"/>
    <d v="2022-07-15T00:00:00"/>
    <m/>
    <m/>
    <n v="3"/>
    <s v="Nő"/>
    <n v="300000"/>
    <s v="v.kenderessy@gmail.com"/>
    <s v="Bereczky Anikó Zsuzsanna"/>
    <n v="3"/>
    <s v="Passzív"/>
    <m/>
    <n v="11"/>
    <s v="magyar"/>
    <m/>
  </r>
  <r>
    <s v="Kőfaragó Szilárd"/>
    <s v="MQ7PRM"/>
    <s v="Aktív"/>
    <s v="osztatlan tanári [11 félév [testnevelő tanár; gyógytestnevelő-egészségfejlesztő tanár]]"/>
    <x v="8"/>
    <s v="osztatlan tanárképzés"/>
    <s v="TKK-OTAK-NOHU"/>
    <s v="Sopron"/>
    <s v="Győr-Moson-Sopron"/>
    <s v="Kőfaragó Szilárd"/>
    <s v="Magyarország"/>
    <d v="1993-10-21T00:00:00"/>
    <s v="T126201/FI80798"/>
    <x v="5"/>
    <s v="Önköltséges"/>
    <s v="2017/18/1"/>
    <s v="Nappali"/>
    <n v="1"/>
    <n v="1"/>
    <s v="2020/21/2"/>
    <n v="10"/>
    <s v="72279944599"/>
    <n v="11"/>
    <x v="3"/>
    <m/>
    <m/>
    <m/>
    <m/>
    <s v="Képzésváltás intézményen belül"/>
    <d v="2019-09-14T00:00:00"/>
    <m/>
    <s v="BDPK-SEK"/>
    <s v="Eke Norbertné"/>
    <d v="2017-07-27T00:00:00"/>
    <d v="2023-01-31T00:00:00"/>
    <n v="500000"/>
    <m/>
    <n v="4"/>
    <s v="Férfi"/>
    <n v="500000"/>
    <s v="koefarago.szilard@gmail.com"/>
    <s v="Nagy Szilvia"/>
    <n v="6"/>
    <s v="Aktív"/>
    <n v="4"/>
    <n v="10"/>
    <s v="magyar"/>
    <n v="400000"/>
  </r>
  <r>
    <s v="Göndöcs Richárd"/>
    <s v="QQB1RX"/>
    <s v="Aktív"/>
    <s v="osztatlan tanári [11 félév [testnevelő tanár; gyógytestnevelő-egészségfejlesztő tanár]]"/>
    <x v="8"/>
    <s v="osztatlan tanár"/>
    <s v="BDPK-SEK-SANO-OT-NOHU"/>
    <s v="Kapuvár"/>
    <s v="Győr-Moson-Sopron"/>
    <s v="Göndöcs Richárd"/>
    <s v="Magyarország"/>
    <d v="1996-12-25T00:00:00"/>
    <s v="T013726/FI21120/B"/>
    <x v="5"/>
    <s v="Állami ösztöndíjas (képzési időn túli)"/>
    <s v="2016/17/1"/>
    <s v="Nappali"/>
    <n v="3"/>
    <n v="1"/>
    <s v="2021/22/2"/>
    <n v="10"/>
    <s v="72026830456"/>
    <n v="11"/>
    <x v="3"/>
    <m/>
    <m/>
    <m/>
    <m/>
    <s v="Képzésváltás intézményen belül"/>
    <d v="2019-09-03T00:00:00"/>
    <m/>
    <s v="BDPK-SEK"/>
    <s v="Eke Norbertné"/>
    <d v="2016-07-26T00:00:00"/>
    <d v="2022-07-15T00:00:00"/>
    <n v="500000"/>
    <m/>
    <n v="5"/>
    <s v="Férfi"/>
    <n v="500000"/>
    <s v="gricsi1225@freemail.hu"/>
    <s v="Rubint Erika"/>
    <n v="6"/>
    <s v="Aktív"/>
    <n v="6"/>
    <n v="12"/>
    <s v="magyar"/>
    <m/>
  </r>
  <r>
    <s v="Mátyás Fanni"/>
    <s v="G1QNWD"/>
    <s v="Aktív"/>
    <s v="osztatlan tanári [11 félév [testnevelő tanár; gyógytestnevelő-egészségfejlesztő tanár]]"/>
    <x v="8"/>
    <s v="osztatlan tanár"/>
    <s v="BDPK-SEK-SANO-OT-NOHU"/>
    <s v="Zalaegerszeg"/>
    <s v="Zala"/>
    <s v="Mátyás Fanni"/>
    <s v="Magyarország"/>
    <d v="1997-08-25T00:00:00"/>
    <s v="T133834/FI80798"/>
    <x v="5"/>
    <s v="Állami ösztöndíjas (képzési időn túli)"/>
    <s v="2016/17/1"/>
    <s v="Nappali"/>
    <n v="5"/>
    <n v="1"/>
    <s v="2021/22/2"/>
    <n v="10"/>
    <s v="74547737951"/>
    <n v="11"/>
    <x v="3"/>
    <m/>
    <m/>
    <m/>
    <m/>
    <s v="Képzésváltás intézményen belül"/>
    <d v="2019-09-03T00:00:00"/>
    <m/>
    <s v="BDPK-SEK"/>
    <s v="Eke Norbertné"/>
    <d v="2016-08-25T00:00:00"/>
    <d v="2022-07-15T00:00:00"/>
    <n v="500000"/>
    <m/>
    <n v="5"/>
    <s v="Nő"/>
    <n v="500000"/>
    <s v="fanecli2@gmail.com"/>
    <s v="Czigány Klára"/>
    <n v="6"/>
    <s v="Aktív"/>
    <n v="6"/>
    <n v="12"/>
    <s v="magyar"/>
    <m/>
  </r>
  <r>
    <s v="Vörös Ármin"/>
    <s v="KH6FSP"/>
    <s v="Aktív"/>
    <s v="osztatlan tanári [11 félév [testnevelő tanár; gyógytestnevelő-egészségfejlesztő tanár]]"/>
    <x v="8"/>
    <s v="osztatlan tanár"/>
    <s v="BDPK-SEK-SANO-OT-NOHU"/>
    <s v="Kapuvár"/>
    <s v="Győr-Moson-Sopron"/>
    <s v="Vörös Ármin"/>
    <s v="Magyarország"/>
    <d v="1997-07-04T00:00:00"/>
    <s v="T013778/FI21120/B"/>
    <x v="5"/>
    <s v="Állami ösztöndíjas (képzési időn túli)"/>
    <s v="2016/17/1"/>
    <s v="Nappali"/>
    <n v="3"/>
    <n v="1"/>
    <s v="2021/22/2"/>
    <n v="10"/>
    <s v="76597391464"/>
    <n v="11"/>
    <x v="3"/>
    <m/>
    <m/>
    <m/>
    <m/>
    <s v="Képzésváltás intézményen belül"/>
    <d v="2019-09-03T00:00:00"/>
    <m/>
    <s v="BDPK-SEK"/>
    <s v="Eke Norbertné"/>
    <d v="2016-07-26T00:00:00"/>
    <d v="2022-07-15T00:00:00"/>
    <n v="500000"/>
    <m/>
    <n v="5"/>
    <s v="Férfi"/>
    <n v="500000"/>
    <s v="varmin12@gmail.com"/>
    <s v="Hegyi Éva"/>
    <n v="6"/>
    <s v="Aktív"/>
    <n v="6"/>
    <n v="12"/>
    <s v="magyar"/>
    <m/>
  </r>
  <r>
    <s v="Petrovics Alex Roland"/>
    <s v="XXLXFL"/>
    <s v="Aktív"/>
    <s v="osztatlan tanári [11 félév [testnevelő tanár; gyógytestnevelő-egészségfejlesztő tanár]]"/>
    <x v="8"/>
    <s v="osztatlan tanár"/>
    <s v="BDPK-SEK-SANO-OT-NOHU"/>
    <s v="Szeged"/>
    <s v="Csongrád"/>
    <s v="Petrovics Alex Roland"/>
    <s v="Magyarország"/>
    <d v="1997-01-10T00:00:00"/>
    <s v="T013749/FI21120/B"/>
    <x v="5"/>
    <s v="Állami ösztöndíjas (képzési időn túli)"/>
    <s v="2016/17/1"/>
    <s v="Nappali"/>
    <n v="3"/>
    <n v="1"/>
    <s v="2021/22/2"/>
    <n v="10"/>
    <s v="75374685554"/>
    <n v="11"/>
    <x v="3"/>
    <m/>
    <m/>
    <m/>
    <m/>
    <s v="Képzésváltás intézményen belül"/>
    <d v="2019-09-14T00:00:00"/>
    <m/>
    <s v="BDPK-SEK"/>
    <s v="Eke Norbertné"/>
    <d v="2016-07-26T00:00:00"/>
    <d v="2022-07-15T00:00:00"/>
    <n v="500000"/>
    <m/>
    <n v="5"/>
    <s v="Férfi"/>
    <n v="500000"/>
    <s v="petali97@gmail.com"/>
    <s v="Tanács Judit"/>
    <n v="6"/>
    <s v="Aktív"/>
    <n v="6"/>
    <n v="12"/>
    <s v="magyar"/>
    <m/>
  </r>
  <r>
    <s v="Antal Viktória"/>
    <s v="QOVXZ1"/>
    <s v="Aktív"/>
    <s v="osztatlan tanári [11 félév [testnevelő tanár; gyógytestnevelő-egészségfejlesztő tanár]]"/>
    <x v="8"/>
    <s v="osztatlan tanárképzés"/>
    <s v="TKK-OTAK-NOHU"/>
    <s v="Tapolca"/>
    <s v="Veszprém"/>
    <s v="Antal Viktória"/>
    <s v="Magyarország"/>
    <d v="1998-08-09T00:00:00"/>
    <s v="T125549/FI80798"/>
    <x v="5"/>
    <s v="Állami ösztöndíjas"/>
    <s v="2017/18/1"/>
    <s v="Nappali"/>
    <n v="5"/>
    <n v="1"/>
    <s v="2021/22/2"/>
    <n v="10"/>
    <s v="72815728572"/>
    <n v="11"/>
    <x v="3"/>
    <m/>
    <m/>
    <m/>
    <m/>
    <s v="Képzésváltás intézményen belül"/>
    <d v="2019-09-14T00:00:00"/>
    <m/>
    <s v="BDPK-SEK"/>
    <s v="Eke Norbertné"/>
    <d v="2017-07-27T00:00:00"/>
    <d v="2023-01-31T00:00:00"/>
    <n v="500000"/>
    <m/>
    <n v="5"/>
    <s v="Nő"/>
    <n v="500000"/>
    <s v="vikici0809@gmail.com"/>
    <s v="Papp Mária Magdolna"/>
    <n v="6"/>
    <s v="Aktív"/>
    <n v="6"/>
    <n v="10"/>
    <s v="magyar"/>
    <m/>
  </r>
  <r>
    <s v="Barbalics Mátyás"/>
    <s v="GQYABC"/>
    <s v="Aktív"/>
    <s v="osztatlan tanári [11 félév [testnevelő tanár; gyógytestnevelő-egészségfejlesztő tanár]]"/>
    <x v="8"/>
    <s v="osztatlan tanárképzés"/>
    <s v="TKK-OTAK-NOHU"/>
    <s v="Szombathely"/>
    <s v="Vas"/>
    <s v="Barbalics Mátyás"/>
    <s v="Magyarország"/>
    <d v="1997-02-26T00:00:00"/>
    <s v="T124774/FI80798"/>
    <x v="5"/>
    <s v="Állami ösztöndíjas"/>
    <s v="2017/18/1"/>
    <s v="Nappali"/>
    <n v="5"/>
    <n v="1"/>
    <s v="2021/22/2"/>
    <n v="10"/>
    <s v="75855477024"/>
    <n v="11"/>
    <x v="3"/>
    <m/>
    <m/>
    <m/>
    <m/>
    <s v="Képzésváltás intézményen belül"/>
    <d v="2020-02-14T00:00:00"/>
    <m/>
    <s v="BDPK-SEK"/>
    <s v="Eke Norbertné"/>
    <d v="2017-07-27T00:00:00"/>
    <d v="2023-01-31T00:00:00"/>
    <m/>
    <m/>
    <n v="4"/>
    <s v="Férfi"/>
    <n v="300000"/>
    <s v="b.matyas97@gmail.com"/>
    <s v="Kapinya Edit"/>
    <n v="5"/>
    <s v="Aktív"/>
    <n v="5"/>
    <n v="10"/>
    <s v="magyar"/>
    <m/>
  </r>
  <r>
    <s v="Benkő Bence"/>
    <s v="GHBZHW"/>
    <s v="Aktív"/>
    <s v="osztatlan tanári [11 félév [testnevelő tanár; gyógytestnevelő-egészségfejlesztő tanár]]"/>
    <x v="8"/>
    <s v="osztatlan tanárképzés"/>
    <s v="TKK-OTAK-NOHU"/>
    <s v="Celldömölk"/>
    <s v="Vas"/>
    <s v="Benkő Bence"/>
    <s v="Magyarország"/>
    <d v="1998-04-03T00:00:00"/>
    <s v="T123031/FI80798"/>
    <x v="5"/>
    <s v="Állami ösztöndíjas"/>
    <s v="2017/18/1"/>
    <s v="Nappali"/>
    <n v="5"/>
    <n v="1"/>
    <s v="2021/22/2"/>
    <n v="10"/>
    <s v="76317007432"/>
    <n v="11"/>
    <x v="3"/>
    <m/>
    <m/>
    <m/>
    <m/>
    <s v="Képzésváltás intézményen belül"/>
    <d v="2019-09-14T00:00:00"/>
    <m/>
    <s v="BDPK-SEK"/>
    <s v="Eke Norbertné"/>
    <d v="2017-07-27T00:00:00"/>
    <d v="2023-01-31T00:00:00"/>
    <n v="500000"/>
    <m/>
    <n v="5"/>
    <s v="Férfi"/>
    <n v="500000"/>
    <s v="bencike311@gmail.com"/>
    <s v="Kovács Andrea"/>
    <n v="6"/>
    <s v="Aktív"/>
    <n v="6"/>
    <n v="10"/>
    <s v="magyar"/>
    <m/>
  </r>
  <r>
    <s v="Molnár Klaudia"/>
    <s v="ET4AD8"/>
    <s v="Aktív"/>
    <s v="osztatlan tanári [11 félév [testnevelő tanár; gyógytestnevelő-egészségfejlesztő tanár]]"/>
    <x v="8"/>
    <s v="osztatlan tanárképzés"/>
    <s v="TKK-OTAK-NOHU"/>
    <s v="Zalaegerszeg"/>
    <s v="Zala"/>
    <s v="Molnár Klaudia"/>
    <s v="Magyarország"/>
    <d v="1998-08-12T00:00:00"/>
    <s v="T125840/FI80798"/>
    <x v="5"/>
    <s v="Állami ösztöndíjas"/>
    <s v="2017/18/1"/>
    <s v="Nappali"/>
    <n v="5"/>
    <n v="1"/>
    <s v="2021/22/2"/>
    <n v="10"/>
    <s v="74934015403"/>
    <n v="11"/>
    <x v="3"/>
    <m/>
    <m/>
    <m/>
    <m/>
    <s v="Képzésváltás intézményen belül"/>
    <d v="2019-09-14T00:00:00"/>
    <m/>
    <s v="BDPK-SEK"/>
    <s v="Eke Norbertné"/>
    <d v="2017-07-27T00:00:00"/>
    <d v="2023-01-31T00:00:00"/>
    <n v="500000"/>
    <m/>
    <n v="5"/>
    <s v="Nő"/>
    <n v="500000"/>
    <s v="mklaucica@gmail.com"/>
    <s v="Oláh Krisztina"/>
    <n v="6"/>
    <s v="Aktív"/>
    <n v="6"/>
    <n v="10"/>
    <s v="magyar"/>
    <m/>
  </r>
  <r>
    <s v="Nyári Krisztina"/>
    <s v="VN79KQ"/>
    <s v="Aktív"/>
    <s v="osztatlan tanári [11 félév [testnevelő tanár; gyógytestnevelő-egészségfejlesztő tanár]]"/>
    <x v="8"/>
    <s v="osztatlan tanárképzés"/>
    <s v="TKK-OTAK-NOHU"/>
    <s v="Tatabánya"/>
    <s v="Komárom-Esztergom"/>
    <s v="Nyári Krisztina"/>
    <s v="Magyarország"/>
    <d v="1999-03-19T00:00:00"/>
    <s v="T149648/FI80798"/>
    <x v="5"/>
    <s v="Állami ösztöndíjas"/>
    <s v="2019/20/1"/>
    <s v="Nappali"/>
    <n v="7"/>
    <n v="1"/>
    <s v="2021/22/2"/>
    <n v="10"/>
    <s v="73921638466"/>
    <n v="11"/>
    <x v="3"/>
    <m/>
    <m/>
    <m/>
    <m/>
    <s v="Képzésváltás intézményen belül"/>
    <d v="2019-09-14T00:00:00"/>
    <m/>
    <s v="BDPK-SEK"/>
    <s v="Eke Norbertné"/>
    <d v="2019-07-24T00:00:00"/>
    <d v="2025-01-31T00:00:00"/>
    <n v="500000"/>
    <m/>
    <n v="5"/>
    <s v="Nő"/>
    <n v="500000"/>
    <s v="kriszti19990319@gmail.com"/>
    <s v="Bába Regina"/>
    <n v="6"/>
    <s v="Aktív"/>
    <n v="6"/>
    <n v="6"/>
    <s v="magyar"/>
    <m/>
  </r>
  <r>
    <s v="Pólya Márton András"/>
    <s v="HEGN9C"/>
    <s v="Aktív"/>
    <s v="osztatlan tanári [11 félév [testnevelő tanár; gyógytestnevelő-egészségfejlesztő tanár]]"/>
    <x v="8"/>
    <s v="osztatlan tanárképzés"/>
    <s v="TKK-OTAK-NOHU"/>
    <s v="Győr"/>
    <s v="Győr-Moson-Sopron"/>
    <s v="Pólya Márton András"/>
    <s v="Magyarország"/>
    <d v="1998-01-28T00:00:00"/>
    <s v="T129293/FI80798"/>
    <x v="5"/>
    <s v="Állami ösztöndíjas"/>
    <s v="2018/19/1"/>
    <s v="Nappali"/>
    <n v="7"/>
    <n v="1"/>
    <s v="2021/22/2"/>
    <n v="10"/>
    <s v="74094337226"/>
    <n v="11"/>
    <x v="3"/>
    <m/>
    <m/>
    <m/>
    <m/>
    <s v="Képzésváltás intézményen belül"/>
    <d v="2018-09-06T00:00:00"/>
    <m/>
    <s v="BDPK-SEK"/>
    <s v="Eke Norbertné"/>
    <d v="2018-07-25T00:00:00"/>
    <d v="2024-01-30T00:00:00"/>
    <n v="400000"/>
    <m/>
    <n v="7"/>
    <s v="Férfi"/>
    <n v="400000"/>
    <s v="marton9828@gmail.com"/>
    <s v="Ősze Zsuzsanna"/>
    <n v="8"/>
    <s v="Aktív"/>
    <n v="8"/>
    <n v="8"/>
    <s v="magyar"/>
    <m/>
  </r>
  <r>
    <s v="Tamási László Sámuel"/>
    <s v="I7WKFS"/>
    <s v="Aktív"/>
    <s v="osztatlan tanári [11 félév [testnevelő tanár; gyógytestnevelő-egészségfejlesztő tanár]]"/>
    <x v="8"/>
    <s v="osztatlan tanárképzés"/>
    <s v="TKK-OTAK-NOHU"/>
    <s v="Szombathely"/>
    <s v="Vas"/>
    <s v="Tamási László Sámuel"/>
    <s v="Magyarország"/>
    <d v="1998-01-26T00:00:00"/>
    <s v="T124778/FI80798"/>
    <x v="5"/>
    <s v="Állami ösztöndíjas"/>
    <s v="2017/18/1"/>
    <s v="Nappali"/>
    <n v="7"/>
    <n v="1"/>
    <s v="2021/22/2"/>
    <n v="10"/>
    <s v="78924570587"/>
    <n v="11"/>
    <x v="3"/>
    <m/>
    <m/>
    <m/>
    <m/>
    <s v="Képzésváltás intézményen belül"/>
    <d v="2019-09-14T00:00:00"/>
    <m/>
    <s v="BDPK-SEK"/>
    <s v="Eke Norbertné"/>
    <d v="2017-07-27T00:00:00"/>
    <d v="2024-01-31T00:00:00"/>
    <n v="500000"/>
    <m/>
    <n v="5"/>
    <s v="Férfi"/>
    <n v="500000"/>
    <s v="tamasilaszlo1966@gmail.com"/>
    <s v="Bencsics Szilvia"/>
    <n v="6"/>
    <s v="Aktív"/>
    <n v="6"/>
    <n v="8"/>
    <s v="magyar"/>
    <m/>
  </r>
  <r>
    <s v="Németh Zsófia"/>
    <s v="CHW430"/>
    <s v="Aktív"/>
    <s v="osztatlan tanári [11 félév [testnevelő tanár; gyógytestnevelő-egészségfejlesztő tanár]]"/>
    <x v="8"/>
    <s v="osztatlan tanárképzés"/>
    <s v="TKK-OTAK-NOHU"/>
    <s v="Győr"/>
    <s v="Győr-Moson-Sopron"/>
    <s v="Németh Zsófia"/>
    <s v="Magyarország"/>
    <d v="1998-12-12T00:00:00"/>
    <s v="T125717/FI80798"/>
    <x v="5"/>
    <s v="Állami ösztöndíjas"/>
    <s v="2017/18/1"/>
    <s v="Nappali"/>
    <n v="5"/>
    <n v="1"/>
    <s v="2021/22/2"/>
    <n v="10"/>
    <s v="76887809574"/>
    <n v="11"/>
    <x v="3"/>
    <m/>
    <m/>
    <m/>
    <m/>
    <s v="Képzésváltás intézményen belül"/>
    <d v="2019-09-14T00:00:00"/>
    <m/>
    <s v="BDPK-SEK"/>
    <s v="Eke Norbertné"/>
    <d v="2017-07-27T00:00:00"/>
    <d v="2023-01-31T00:00:00"/>
    <n v="500000"/>
    <m/>
    <n v="5"/>
    <s v="Nő"/>
    <n v="500000"/>
    <s v="nzsofy96@freemail.hu"/>
    <s v="Kiss Katalin"/>
    <n v="6"/>
    <s v="Aktív"/>
    <n v="6"/>
    <n v="10"/>
    <s v="magyar"/>
    <m/>
  </r>
  <r>
    <s v="Nagy Enikő"/>
    <s v="T8VXA5"/>
    <s v="Aktív"/>
    <s v="osztatlan tanári [11 félév [testnevelő tanár; gyógytestnevelő-egészségfejlesztő tanár]]"/>
    <x v="8"/>
    <s v="osztatlan tanárképzés"/>
    <s v="TKK-OTAK-NOHU"/>
    <s v="Ajka"/>
    <s v="Veszprém"/>
    <s v="Nagy Enikő"/>
    <s v="Magyarország"/>
    <d v="1997-04-26T00:00:00"/>
    <s v="T138089/FI80798"/>
    <x v="5"/>
    <s v="Állami ösztöndíjas"/>
    <s v="2018/19/1"/>
    <s v="Nappali"/>
    <n v="5"/>
    <n v="1"/>
    <s v="2021/22/2"/>
    <n v="10"/>
    <s v="74028516391"/>
    <n v="11"/>
    <x v="3"/>
    <m/>
    <m/>
    <m/>
    <m/>
    <s v="Képzésváltás intézményen belül"/>
    <d v="2018-09-06T00:00:00"/>
    <m/>
    <s v="BDPK-SEK"/>
    <s v="Eke Norbertné"/>
    <d v="2018-07-25T00:00:00"/>
    <d v="2024-01-30T00:00:00"/>
    <n v="400000"/>
    <m/>
    <n v="8"/>
    <s v="Nő"/>
    <n v="400000"/>
    <s v="eniko970426@gmail.com"/>
    <s v="Gyalog Judit"/>
    <n v="8"/>
    <s v="Aktív"/>
    <n v="8"/>
    <n v="8"/>
    <s v="magyar"/>
    <m/>
  </r>
  <r>
    <s v="Boda Boldizsár"/>
    <s v="VPJVRN"/>
    <s v="Aktív"/>
    <s v="osztatlan tanári [11 félév [testnevelő tanár; gyógytestnevelő-egészségfejlesztő tanár]]"/>
    <x v="8"/>
    <s v="osztatlan tanárképzés"/>
    <s v="TKK-OTAK-NOHU"/>
    <s v="Szombathely"/>
    <s v="Vas"/>
    <s v="Boda Boldizsár"/>
    <s v="Magyarország"/>
    <d v="1998-08-28T00:00:00"/>
    <s v="T130424/FI80798"/>
    <x v="5"/>
    <s v="Állami ösztöndíjas"/>
    <s v="2019/20/1"/>
    <s v="Nappali"/>
    <n v="4"/>
    <n v="1"/>
    <s v="2021/22/2"/>
    <n v="10"/>
    <s v="76157734660"/>
    <n v="11"/>
    <x v="3"/>
    <m/>
    <m/>
    <m/>
    <m/>
    <s v="Képzésváltás intézményen belül"/>
    <d v="2019-09-14T00:00:00"/>
    <m/>
    <s v="BDPK-SEK"/>
    <s v="Eke Norbertné"/>
    <d v="2019-07-24T00:00:00"/>
    <d v="2025-01-31T00:00:00"/>
    <n v="500000"/>
    <m/>
    <n v="5"/>
    <s v="Férfi"/>
    <n v="500000"/>
    <s v="boldi.boda98@gmail.com"/>
    <s v="Milisics Erika"/>
    <n v="6"/>
    <s v="Aktív"/>
    <n v="6"/>
    <n v="6"/>
    <s v="magyar"/>
    <m/>
  </r>
  <r>
    <s v="Biró Martin"/>
    <s v="LFFWHO"/>
    <s v="Aktív"/>
    <s v="osztatlan tanári [11 félév [testnevelő tanár; gyógytestnevelő-egészségfejlesztő tanár]]"/>
    <x v="8"/>
    <s v="osztatlan tanárképzés"/>
    <s v="TKK-OTAK-NOHU"/>
    <s v="Marcali"/>
    <s v="Somogy"/>
    <s v="Biró Martin"/>
    <s v="Magyarország"/>
    <d v="1992-11-21T00:00:00"/>
    <s v="T124876/FI80798"/>
    <x v="5"/>
    <s v="Állami ösztöndíjas"/>
    <s v="2017/18/1"/>
    <s v="Nappali"/>
    <n v="5"/>
    <n v="1"/>
    <s v="2021/22/2"/>
    <n v="10"/>
    <s v="72096175947"/>
    <n v="11"/>
    <x v="3"/>
    <m/>
    <m/>
    <m/>
    <m/>
    <s v="Képzésváltás intézményen belül"/>
    <d v="2020-02-14T00:00:00"/>
    <m/>
    <s v="BDPK-SEK"/>
    <s v="Eke Norbertné"/>
    <d v="2017-07-27T00:00:00"/>
    <d v="2023-01-31T00:00:00"/>
    <m/>
    <m/>
    <n v="4"/>
    <s v="Férfi"/>
    <n v="300000"/>
    <s v="jejemedve@gmail.com"/>
    <s v="Tóth Valéria"/>
    <n v="5"/>
    <s v="Aktív"/>
    <n v="5"/>
    <n v="10"/>
    <s v="magyar"/>
    <m/>
  </r>
  <r>
    <s v="Domonkos Róbert Tibor"/>
    <s v="X0BP3W"/>
    <s v="Aktív"/>
    <s v="osztatlan tanári [11 félév [testnevelő tanár; gyógytestnevelő-egészségfejlesztő tanár]]"/>
    <x v="8"/>
    <s v="osztatlan tanárképzés"/>
    <s v="TKK-OTAK-NOHU"/>
    <s v="Celldömölk"/>
    <s v="Vas"/>
    <s v="Domonkos Róbert Tibor"/>
    <s v="Magyarország"/>
    <d v="1998-05-29T00:00:00"/>
    <s v="T122889/FI80798"/>
    <x v="5"/>
    <s v="Állami ösztöndíjas"/>
    <s v="2017/18/1"/>
    <s v="Nappali"/>
    <n v="5"/>
    <n v="1"/>
    <s v="2021/22/2"/>
    <n v="10"/>
    <s v="75500224405"/>
    <n v="11"/>
    <x v="3"/>
    <m/>
    <m/>
    <m/>
    <m/>
    <s v="Képzésváltás intézményen belül"/>
    <d v="2019-09-14T00:00:00"/>
    <m/>
    <s v="BDPK-SEK"/>
    <s v="Eke Norbertné"/>
    <d v="2017-07-27T00:00:00"/>
    <d v="2023-01-31T00:00:00"/>
    <n v="500000"/>
    <m/>
    <n v="5"/>
    <s v="Férfi"/>
    <n v="500000"/>
    <s v="domonkosrobert98@gmail.com"/>
    <s v="Ágoston Renáta"/>
    <n v="6"/>
    <s v="Aktív"/>
    <n v="6"/>
    <n v="10"/>
    <s v="magyar"/>
    <m/>
  </r>
  <r>
    <s v="Vicze Kristóf"/>
    <s v="A9CTR0"/>
    <s v="Aktív"/>
    <s v="osztatlan tanári [11 félév [testnevelő tanár; gyógytestnevelő-egészségfejlesztő tanár]]"/>
    <x v="8"/>
    <s v="osztatlan tanárképzés"/>
    <s v="TKK-OTAK-NOHU"/>
    <s v="Pécs"/>
    <s v="Baranya"/>
    <s v="Vicze Kristóf"/>
    <s v="Magyarország"/>
    <d v="1999-01-10T00:00:00"/>
    <s v="T130613/FI80798"/>
    <x v="5"/>
    <s v="Állami ösztöndíjas"/>
    <s v="2017/18/1"/>
    <s v="Nappali"/>
    <n v="4"/>
    <n v="2"/>
    <s v="2021/22/2"/>
    <n v="10"/>
    <s v="75621798287"/>
    <n v="11"/>
    <x v="3"/>
    <m/>
    <m/>
    <m/>
    <m/>
    <s v="Képzésváltás intézményen belül"/>
    <d v="2019-09-14T00:00:00"/>
    <m/>
    <s v="BDPK-SEK"/>
    <s v="Eke Norbertné"/>
    <d v="2017-07-27T00:00:00"/>
    <d v="2023-01-31T00:00:00"/>
    <n v="500000"/>
    <m/>
    <n v="5"/>
    <s v="Férfi"/>
    <n v="500000"/>
    <s v="vicze.k@freemail.hu"/>
    <s v="Bárány Mónika"/>
    <n v="6"/>
    <s v="Aktív"/>
    <n v="6"/>
    <n v="10"/>
    <s v="magyar"/>
    <m/>
  </r>
  <r>
    <s v="Fülöp Virág"/>
    <s v="EZJDIM"/>
    <s v="Aktív"/>
    <s v="osztatlan tanári [11 félév [testnevelő tanár; gyógytestnevelő-egészségfejlesztő tanár]]"/>
    <x v="8"/>
    <s v="osztatlan tanárképzés"/>
    <s v="TKK-OTAK-NOHU"/>
    <s v="Veszprém"/>
    <s v="Veszprém"/>
    <s v="Fülöp Virág"/>
    <s v="Magyarország"/>
    <d v="1998-04-28T00:00:00"/>
    <s v="T130263/FI80798"/>
    <x v="5"/>
    <s v="Állami ösztöndíjas"/>
    <s v="2017/18/1"/>
    <s v="Nappali"/>
    <n v="5"/>
    <n v="1"/>
    <s v="2021/22/2"/>
    <n v="10"/>
    <s v="75227208171"/>
    <n v="11"/>
    <x v="3"/>
    <m/>
    <m/>
    <m/>
    <m/>
    <s v="Képzésváltás intézményen belül"/>
    <d v="2019-09-14T00:00:00"/>
    <m/>
    <s v="BDPK-SEK"/>
    <s v="Eke Norbertné"/>
    <d v="2017-07-27T00:00:00"/>
    <d v="2023-01-31T00:00:00"/>
    <n v="500000"/>
    <m/>
    <n v="5"/>
    <s v="Nő"/>
    <n v="500000"/>
    <s v="virag.fulop98@gmail.com"/>
    <s v="Biró Zsuzsanna"/>
    <n v="6"/>
    <s v="Aktív"/>
    <n v="6"/>
    <n v="10"/>
    <s v="magyar"/>
    <m/>
  </r>
  <r>
    <s v="Horváth Loretta"/>
    <s v="RSFQ8F"/>
    <s v="Aktív"/>
    <s v="osztatlan tanári [11 félév [testnevelő tanár; gyógytestnevelő-egészségfejlesztő tanár]]"/>
    <x v="8"/>
    <s v="osztatlan tanárképzés"/>
    <s v="TKK-OTAK-NOHU"/>
    <s v="Nagykanizsa"/>
    <s v="Zala"/>
    <s v="Horváth Loretta"/>
    <s v="Magyarország"/>
    <d v="1998-12-04T00:00:00"/>
    <s v="T126308/FI80798"/>
    <x v="5"/>
    <s v="Állami ösztöndíjas"/>
    <s v="2017/18/1"/>
    <s v="Nappali"/>
    <n v="4"/>
    <n v="1"/>
    <s v="2021/22/2"/>
    <n v="10"/>
    <s v="73525887629"/>
    <n v="11"/>
    <x v="3"/>
    <m/>
    <m/>
    <m/>
    <m/>
    <s v="Képzésváltás intézményen belül"/>
    <d v="2019-09-14T00:00:00"/>
    <m/>
    <s v="BDPK-SEK"/>
    <s v="Eke Norbertné"/>
    <d v="2017-07-27T00:00:00"/>
    <d v="2023-01-31T00:00:00"/>
    <n v="500000"/>
    <m/>
    <n v="5"/>
    <s v="Nő"/>
    <n v="500000"/>
    <s v="horvathlori@icloud.com"/>
    <s v="Imre Katalin"/>
    <n v="6"/>
    <s v="Aktív"/>
    <n v="6"/>
    <n v="10"/>
    <s v="magyar"/>
    <m/>
  </r>
  <r>
    <s v="Luter Kristóf"/>
    <s v="B225B8"/>
    <s v="Aktív"/>
    <s v="osztatlan tanári [11 félév [testnevelő tanár; gyógytestnevelő-egészségfejlesztő tanár]]"/>
    <x v="8"/>
    <s v="osztatlan tanárképzés"/>
    <s v="TKK-OTAK-NOHU"/>
    <s v="Zalaegerszeg"/>
    <s v="Zala"/>
    <s v="Luter Kristóf"/>
    <s v="Magyarország"/>
    <d v="1999-01-10T00:00:00"/>
    <s v="T131090/FI80798"/>
    <x v="5"/>
    <s v="Állami ösztöndíjas"/>
    <s v="2017/18/1"/>
    <s v="Nappali"/>
    <n v="5"/>
    <n v="1"/>
    <s v="2021/22/2"/>
    <n v="10"/>
    <s v="73275350873"/>
    <n v="11"/>
    <x v="3"/>
    <m/>
    <m/>
    <m/>
    <m/>
    <s v="Képzésváltás intézményen belül"/>
    <d v="2019-09-14T00:00:00"/>
    <m/>
    <s v="BDPK-SEK"/>
    <s v="Eke Norbertné"/>
    <d v="2017-07-27T00:00:00"/>
    <d v="2023-01-31T00:00:00"/>
    <n v="500000"/>
    <m/>
    <n v="5"/>
    <s v="Férfi"/>
    <n v="500000"/>
    <s v="luter.kristof@gmail.com"/>
    <s v="Németh Veronika"/>
    <n v="6"/>
    <s v="Aktív"/>
    <n v="6"/>
    <n v="10"/>
    <s v="magyar"/>
    <m/>
  </r>
  <r>
    <s v="Takács Soma Tibor"/>
    <s v="BFXJTJ"/>
    <s v="Aktív"/>
    <s v="osztatlan tanári [11 félév [testnevelő tanár; gyógytestnevelő-egészségfejlesztő tanár]]"/>
    <x v="8"/>
    <s v="osztatlan tanárképzés"/>
    <s v="TKK-OTAK-NOHU"/>
    <s v="Zalaegerszeg"/>
    <s v="Zala"/>
    <s v="Takács Soma Tibor"/>
    <s v="Magyarország"/>
    <d v="1998-06-28T00:00:00"/>
    <s v="T125763/FI80798"/>
    <x v="5"/>
    <s v="Állami ösztöndíjas"/>
    <s v="2017/18/1"/>
    <s v="Nappali"/>
    <n v="7"/>
    <n v="1"/>
    <s v="2021/22/2"/>
    <n v="10"/>
    <s v="72642039444"/>
    <n v="11"/>
    <x v="3"/>
    <m/>
    <m/>
    <m/>
    <m/>
    <s v="Képzésváltás intézményen belül"/>
    <d v="2019-09-14T00:00:00"/>
    <m/>
    <s v="BDPK-SEK"/>
    <s v="Eke Norbertné"/>
    <d v="2017-07-27T00:00:00"/>
    <d v="2023-01-31T00:00:00"/>
    <n v="500000"/>
    <m/>
    <n v="5"/>
    <s v="Férfi"/>
    <n v="500000"/>
    <s v="soma.takacs12@gmail.com"/>
    <s v="Gál Andrea"/>
    <n v="6"/>
    <s v="Aktív"/>
    <n v="6"/>
    <n v="10"/>
    <s v="magyar"/>
    <m/>
  </r>
  <r>
    <s v="Kassai Diána"/>
    <s v="TIC34H"/>
    <s v="Aktív"/>
    <s v="osztatlan tanári [11 félév [testnevelő tanár; gyógytestnevelő-egészségfejlesztő tanár]]"/>
    <x v="8"/>
    <s v="osztatlan tanárképzés"/>
    <s v="TKK-OTAK-NOHU"/>
    <s v="Gyula"/>
    <s v="Békés"/>
    <s v="Kassai Diána"/>
    <s v="Magyarország"/>
    <d v="1991-08-10T00:00:00"/>
    <s v="T142249/FI80798"/>
    <x v="5"/>
    <s v="Állami ösztöndíjas"/>
    <s v="2018/19/1"/>
    <s v="Nappali"/>
    <n v="3"/>
    <n v="1"/>
    <s v="2021/22/2"/>
    <n v="10"/>
    <s v="74251233354"/>
    <n v="11"/>
    <x v="3"/>
    <m/>
    <m/>
    <m/>
    <m/>
    <s v="Képzésváltás intézményen belül"/>
    <d v="2018-09-06T00:00:00"/>
    <m/>
    <s v="BDPK-SEK"/>
    <s v="Eke Norbertné"/>
    <d v="2018-07-25T00:00:00"/>
    <d v="2024-01-30T00:00:00"/>
    <n v="400000"/>
    <m/>
    <n v="7"/>
    <s v="Nő"/>
    <n v="400000"/>
    <s v="kassaid91@gmail.com"/>
    <s v="Szabó Andrea"/>
    <n v="8"/>
    <s v="Aktív"/>
    <n v="8"/>
    <n v="8"/>
    <s v="magyar"/>
    <m/>
  </r>
  <r>
    <s v="Arany Daniel"/>
    <s v="HXSMFE"/>
    <s v="Erasmus"/>
    <s v="osztatlan tanári [11 félév [testnevelő tanár; gyógytestnevelő-egészségfejlesztő tanár]]"/>
    <x v="8"/>
    <s v="osztatlan tanárképzés"/>
    <s v="TKK-OTAK-NOHU"/>
    <s v="Dunajska Streda"/>
    <m/>
    <s v="Arany Daniel"/>
    <s v="Szlovákia"/>
    <d v="1998-03-09T00:00:00"/>
    <s v="T126016/FI80798"/>
    <x v="5"/>
    <s v="Állami ösztöndíjas"/>
    <s v="2017/18/1"/>
    <s v="Nappali"/>
    <n v="5"/>
    <n v="1"/>
    <s v="2021/22/2"/>
    <n v="10"/>
    <s v="72410595730"/>
    <n v="11"/>
    <x v="3"/>
    <m/>
    <m/>
    <m/>
    <m/>
    <s v="Képzésváltás intézményen belül"/>
    <d v="2020-02-14T00:00:00"/>
    <m/>
    <s v="BDPK-SEK"/>
    <s v="Eke Norbertné"/>
    <d v="2017-07-27T00:00:00"/>
    <d v="2023-01-31T00:00:00"/>
    <m/>
    <m/>
    <n v="4"/>
    <s v="Férfi"/>
    <n v="300000"/>
    <s v="aranydani17@gmail.com"/>
    <s v="Vargová Zuzana"/>
    <n v="5"/>
    <s v="Erasmus"/>
    <n v="5"/>
    <n v="10"/>
    <s v="magyar"/>
    <m/>
  </r>
  <r>
    <s v="Domsi Erzsébet Anna"/>
    <s v="FM32JN"/>
    <s v="Aktív"/>
    <s v="osztatlan tanári [11 félév [testnevelő tanár; gyógytestnevelő-egészségfejlesztő tanár]]"/>
    <x v="8"/>
    <s v="osztatlan tanárképzés"/>
    <s v="TKK-OTAK-NOHU"/>
    <s v="Mosonmagyaróvár"/>
    <s v="Győr-Moson-Sopron"/>
    <s v="Domsi Erzsébet Anna"/>
    <s v="Magyarország"/>
    <d v="1998-06-07T00:00:00"/>
    <s v="T124992/FI80798"/>
    <x v="5"/>
    <s v="Állami ösztöndíjas"/>
    <s v="2017/18/1"/>
    <s v="Nappali"/>
    <n v="5"/>
    <n v="1"/>
    <s v="2021/22/2"/>
    <n v="10"/>
    <s v="77170562788"/>
    <n v="11"/>
    <x v="3"/>
    <m/>
    <m/>
    <m/>
    <m/>
    <s v="Képzésváltás intézményen belül"/>
    <d v="2019-09-14T00:00:00"/>
    <m/>
    <s v="BDPK-SEK"/>
    <s v="Eke Norbertné"/>
    <d v="2017-07-27T00:00:00"/>
    <d v="2023-01-31T00:00:00"/>
    <n v="500000"/>
    <m/>
    <n v="5"/>
    <s v="Nő"/>
    <n v="500000"/>
    <s v="domsibetti@freemail.hu"/>
    <s v="Szelle Erzsébet"/>
    <n v="6"/>
    <s v="Aktív"/>
    <n v="6"/>
    <n v="10"/>
    <s v="magyar"/>
    <m/>
  </r>
  <r>
    <s v="Gordos Kristóf Márk"/>
    <s v="T1KFK3"/>
    <s v="Aktív"/>
    <s v="osztatlan tanári [11 félév [testnevelő tanár; gyógytestnevelő-egészségfejlesztő tanár]]"/>
    <x v="8"/>
    <s v="osztatlan tanárképzés"/>
    <s v="TKK-OTAK-NOHU"/>
    <s v="Balassagyarmat"/>
    <s v="Nógrád"/>
    <s v="Gordos Kristóf Márk"/>
    <s v="Magyarország"/>
    <d v="1993-06-13T00:00:00"/>
    <s v="T124790/FI80798"/>
    <x v="5"/>
    <s v="Állami ösztöndíjas"/>
    <s v="2017/18/1"/>
    <s v="Nappali"/>
    <n v="5"/>
    <n v="1"/>
    <s v="2021/22/2"/>
    <n v="10"/>
    <s v="71822077998"/>
    <n v="11"/>
    <x v="3"/>
    <m/>
    <m/>
    <m/>
    <m/>
    <s v="Képzésváltás intézményen belül"/>
    <d v="2019-09-14T00:00:00"/>
    <m/>
    <s v="BDPK-SEK"/>
    <s v="Eke Norbertné"/>
    <d v="2017-07-27T00:00:00"/>
    <d v="2023-01-31T00:00:00"/>
    <n v="500000"/>
    <m/>
    <n v="5"/>
    <s v="Férfi"/>
    <n v="500000"/>
    <s v="gordoskristof@gmail.com"/>
    <s v="Percze Erika"/>
    <n v="6"/>
    <s v="Aktív"/>
    <n v="6"/>
    <n v="10"/>
    <s v="magyar"/>
    <m/>
  </r>
  <r>
    <s v="Vadas Balázs Imre"/>
    <s v="B2NJ55"/>
    <s v="Aktív"/>
    <s v="osztatlan tanári [11 félév [testnevelő tanár; gyógytestnevelő-egészségfejlesztő tanár]]"/>
    <x v="8"/>
    <s v="osztatlan tanárképzés"/>
    <s v="TKK-OTAK-NOHU"/>
    <s v="Tapolca"/>
    <s v="Veszprém"/>
    <s v="Vadas Balázs Imre"/>
    <s v="Magyarország"/>
    <d v="1999-01-22T00:00:00"/>
    <s v="T130502/FI80798"/>
    <x v="5"/>
    <s v="Állami ösztöndíjas"/>
    <s v="2017/18/1"/>
    <s v="Nappali"/>
    <n v="5"/>
    <n v="1"/>
    <s v="2021/22/2"/>
    <n v="10"/>
    <s v="73542640053"/>
    <n v="11"/>
    <x v="3"/>
    <m/>
    <m/>
    <m/>
    <m/>
    <s v="Képzésváltás intézményen belül"/>
    <d v="2019-09-14T00:00:00"/>
    <m/>
    <s v="BDPK-SEK"/>
    <s v="Eke Norbertné"/>
    <d v="2017-07-27T00:00:00"/>
    <d v="2023-01-31T00:00:00"/>
    <n v="500000"/>
    <m/>
    <n v="5"/>
    <s v="Férfi"/>
    <n v="500000"/>
    <s v="vadibali89@gmail.com"/>
    <s v="Vadas Viktória"/>
    <n v="6"/>
    <s v="Aktív"/>
    <n v="6"/>
    <n v="10"/>
    <s v="magyar"/>
    <m/>
  </r>
  <r>
    <s v="Kulcsár Márió"/>
    <s v="HU44AS"/>
    <s v="Aktív"/>
    <s v="osztatlan tanári [11 félév [testnevelő tanár; gyógytestnevelő-egészségfejlesztő tanár]]"/>
    <x v="8"/>
    <s v="osztatlan tanárképzés"/>
    <s v="TKK-OTAK-NOHU"/>
    <s v="Szombathely"/>
    <s v="Vas"/>
    <s v="Kulcsár Márió"/>
    <s v="Magyarország"/>
    <d v="1998-05-06T00:00:00"/>
    <s v="T133242/FI80798"/>
    <x v="5"/>
    <s v="Állami ösztöndíjas"/>
    <s v="2017/18/1"/>
    <s v="Nappali"/>
    <n v="5"/>
    <n v="1"/>
    <s v="2021/22/2"/>
    <n v="10"/>
    <s v="77158857264"/>
    <n v="11"/>
    <x v="3"/>
    <m/>
    <m/>
    <m/>
    <m/>
    <s v="Képzésváltás intézményen belül"/>
    <d v="2019-09-14T00:00:00"/>
    <m/>
    <s v="BDPK-SEK"/>
    <s v="Eke Norbertné"/>
    <d v="2017-07-27T00:00:00"/>
    <d v="2023-01-31T00:00:00"/>
    <n v="500000"/>
    <m/>
    <n v="5"/>
    <s v="Férfi"/>
    <n v="500000"/>
    <s v="supermario101010@gmail.com"/>
    <s v="Oszwald Tímea"/>
    <n v="6"/>
    <s v="Aktív"/>
    <n v="6"/>
    <n v="10"/>
    <s v="magyar"/>
    <m/>
  </r>
  <r>
    <s v="Varga Laura"/>
    <s v="F9D2L8"/>
    <s v="Erasmus"/>
    <s v="osztatlan tanári [11 félév [testnevelő tanár; gyógytestnevelő-egészségfejlesztő tanár]]"/>
    <x v="8"/>
    <s v="osztatlan tanárképzés"/>
    <s v="TKK-OTAK-NOHU"/>
    <s v="Körmend"/>
    <s v="Vas"/>
    <s v="Varga Laura"/>
    <s v="Magyarország"/>
    <d v="1998-02-20T00:00:00"/>
    <s v="T136345/FI80798"/>
    <x v="5"/>
    <s v="Állami ösztöndíjas"/>
    <s v="2018/19/1"/>
    <s v="Nappali"/>
    <n v="7"/>
    <n v="1"/>
    <s v="2021/22/2"/>
    <n v="10"/>
    <s v="73609204298"/>
    <n v="11"/>
    <x v="3"/>
    <m/>
    <m/>
    <m/>
    <m/>
    <s v="Képzésváltás intézményen belül"/>
    <d v="2021-09-02T00:00:00"/>
    <m/>
    <s v="BDPK-SEK"/>
    <s v="Eke Norbertné"/>
    <d v="2018-07-25T00:00:00"/>
    <d v="2024-01-31T00:00:00"/>
    <n v="500000"/>
    <m/>
    <n v="1"/>
    <s v="Nő"/>
    <n v="500000"/>
    <s v="laura.varga98@gmail.com"/>
    <s v="Szabó Katalin"/>
    <n v="2"/>
    <s v="Erasmus"/>
    <n v="2"/>
    <n v="8"/>
    <s v="magyar"/>
    <m/>
  </r>
  <r>
    <s v="Németh Kevin"/>
    <s v="EUVTP7"/>
    <s v="Aktív"/>
    <s v="osztatlan tanári [11 félév [testnevelő tanár; gyógytestnevelő-egészségfejlesztő tanár]]"/>
    <x v="8"/>
    <s v="osztatlan tanárképzés"/>
    <s v="TKK-OTAK-NOHU"/>
    <s v="Körmend"/>
    <s v="Vas"/>
    <s v="Németh Kevin"/>
    <s v="Magyarország"/>
    <d v="1995-03-25T00:00:00"/>
    <s v="T126327/FI80798"/>
    <x v="5"/>
    <s v="Állami ösztöndíjas"/>
    <s v="2017/18/1"/>
    <s v="Nappali"/>
    <n v="5"/>
    <n v="1"/>
    <s v="2021/22/2"/>
    <n v="10"/>
    <s v="75245732780"/>
    <n v="11"/>
    <x v="3"/>
    <m/>
    <m/>
    <m/>
    <m/>
    <s v="Képzésváltás intézményen belül"/>
    <d v="2019-09-14T00:00:00"/>
    <m/>
    <s v="BDPK-SEK"/>
    <s v="Eke Norbertné"/>
    <d v="2017-07-27T00:00:00"/>
    <d v="2023-01-31T00:00:00"/>
    <n v="500000"/>
    <m/>
    <n v="5"/>
    <s v="Férfi"/>
    <n v="500000"/>
    <s v="kevin95@gmail.hu"/>
    <s v="Németh Mónika"/>
    <n v="6"/>
    <s v="Aktív"/>
    <n v="6"/>
    <n v="10"/>
    <s v="magyar"/>
    <m/>
  </r>
  <r>
    <s v="Juhász Máté"/>
    <s v="U38XRZ"/>
    <s v="Aktív"/>
    <s v="osztatlan tanári [11 félév [testnevelő tanár; gyógytestnevelő-egészségfejlesztő tanár]]"/>
    <x v="8"/>
    <s v="osztatlan tanár"/>
    <s v="BDPK-SEK-SANO-OT-NOHU"/>
    <s v="Mosonmagyaróvár"/>
    <s v="Győr-Moson-Sopron"/>
    <s v="Juhász Máté"/>
    <s v="Magyarország"/>
    <d v="1994-08-07T00:00:00"/>
    <s v="T013721/FI21120/B"/>
    <x v="5"/>
    <s v="Állami ösztöndíjas"/>
    <s v="2016/17/1"/>
    <s v="Nappali"/>
    <n v="4"/>
    <n v="1"/>
    <s v="2021/22/2"/>
    <n v="10"/>
    <s v="74602708051"/>
    <n v="11"/>
    <x v="3"/>
    <m/>
    <m/>
    <m/>
    <m/>
    <s v="Képzésváltás intézményen belül"/>
    <d v="2019-09-03T00:00:00"/>
    <m/>
    <s v="BDPK-SEK"/>
    <s v="Eke Norbertné"/>
    <d v="2016-07-26T00:00:00"/>
    <d v="2023-01-31T00:00:00"/>
    <n v="500000"/>
    <m/>
    <n v="4"/>
    <s v="Férfi"/>
    <n v="500000"/>
    <s v="mate9408@gmail.com"/>
    <s v="Tolnai Klára"/>
    <n v="5"/>
    <s v="Aktív"/>
    <n v="5"/>
    <n v="11"/>
    <s v="magyar"/>
    <m/>
  </r>
  <r>
    <s v="Horváth Csaba"/>
    <s v="NGDQZM"/>
    <s v="Aktív"/>
    <s v="osztatlan tanári [11 félév [testnevelő tanár; gyógytestnevelő-egészségfejlesztő tanár]]"/>
    <x v="8"/>
    <s v="osztatlan tanárképzés"/>
    <s v="TKK-OTAK-NOHU"/>
    <s v="Sopron"/>
    <s v="Győr-Moson-Sopron"/>
    <s v="Horváth Csaba"/>
    <s v="Magyarország"/>
    <d v="1998-06-21T00:00:00"/>
    <s v="T137763/FI80798"/>
    <x v="5"/>
    <s v="Állami ösztöndíjas"/>
    <s v="2018/19/1"/>
    <s v="Nappali"/>
    <n v="7"/>
    <n v="1"/>
    <s v="2021/22/2"/>
    <n v="10"/>
    <s v="72584580574"/>
    <n v="11"/>
    <x v="3"/>
    <m/>
    <m/>
    <m/>
    <m/>
    <s v="Képzésváltás intézményen belül"/>
    <d v="2018-09-06T00:00:00"/>
    <m/>
    <s v="BDPK-SEK"/>
    <s v="Eke Norbertné"/>
    <d v="2018-07-25T00:00:00"/>
    <d v="2024-01-30T00:00:00"/>
    <n v="400000"/>
    <m/>
    <n v="7"/>
    <s v="Férfi"/>
    <n v="400000"/>
    <s v="h.csabesz98@gmail.com"/>
    <s v="Horváth Krisztina"/>
    <n v="8"/>
    <s v="Aktív"/>
    <n v="8"/>
    <n v="8"/>
    <s v="magyar"/>
    <m/>
  </r>
  <r>
    <s v="Horváth Konrád"/>
    <s v="R2H26X"/>
    <s v="Aktív"/>
    <s v="osztatlan tanári [11 félév [testnevelő tanár; gyógytestnevelő-egészségfejlesztő tanár]]"/>
    <x v="8"/>
    <s v="osztatlan tanárképzés"/>
    <s v="TKK-OTAK-NOHU"/>
    <s v="Celldömölk"/>
    <s v="Vas"/>
    <s v="Horváth Konrád"/>
    <s v="Magyarország"/>
    <d v="2000-03-17T00:00:00"/>
    <s v="T136156/FI80798"/>
    <x v="5"/>
    <s v="Állami ösztöndíjas"/>
    <s v="2018/19/1"/>
    <s v="Nappali"/>
    <n v="7"/>
    <n v="1"/>
    <s v="2021/22/2"/>
    <n v="10"/>
    <s v="77948126580"/>
    <n v="11"/>
    <x v="3"/>
    <m/>
    <m/>
    <m/>
    <m/>
    <s v="Képzésváltás intézményen belül"/>
    <d v="2018-09-06T00:00:00"/>
    <m/>
    <s v="BDPK-SEK"/>
    <s v="Eke Norbertné"/>
    <d v="2018-07-25T00:00:00"/>
    <d v="2024-01-30T00:00:00"/>
    <n v="400000"/>
    <m/>
    <n v="7"/>
    <s v="Férfi"/>
    <n v="400000"/>
    <s v="horvathkoni@gmail.com"/>
    <s v="Csihar Anita"/>
    <n v="8"/>
    <s v="Aktív"/>
    <n v="8"/>
    <n v="8"/>
    <s v="magyar"/>
    <m/>
  </r>
  <r>
    <s v="Janszky Flóra"/>
    <s v="GZ3PKA"/>
    <s v="Aktív"/>
    <s v="osztatlan tanári [11 félév [testnevelő tanár; gyógytestnevelő-egészségfejlesztő tanár]]"/>
    <x v="8"/>
    <s v="osztatlan tanárképzés"/>
    <s v="TKK-OTAK-NOHU"/>
    <s v="Győr"/>
    <s v="Győr-Moson-Sopron"/>
    <s v="Janszky Flóra"/>
    <s v="Magyarország"/>
    <d v="1999-11-09T00:00:00"/>
    <s v="T144099/FI80798"/>
    <x v="5"/>
    <s v="Állami ösztöndíjas"/>
    <s v="2018/19/1"/>
    <s v="Nappali"/>
    <n v="9"/>
    <n v="1"/>
    <s v="2021/22/2"/>
    <n v="10"/>
    <s v="74638586841"/>
    <n v="11"/>
    <x v="3"/>
    <m/>
    <m/>
    <m/>
    <m/>
    <s v="Képzésváltás intézményen belül"/>
    <d v="2019-09-14T00:00:00"/>
    <m/>
    <s v="BDPK-SEK"/>
    <s v="Eke Norbertné"/>
    <d v="2018-07-25T00:00:00"/>
    <d v="2025-01-31T00:00:00"/>
    <n v="500000"/>
    <m/>
    <n v="5"/>
    <s v="Nő"/>
    <n v="500000"/>
    <s v="janszkyflo99@gmail.com"/>
    <s v="Máté Rita"/>
    <n v="6"/>
    <s v="Aktív"/>
    <n v="6"/>
    <n v="6"/>
    <s v="magyar"/>
    <m/>
  </r>
  <r>
    <s v="Dévai Vanessza Ilona"/>
    <s v="AFLASU"/>
    <s v="Aktív"/>
    <s v="osztatlan tanári [11 félév [testnevelő tanár; gyógytestnevelő-egészségfejlesztő tanár]]"/>
    <x v="8"/>
    <s v="osztatlan tanárképzés"/>
    <s v="TKK-OTAK-NOHU"/>
    <s v="Szombathely"/>
    <s v="Vas"/>
    <s v="Dévai Vanessza Ilona"/>
    <s v="Magyarország"/>
    <d v="1999-11-01T00:00:00"/>
    <s v="T135885/FI80798"/>
    <x v="5"/>
    <s v="Állami ösztöndíjas"/>
    <s v="2018/19/1"/>
    <s v="Nappali"/>
    <n v="7"/>
    <n v="1"/>
    <s v="2021/22/2"/>
    <n v="10"/>
    <s v="72108492193"/>
    <n v="11"/>
    <x v="3"/>
    <m/>
    <m/>
    <m/>
    <m/>
    <s v="Képzésváltás intézményen belül"/>
    <d v="2018-09-06T00:00:00"/>
    <m/>
    <s v="BDPK-SEK"/>
    <s v="Eke Norbertné"/>
    <d v="2018-07-25T00:00:00"/>
    <d v="2024-01-30T00:00:00"/>
    <n v="400000"/>
    <m/>
    <n v="7"/>
    <s v="Nő"/>
    <n v="400000"/>
    <s v="dvanessza01@gmail.com"/>
    <s v="Devecseri Ilona"/>
    <n v="8"/>
    <s v="Aktív"/>
    <n v="8"/>
    <n v="8"/>
    <s v="magyar"/>
    <m/>
  </r>
  <r>
    <s v="Forgács Tamás Leon"/>
    <s v="XGANEZ"/>
    <s v="Aktív"/>
    <s v="osztatlan tanári [11 félév [testnevelő tanár; gyógytestnevelő-egészségfejlesztő tanár]]"/>
    <x v="8"/>
    <s v="osztatlan tanárképzés"/>
    <s v="TKK-OTAK-NOHU"/>
    <s v="Budapest"/>
    <s v="Budapest"/>
    <s v="Forgács Tamás Leon"/>
    <s v="Magyarország"/>
    <d v="1998-04-01T00:00:00"/>
    <s v="T141841/FI80798"/>
    <x v="5"/>
    <s v="Állami ösztöndíjas"/>
    <s v="2018/19/1"/>
    <s v="Nappali"/>
    <n v="7"/>
    <n v="1"/>
    <s v="2021/22/2"/>
    <n v="10"/>
    <s v="78665786524"/>
    <n v="11"/>
    <x v="3"/>
    <m/>
    <m/>
    <m/>
    <m/>
    <s v="Képzésváltás intézményen belül"/>
    <d v="2021-09-01T00:00:00"/>
    <m/>
    <s v="BDPK-SEK"/>
    <s v="Eke Norbertné"/>
    <d v="2018-07-25T00:00:00"/>
    <d v="2024-01-31T00:00:00"/>
    <n v="500000"/>
    <m/>
    <n v="1"/>
    <s v="Férfi"/>
    <n v="500000"/>
    <s v="f.tamass2000@gmail.com"/>
    <s v="Láng Ibolya"/>
    <n v="2"/>
    <s v="Aktív"/>
    <n v="2"/>
    <n v="8"/>
    <s v="magyar"/>
    <m/>
  </r>
  <r>
    <s v="Gécsek Olivér István"/>
    <s v="F60KND"/>
    <s v="Aktív"/>
    <s v="osztatlan tanári [11 félév [testnevelő tanár; gyógytestnevelő-egészségfejlesztő tanár]]"/>
    <x v="8"/>
    <s v="osztatlan tanárképzés"/>
    <s v="TKK-OTAK-NOHU"/>
    <s v="Szombathely"/>
    <s v="Vas"/>
    <s v="Gécsek Olivér István"/>
    <s v="Magyarország"/>
    <d v="1999-06-11T00:00:00"/>
    <s v="T137403/FI80798"/>
    <x v="5"/>
    <s v="Állami ösztöndíjas"/>
    <s v="2018/19/1"/>
    <s v="Nappali"/>
    <n v="7"/>
    <n v="1"/>
    <s v="2021/22/2"/>
    <n v="10"/>
    <s v="78976153527"/>
    <n v="11"/>
    <x v="3"/>
    <m/>
    <m/>
    <m/>
    <m/>
    <s v="Képzésváltás intézményen belül"/>
    <d v="2019-09-14T00:00:00"/>
    <m/>
    <s v="BDPK-SEK"/>
    <s v="Eke Norbertné"/>
    <d v="2018-07-25T00:00:00"/>
    <d v="2024-01-31T00:00:00"/>
    <n v="500000"/>
    <m/>
    <n v="5"/>
    <s v="Férfi"/>
    <n v="500000"/>
    <s v="gecsekoliver99@gmail.com"/>
    <s v="Hermán Andrea"/>
    <n v="6"/>
    <s v="Aktív"/>
    <n v="6"/>
    <n v="8"/>
    <s v="magyar"/>
    <m/>
  </r>
  <r>
    <s v="Nagy Dávid"/>
    <s v="VW3ME6"/>
    <s v="Aktív"/>
    <s v="osztatlan tanári [11 félév [testnevelő tanár; gyógytestnevelő-egészségfejlesztő tanár]]"/>
    <x v="8"/>
    <s v="osztatlan tanárképzés"/>
    <s v="TKK-OTAK-NOHU"/>
    <s v="Kaposvár"/>
    <s v="Somogy"/>
    <s v="Nagy Dávid"/>
    <s v="Magyarország"/>
    <d v="1999-02-12T00:00:00"/>
    <s v="T142084/FI80798"/>
    <x v="5"/>
    <s v="Állami ösztöndíjas"/>
    <s v="2018/19/1"/>
    <s v="Nappali"/>
    <n v="9"/>
    <n v="1"/>
    <s v="2021/22/2"/>
    <n v="10"/>
    <s v="76627117220"/>
    <n v="11"/>
    <x v="3"/>
    <m/>
    <m/>
    <m/>
    <m/>
    <s v="Képzésváltás intézményen belül"/>
    <d v="2018-09-06T00:00:00"/>
    <m/>
    <s v="BDPK-SEK"/>
    <s v="Eke Norbertné"/>
    <d v="2018-07-25T00:00:00"/>
    <d v="2024-01-30T00:00:00"/>
    <n v="400000"/>
    <m/>
    <n v="5"/>
    <s v="Férfi"/>
    <n v="400000"/>
    <s v="nagy.nada.david99@gmail.com"/>
    <s v="Pauska Zília"/>
    <n v="8"/>
    <s v="Aktív"/>
    <n v="6"/>
    <n v="8"/>
    <s v="magyar"/>
    <m/>
  </r>
  <r>
    <s v="Baumgartner Bálint"/>
    <s v="JRBH0T"/>
    <s v="Aktív"/>
    <s v="osztatlan tanári [11 félév [testnevelő tanár; gyógytestnevelő-egészségfejlesztő tanár]]"/>
    <x v="8"/>
    <s v="osztatlan tanárképzés"/>
    <s v="TKK-OTAK-NOHU"/>
    <s v="Szombathely"/>
    <s v="Vas"/>
    <s v="Baumgartner Bálint"/>
    <s v="Magyarország"/>
    <d v="1999-08-18T00:00:00"/>
    <s v="T142125/FI80798"/>
    <x v="5"/>
    <s v="Állami ösztöndíjas"/>
    <s v="2018/19/1"/>
    <s v="Nappali"/>
    <n v="7"/>
    <n v="1"/>
    <s v="2021/22/2"/>
    <n v="10"/>
    <s v="78395714303"/>
    <n v="11"/>
    <x v="3"/>
    <m/>
    <m/>
    <m/>
    <m/>
    <s v="Képzésváltás intézményen belül"/>
    <d v="2019-07-05T00:00:00"/>
    <m/>
    <s v="BDPK-SEK"/>
    <s v="Eke Norbertné"/>
    <d v="2018-07-25T00:00:00"/>
    <d v="2024-01-31T00:00:00"/>
    <n v="500000"/>
    <m/>
    <n v="5"/>
    <s v="Férfi"/>
    <n v="500000"/>
    <s v="b.balint0818@gmail.com"/>
    <s v="Farkas Klára"/>
    <n v="6"/>
    <s v="Aktív"/>
    <n v="6"/>
    <n v="8"/>
    <s v="magyar"/>
    <m/>
  </r>
  <r>
    <s v="Bontó Marcell"/>
    <s v="N4DRTG"/>
    <s v="Aktív"/>
    <s v="osztatlan tanári [11 félév [testnevelő tanár; gyógytestnevelő-egészségfejlesztő tanár]]"/>
    <x v="8"/>
    <s v="osztatlan tanárképzés"/>
    <s v="TKK-OTAK-NOHU"/>
    <s v="Keszthely"/>
    <s v="Zala"/>
    <s v="Bontó Marcell"/>
    <s v="Magyarország"/>
    <d v="1999-02-03T00:00:00"/>
    <s v="T142863/FI80798"/>
    <x v="5"/>
    <s v="Állami ösztöndíjas"/>
    <s v="2018/19/1"/>
    <s v="Nappali"/>
    <n v="7"/>
    <n v="1"/>
    <s v="2021/22/2"/>
    <n v="10"/>
    <s v="76088689933"/>
    <n v="11"/>
    <x v="3"/>
    <m/>
    <m/>
    <m/>
    <m/>
    <s v="Képzésváltás intézményen belül"/>
    <d v="2018-09-06T00:00:00"/>
    <m/>
    <s v="BDPK-SEK"/>
    <s v="Eke Norbertné"/>
    <d v="2018-07-25T00:00:00"/>
    <d v="2024-01-30T00:00:00"/>
    <n v="400000"/>
    <m/>
    <n v="7"/>
    <s v="Férfi"/>
    <n v="400000"/>
    <s v="bonto99@gmail.com"/>
    <s v="Varga Zita"/>
    <n v="8"/>
    <s v="Aktív"/>
    <n v="8"/>
    <n v="8"/>
    <s v="magyar"/>
    <m/>
  </r>
  <r>
    <s v="Czakó Csenge Friderika"/>
    <s v="CU5H5V"/>
    <s v="Aktív"/>
    <s v="osztatlan tanári [11 félév [testnevelő tanár; gyógytestnevelő-egészségfejlesztő tanár]]"/>
    <x v="8"/>
    <s v="osztatlan tanárképzés"/>
    <s v="TKK-OTAK-NOHU"/>
    <s v="Zalaegerszeg"/>
    <s v="Zala"/>
    <s v="Czakó Csenge Friderika"/>
    <s v="Magyarország"/>
    <d v="1999-02-17T00:00:00"/>
    <s v="T138803/FI80798"/>
    <x v="5"/>
    <s v="Állami ösztöndíjas"/>
    <s v="2018/19/1"/>
    <s v="Nappali"/>
    <n v="7"/>
    <n v="1"/>
    <s v="2021/22/2"/>
    <n v="10"/>
    <s v="76731092470"/>
    <n v="11"/>
    <x v="3"/>
    <m/>
    <m/>
    <m/>
    <m/>
    <s v="Képzésváltás intézményen belül"/>
    <d v="2018-09-06T00:00:00"/>
    <m/>
    <s v="BDPK-SEK"/>
    <s v="Eke Norbertné"/>
    <d v="2018-07-25T00:00:00"/>
    <d v="2024-01-30T00:00:00"/>
    <n v="400000"/>
    <m/>
    <n v="7"/>
    <s v="Nő"/>
    <n v="400000"/>
    <s v="csepanguci@gmail.com"/>
    <s v="Rosta Andrea"/>
    <n v="8"/>
    <s v="Aktív"/>
    <n v="8"/>
    <n v="8"/>
    <s v="magyar"/>
    <m/>
  </r>
  <r>
    <s v="Gál Fanni"/>
    <s v="W4V64W"/>
    <s v="Aktív"/>
    <s v="osztatlan tanári [11 félév [testnevelő tanár; gyógytestnevelő-egészségfejlesztő tanár]]"/>
    <x v="8"/>
    <s v="osztatlan tanárképzés"/>
    <s v="TKK-OTAK-NOHU"/>
    <s v="Sopron"/>
    <s v="Győr-Moson-Sopron"/>
    <s v="Gál Fanni"/>
    <s v="Magyarország"/>
    <d v="1999-10-09T00:00:00"/>
    <s v="T140341/FI80798"/>
    <x v="5"/>
    <s v="Állami ösztöndíjas"/>
    <s v="2018/19/1"/>
    <s v="Nappali"/>
    <n v="7"/>
    <n v="1"/>
    <s v="2021/22/2"/>
    <n v="10"/>
    <s v="71562684964"/>
    <n v="11"/>
    <x v="3"/>
    <m/>
    <m/>
    <m/>
    <m/>
    <s v="Képzésváltás intézményen belül"/>
    <d v="2018-09-06T00:00:00"/>
    <m/>
    <s v="BDPK-SEK"/>
    <s v="Eke Norbertné"/>
    <d v="2018-07-25T00:00:00"/>
    <d v="2024-01-30T00:00:00"/>
    <n v="400000"/>
    <m/>
    <n v="7"/>
    <s v="Nő"/>
    <n v="400000"/>
    <s v="galfanni1@gmail.com"/>
    <s v="Gazda Patrícia"/>
    <n v="8"/>
    <s v="Aktív"/>
    <n v="8"/>
    <n v="8"/>
    <s v="magyar"/>
    <m/>
  </r>
  <r>
    <s v="Horváth András Levente"/>
    <s v="D9CY9V"/>
    <s v="Aktív"/>
    <s v="osztatlan tanári [11 félév [testnevelő tanár; gyógytestnevelő-egészségfejlesztő tanár]]"/>
    <x v="8"/>
    <s v="osztatlan tanárképzés"/>
    <s v="TKK-OTAK-NOHU"/>
    <s v="Pápa"/>
    <s v="Veszprém"/>
    <s v="Horváth András Levente"/>
    <s v="Magyarország"/>
    <d v="1998-12-10T00:00:00"/>
    <s v="T141937/FI80798"/>
    <x v="5"/>
    <s v="Állami ösztöndíjas"/>
    <s v="2018/19/1"/>
    <s v="Nappali"/>
    <n v="7"/>
    <n v="1"/>
    <s v="2021/22/2"/>
    <n v="10"/>
    <s v="76521715757"/>
    <n v="11"/>
    <x v="3"/>
    <m/>
    <m/>
    <m/>
    <m/>
    <s v="Képzésváltás intézményen belül"/>
    <d v="2019-07-05T00:00:00"/>
    <m/>
    <s v="BDPK-SEK"/>
    <s v="Eke Norbertné"/>
    <d v="2018-07-25T00:00:00"/>
    <d v="2024-01-31T00:00:00"/>
    <n v="500000"/>
    <m/>
    <n v="5"/>
    <s v="Férfi"/>
    <n v="500000"/>
    <s v="handras98@citromail.hu"/>
    <s v="Fehér Zsófia"/>
    <n v="6"/>
    <s v="Aktív"/>
    <n v="6"/>
    <n v="8"/>
    <s v="magyar"/>
    <m/>
  </r>
  <r>
    <s v="Péter Ábrahám"/>
    <s v="SLTD2T"/>
    <s v="Aktív"/>
    <s v="osztatlan tanári [11 félév [testnevelő tanár; gyógytestnevelő-egészségfejlesztő tanár]]"/>
    <x v="8"/>
    <s v="osztatlan tanárképzés"/>
    <s v="TKK-OTAK-NOHU"/>
    <s v="Körmend"/>
    <s v="Vas"/>
    <s v="Péter Ábrahám"/>
    <s v="Magyarország"/>
    <d v="1999-08-22T00:00:00"/>
    <s v="T135302/FI80798"/>
    <x v="5"/>
    <s v="Állami ösztöndíjas"/>
    <s v="2018/19/1"/>
    <s v="Nappali"/>
    <n v="7"/>
    <n v="1"/>
    <s v="2021/22/2"/>
    <n v="10"/>
    <s v="72796585819"/>
    <n v="11"/>
    <x v="3"/>
    <m/>
    <m/>
    <m/>
    <m/>
    <s v="Képzésváltás intézményen belül"/>
    <d v="2018-09-06T00:00:00"/>
    <m/>
    <s v="BDPK-SEK"/>
    <s v="Eke Norbertné"/>
    <d v="2018-07-25T00:00:00"/>
    <d v="2024-01-30T00:00:00"/>
    <n v="400000"/>
    <m/>
    <n v="7"/>
    <s v="Férfi"/>
    <n v="400000"/>
    <s v="13abris@gmail.com"/>
    <s v="Vörös Éva"/>
    <n v="8"/>
    <s v="Aktív"/>
    <n v="8"/>
    <n v="8"/>
    <s v="magyar"/>
    <m/>
  </r>
  <r>
    <s v="Devecseri Kornél"/>
    <s v="D8KJCP"/>
    <s v="Aktív"/>
    <s v="osztatlan tanári [11 félév [testnevelő tanár; gyógytestnevelő-egészségfejlesztő tanár]]"/>
    <x v="8"/>
    <s v="osztatlan tanárképzés"/>
    <s v="TKK-OTAK-NOHU"/>
    <s v="Szombathely"/>
    <s v="Vas"/>
    <s v="Devecseri Kornél"/>
    <s v="Magyarország"/>
    <d v="1998-09-27T00:00:00"/>
    <s v="T189629/FI80798"/>
    <x v="5"/>
    <s v="Önköltséges"/>
    <s v="2021/22/1"/>
    <s v="Nappali"/>
    <n v="10"/>
    <n v="1"/>
    <s v="2020/21/1"/>
    <n v="10"/>
    <s v="77914366739"/>
    <n v="11"/>
    <x v="3"/>
    <m/>
    <m/>
    <m/>
    <m/>
    <s v="Képzésváltás intézményen belül"/>
    <d v="2021-09-13T00:00:00"/>
    <m/>
    <s v="BDPK-SEK"/>
    <s v="Eke Norbertné"/>
    <d v="2021-07-23T00:00:00"/>
    <d v="2027-01-31T00:00:00"/>
    <m/>
    <m/>
    <n v="0"/>
    <s v="Férfi"/>
    <m/>
    <s v="kornel.devecseri1998@gmail.com"/>
    <s v="Bita Veronika"/>
    <n v="2"/>
    <s v="Aktív"/>
    <n v="0"/>
    <n v="2"/>
    <s v="magyar"/>
    <n v="500000"/>
  </r>
  <r>
    <s v="Simon Sándor"/>
    <s v="DOYR8I"/>
    <s v="Aktív"/>
    <s v="osztatlan tanári [11 félév [testnevelő tanár; gyógytestnevelő-egészségfejlesztő tanár]]"/>
    <x v="8"/>
    <s v="osztatlan tanárképzés"/>
    <s v="TKK-OTAK-NOHU"/>
    <s v="Dercen"/>
    <m/>
    <s v="Simon Sándor"/>
    <s v="Ukrajna"/>
    <d v="2000-11-21T00:00:00"/>
    <s v="T142441/FI80798"/>
    <x v="5"/>
    <s v="Állami ösztöndíjas"/>
    <s v="2018/19/1"/>
    <s v="Nappali"/>
    <n v="7"/>
    <n v="1"/>
    <s v="2021/22/2"/>
    <n v="10"/>
    <s v="73350764695"/>
    <n v="11"/>
    <x v="3"/>
    <m/>
    <m/>
    <m/>
    <m/>
    <s v="Képzésváltás intézményen belül"/>
    <d v="2018-09-06T00:00:00"/>
    <m/>
    <s v="BDPK-SEK"/>
    <s v="Eke Norbertné"/>
    <d v="2018-07-25T00:00:00"/>
    <d v="2024-01-30T00:00:00"/>
    <n v="400000"/>
    <m/>
    <n v="7"/>
    <s v="Férfi"/>
    <n v="400000"/>
    <s v="simonsandors.2000@gmail.com"/>
    <s v="Szabó Klára"/>
    <n v="8"/>
    <s v="Aktív"/>
    <n v="8"/>
    <n v="8"/>
    <s v="magyar, ukrán"/>
    <m/>
  </r>
  <r>
    <s v="Papp Barna"/>
    <s v="I5J5JA"/>
    <s v="Aktív"/>
    <s v="osztatlan tanári [11 félév [testnevelő tanár; gyógytestnevelő-egészségfejlesztő tanár]]"/>
    <x v="8"/>
    <s v="osztatlan tanárképzés"/>
    <s v="TKK-OTAK-NOHU"/>
    <s v="Sopron"/>
    <s v="Győr-Moson-Sopron"/>
    <s v="Papp Barna"/>
    <s v="Magyarország"/>
    <d v="1999-03-17T00:00:00"/>
    <s v="T137798/FI80798"/>
    <x v="5"/>
    <s v="Állami ösztöndíjas"/>
    <s v="2018/19/1"/>
    <s v="Nappali"/>
    <n v="7"/>
    <n v="1"/>
    <s v="2021/22/2"/>
    <n v="10"/>
    <s v="79059613442"/>
    <n v="11"/>
    <x v="3"/>
    <m/>
    <m/>
    <m/>
    <m/>
    <s v="Képzésváltás intézményen belül"/>
    <d v="2018-09-06T00:00:00"/>
    <m/>
    <s v="BDPK-SEK"/>
    <s v="Eke Norbertné"/>
    <d v="2018-07-25T00:00:00"/>
    <d v="2024-01-30T00:00:00"/>
    <n v="400000"/>
    <m/>
    <n v="7"/>
    <s v="Férfi"/>
    <n v="400000"/>
    <s v="pappbarna@gmail.com"/>
    <s v="Kiss Gabriella Mária"/>
    <n v="8"/>
    <s v="Aktív"/>
    <n v="8"/>
    <n v="8"/>
    <s v="magyar"/>
    <m/>
  </r>
  <r>
    <s v="Tóth Vencel"/>
    <s v="ZFYQ8M"/>
    <s v="Aktív"/>
    <s v="osztatlan tanári [11 félév [testnevelő tanár; gyógytestnevelő-egészségfejlesztő tanár]]"/>
    <x v="8"/>
    <s v="osztatlan tanárképzés"/>
    <s v="TKK-OTAK-NOHU"/>
    <s v="Budapest"/>
    <s v="Budapest"/>
    <s v="Tóth Vencel"/>
    <s v="Magyarország"/>
    <d v="1999-09-02T00:00:00"/>
    <s v="T140153/FI80798"/>
    <x v="5"/>
    <s v="Állami ösztöndíjas"/>
    <s v="2018/19/1"/>
    <s v="Nappali"/>
    <n v="7"/>
    <n v="1"/>
    <s v="2021/22/2"/>
    <n v="10"/>
    <s v="76345194417"/>
    <n v="11"/>
    <x v="3"/>
    <m/>
    <m/>
    <m/>
    <m/>
    <s v="Képzésváltás intézményen belül"/>
    <d v="2018-09-06T00:00:00"/>
    <m/>
    <s v="BDPK-SEK"/>
    <s v="Eke Norbertné"/>
    <d v="2018-07-25T00:00:00"/>
    <d v="2024-01-30T00:00:00"/>
    <n v="400000"/>
    <m/>
    <n v="7"/>
    <s v="Férfi"/>
    <n v="400000"/>
    <s v="vencel.toth444@gmail.com"/>
    <s v="Zsebe Zsuzsanna"/>
    <n v="8"/>
    <s v="Aktív"/>
    <n v="8"/>
    <n v="8"/>
    <s v="magyar"/>
    <m/>
  </r>
  <r>
    <s v="Varga Eszter"/>
    <s v="FWRG8U"/>
    <s v="Aktív"/>
    <s v="osztatlan tanári [11 félév [testnevelő tanár; gyógytestnevelő-egészségfejlesztő tanár]]"/>
    <x v="8"/>
    <s v="osztatlan tanárképzés"/>
    <s v="TKK-OTAK-NOHU"/>
    <s v="Nagykanizsa"/>
    <s v="Zala"/>
    <s v="Varga Eszter"/>
    <s v="Magyarország"/>
    <d v="2000-05-21T00:00:00"/>
    <s v="T138309/FI80798"/>
    <x v="5"/>
    <s v="Állami ösztöndíjas"/>
    <s v="2018/19/1"/>
    <s v="Nappali"/>
    <n v="6"/>
    <n v="1"/>
    <s v="2021/22/2"/>
    <n v="10"/>
    <s v="77906298750"/>
    <n v="11"/>
    <x v="3"/>
    <m/>
    <m/>
    <m/>
    <m/>
    <s v="Képzésváltás intézményen belül"/>
    <d v="2021-09-01T00:00:00"/>
    <m/>
    <s v="BDPK-SEK"/>
    <s v="Eke Norbertné"/>
    <d v="2018-07-25T00:00:00"/>
    <d v="2024-01-31T00:00:00"/>
    <n v="500000"/>
    <m/>
    <n v="1"/>
    <s v="Nő"/>
    <n v="500000"/>
    <s v="eszter.varga2100@gmail.com"/>
    <s v="Bokán Edit"/>
    <n v="2"/>
    <s v="Aktív"/>
    <n v="2"/>
    <n v="8"/>
    <s v="magyar"/>
    <m/>
  </r>
  <r>
    <s v="Bertha József"/>
    <s v="R1O9I4"/>
    <s v="Aktív"/>
    <s v="osztatlan tanári [11 félév [testnevelő tanár; gyógytestnevelő-egészségfejlesztő tanár]]"/>
    <x v="8"/>
    <s v="osztatlan tanárképzés"/>
    <s v="TKK-OTAK-NOHU"/>
    <s v="Körmend"/>
    <s v="Vas"/>
    <s v="Bertha József"/>
    <s v="Magyarország"/>
    <d v="1999-11-24T00:00:00"/>
    <s v="T141101/FI80798"/>
    <x v="5"/>
    <s v="Állami ösztöndíjas"/>
    <s v="2018/19/1"/>
    <s v="Nappali"/>
    <n v="7"/>
    <n v="1"/>
    <s v="2021/22/2"/>
    <n v="10"/>
    <s v="77421964911"/>
    <n v="11"/>
    <x v="3"/>
    <m/>
    <m/>
    <m/>
    <m/>
    <s v="Képzésváltás intézményen belül"/>
    <d v="2018-09-06T00:00:00"/>
    <m/>
    <s v="BDPK-SEK"/>
    <s v="Eke Norbertné"/>
    <d v="2018-07-25T00:00:00"/>
    <d v="2024-01-30T00:00:00"/>
    <n v="400000"/>
    <m/>
    <n v="7"/>
    <s v="Férfi"/>
    <n v="400000"/>
    <s v="bertha.jozsef2@gmail.com"/>
    <s v="Pap Gabriella"/>
    <n v="8"/>
    <s v="Aktív"/>
    <n v="8"/>
    <n v="8"/>
    <s v="magyar"/>
    <m/>
  </r>
  <r>
    <s v="Budai Dominik"/>
    <s v="JKRG4K"/>
    <s v="Passzív"/>
    <s v="osztatlan tanári [11 félév [testnevelő tanár; gyógytestnevelő-egészségfejlesztő tanár]]"/>
    <x v="8"/>
    <s v="osztatlan tanárképzés"/>
    <s v="TKK-OTAK-NOHU"/>
    <s v="Győr"/>
    <s v="Győr-Moson-Sopron"/>
    <s v="Budai Dominik"/>
    <s v="Magyarország"/>
    <d v="1999-06-21T00:00:00"/>
    <s v="T137402/FI80798"/>
    <x v="5"/>
    <s v="Állami ösztöndíjas"/>
    <s v="2018/19/1"/>
    <s v="Nappali"/>
    <n v="9"/>
    <n v="1"/>
    <s v="2020/21/2"/>
    <n v="10"/>
    <s v="72199507426"/>
    <n v="11"/>
    <x v="3"/>
    <m/>
    <m/>
    <m/>
    <m/>
    <s v="Képzésváltás intézményen belül"/>
    <d v="2018-09-06T00:00:00"/>
    <m/>
    <s v="BDPK-SEK"/>
    <s v="Eke Norbertné"/>
    <d v="2018-07-25T00:00:00"/>
    <d v="2025-07-15T00:00:00"/>
    <n v="400000"/>
    <m/>
    <n v="6"/>
    <s v="Férfi"/>
    <n v="400000"/>
    <s v="bdominik20@gmail.com"/>
    <s v="Varga Ildikó"/>
    <n v="6"/>
    <s v="Passzív"/>
    <n v="6"/>
    <n v="6"/>
    <s v="magyar"/>
    <m/>
  </r>
  <r>
    <s v="Frisnyák Dániel Ádám"/>
    <s v="KWQ64L"/>
    <s v="Aktív"/>
    <s v="osztatlan tanári [11 félév [testnevelő tanár; gyógytestnevelő-egészségfejlesztő tanár]]"/>
    <x v="8"/>
    <s v="osztatlan tanárképzés"/>
    <s v="TKK-OTAK-NOHU"/>
    <s v="Budapest"/>
    <s v="Budapest"/>
    <s v="Frisnyák Dániel Ádám"/>
    <s v="Magyarország"/>
    <d v="1999-05-26T00:00:00"/>
    <s v="T143506/FI80798"/>
    <x v="5"/>
    <s v="Állami ösztöndíjas"/>
    <s v="2018/19/1"/>
    <s v="Nappali"/>
    <n v="6"/>
    <n v="1"/>
    <s v="2021/22/2"/>
    <n v="10"/>
    <s v="75463699400"/>
    <n v="11"/>
    <x v="3"/>
    <m/>
    <m/>
    <m/>
    <m/>
    <s v="Képzésváltás intézményen belül"/>
    <d v="2019-09-14T00:00:00"/>
    <m/>
    <s v="BDPK-SEK"/>
    <s v="Eke Norbertné"/>
    <d v="2018-07-25T00:00:00"/>
    <d v="2024-01-31T00:00:00"/>
    <n v="500000"/>
    <m/>
    <n v="5"/>
    <s v="Férfi"/>
    <n v="500000"/>
    <s v="frisnyakdani@gmail.com"/>
    <s v="Pinnyey Mária"/>
    <n v="6"/>
    <s v="Aktív"/>
    <n v="6"/>
    <n v="8"/>
    <s v="magyar"/>
    <m/>
  </r>
  <r>
    <s v="Körmendi Bence"/>
    <s v="VJDRXT"/>
    <s v="Passzív"/>
    <s v="osztatlan tanári [11 félév [testnevelő tanár; gyógytestnevelő-egészségfejlesztő tanár]]"/>
    <x v="8"/>
    <s v="osztatlan tanárképzés"/>
    <s v="TKK-OTAK-NOHU"/>
    <s v="Szombathely"/>
    <s v="Vas"/>
    <s v="Körmendi Bence"/>
    <s v="Magyarország"/>
    <d v="2000-03-11T00:00:00"/>
    <s v="T135392/FI80798"/>
    <x v="5"/>
    <s v="Állami ösztöndíjas"/>
    <s v="2018/19/1"/>
    <s v="Nappali"/>
    <n v="9"/>
    <n v="1"/>
    <s v="2020/21/2"/>
    <n v="10"/>
    <s v="75630917734"/>
    <n v="11"/>
    <x v="3"/>
    <m/>
    <m/>
    <m/>
    <m/>
    <s v="Képzésváltás intézményen belül"/>
    <d v="2018-09-06T00:00:00"/>
    <m/>
    <s v="BDPK-SEK"/>
    <s v="Eke Norbertné"/>
    <d v="2018-07-25T00:00:00"/>
    <d v="2025-07-15T00:00:00"/>
    <n v="400000"/>
    <m/>
    <n v="6"/>
    <s v="Férfi"/>
    <n v="400000"/>
    <s v="kormendi.bence.m@gmail.com"/>
    <s v="Boros Krisztina"/>
    <n v="6"/>
    <s v="Passzív"/>
    <n v="6"/>
    <n v="6"/>
    <s v="magyar"/>
    <m/>
  </r>
  <r>
    <s v="Soós Bence"/>
    <s v="K2Y9JW"/>
    <s v="Aktív"/>
    <s v="osztatlan tanári [11 félév [testnevelő tanár; gyógytestnevelő-egészségfejlesztő tanár]]"/>
    <x v="8"/>
    <s v="osztatlan tanárképzés"/>
    <s v="TKK-OTAK-NOHU"/>
    <s v="Sopron"/>
    <s v="Győr-Moson-Sopron"/>
    <s v="Soós Bence"/>
    <s v="Magyarország"/>
    <d v="1999-03-11T00:00:00"/>
    <s v="T138468/FI80798"/>
    <x v="5"/>
    <s v="Állami ösztöndíjas"/>
    <s v="2018/19/1"/>
    <s v="Nappali"/>
    <n v="7"/>
    <n v="1"/>
    <s v="2021/22/2"/>
    <n v="10"/>
    <s v="79775590892"/>
    <n v="11"/>
    <x v="3"/>
    <m/>
    <m/>
    <m/>
    <m/>
    <s v="Képzésváltás intézményen belül"/>
    <d v="2018-09-06T00:00:00"/>
    <m/>
    <s v="BDPK-SEK"/>
    <s v="Eke Norbertné"/>
    <d v="2018-07-25T00:00:00"/>
    <d v="2024-01-30T00:00:00"/>
    <n v="400000"/>
    <m/>
    <n v="7"/>
    <s v="Férfi"/>
    <n v="400000"/>
    <s v="soosbence219@gmail.com"/>
    <s v="Pölcz Erika"/>
    <n v="8"/>
    <s v="Aktív"/>
    <n v="8"/>
    <n v="8"/>
    <s v="magyar"/>
    <m/>
  </r>
  <r>
    <s v="Tasnádi Renáta"/>
    <s v="SCDYJ2"/>
    <s v="Aktív"/>
    <s v="osztatlan tanári [11 félév [testnevelő tanár; gyógytestnevelő-egészségfejlesztő tanár]]"/>
    <x v="8"/>
    <s v="osztatlan tanárképzés"/>
    <s v="TKK-OTAK-NOHU"/>
    <s v="Zalaegerszeg"/>
    <s v="Zala"/>
    <s v="Tasnádi Renáta"/>
    <s v="Magyarország"/>
    <d v="1997-06-27T00:00:00"/>
    <s v="T135194/FI80798"/>
    <x v="5"/>
    <s v="Állami ösztöndíjas"/>
    <s v="2018/19/1"/>
    <s v="Nappali"/>
    <n v="7"/>
    <n v="1"/>
    <s v="2021/22/2"/>
    <n v="10"/>
    <s v="76118399387"/>
    <n v="11"/>
    <x v="3"/>
    <m/>
    <m/>
    <m/>
    <m/>
    <s v="Képzésváltás intézményen belül"/>
    <d v="2018-09-06T00:00:00"/>
    <m/>
    <s v="BDPK-SEK"/>
    <s v="Eke Norbertné"/>
    <d v="2018-07-25T00:00:00"/>
    <d v="2024-01-30T00:00:00"/>
    <n v="400000"/>
    <m/>
    <n v="7"/>
    <s v="Nő"/>
    <n v="400000"/>
    <s v="renata.tasnadi@gmail.com"/>
    <s v="Fehér Gyöngyi"/>
    <n v="8"/>
    <s v="Aktív"/>
    <n v="8"/>
    <n v="8"/>
    <s v="magyar"/>
    <m/>
  </r>
  <r>
    <s v="Valaczka Viktória Andrea"/>
    <s v="UEKLN0"/>
    <s v="Aktív"/>
    <s v="osztatlan tanári [11 félév [testnevelő tanár; gyógytestnevelő-egészségfejlesztő tanár]]"/>
    <x v="8"/>
    <s v="osztatlan tanárképzés"/>
    <s v="TKK-OTAK-NOHU"/>
    <s v="Szabadszállás"/>
    <s v="Bács-Kiskun"/>
    <s v="Valaczka Viktória Andrea"/>
    <s v="Magyarország"/>
    <d v="1998-06-20T00:00:00"/>
    <s v="T137445/FI80798"/>
    <x v="5"/>
    <s v="Állami ösztöndíjas"/>
    <s v="2018/19/1"/>
    <s v="Nappali"/>
    <n v="6"/>
    <n v="1"/>
    <s v="2021/22/2"/>
    <n v="10"/>
    <s v="72813527495"/>
    <n v="11"/>
    <x v="3"/>
    <m/>
    <m/>
    <m/>
    <m/>
    <s v="Képzésváltás intézményen belül"/>
    <d v="2021-09-01T00:00:00"/>
    <m/>
    <s v="BDPK-SEK"/>
    <s v="Eke Norbertné"/>
    <d v="2018-07-25T00:00:00"/>
    <d v="2024-01-31T00:00:00"/>
    <n v="500000"/>
    <m/>
    <n v="1"/>
    <s v="Nő"/>
    <n v="500000"/>
    <s v="v.v.andrea1998@gmail.com"/>
    <s v="Mudra Veronika"/>
    <n v="2"/>
    <s v="Aktív"/>
    <n v="2"/>
    <n v="8"/>
    <s v="magyar"/>
    <m/>
  </r>
  <r>
    <s v="Imre Dániel"/>
    <s v="CJMIIR"/>
    <s v="Aktív"/>
    <s v="osztatlan tanári [11 félév [testnevelő tanár; gyógytestnevelő-egészségfejlesztő tanár]]"/>
    <x v="8"/>
    <s v="osztatlan tanárképzés"/>
    <s v="TKK-OTAK-NOHU"/>
    <s v="Székesfehérvár"/>
    <s v="Fejér"/>
    <s v="Imre Dániel"/>
    <s v="Magyarország"/>
    <d v="1997-12-12T00:00:00"/>
    <s v="T128103/FI80798"/>
    <x v="5"/>
    <s v="Állami ösztöndíjas"/>
    <s v="2017/18/1"/>
    <s v="Nappali"/>
    <n v="5"/>
    <n v="1"/>
    <s v="2021/22/2"/>
    <n v="10"/>
    <s v="72266576628"/>
    <n v="11"/>
    <x v="3"/>
    <m/>
    <m/>
    <m/>
    <m/>
    <s v="Képzésváltás intézményen belül"/>
    <d v="2019-09-14T00:00:00"/>
    <m/>
    <s v="BDPK-SEK"/>
    <s v="Eke Norbertné"/>
    <d v="2017-07-27T00:00:00"/>
    <d v="2023-01-31T00:00:00"/>
    <n v="500000"/>
    <m/>
    <n v="5"/>
    <s v="Férfi"/>
    <n v="500000"/>
    <s v="ImreDani1211@gmail.com"/>
    <s v="Eszényi Beáta"/>
    <n v="6"/>
    <s v="Aktív"/>
    <n v="6"/>
    <n v="10"/>
    <s v="magyar"/>
    <m/>
  </r>
  <r>
    <s v="Koller Domonkos"/>
    <s v="DJDI3K"/>
    <s v="Aktív"/>
    <s v="osztatlan tanári [11 félév [testnevelő tanár; gyógytestnevelő-egészségfejlesztő tanár]]"/>
    <x v="8"/>
    <s v="osztatlan tanárképzés"/>
    <s v="TKK-OTAK-NOHU"/>
    <s v="Szombathely"/>
    <s v="Vas"/>
    <s v="Koller Domonkos"/>
    <s v="Magyarország"/>
    <d v="1999-03-24T00:00:00"/>
    <s v="T139634/FI80798"/>
    <x v="5"/>
    <s v="Állami ösztöndíjas"/>
    <s v="2018/19/1"/>
    <s v="Nappali"/>
    <n v="7"/>
    <n v="1"/>
    <s v="2021/22/2"/>
    <n v="10"/>
    <s v="72870934284"/>
    <n v="11"/>
    <x v="3"/>
    <m/>
    <m/>
    <m/>
    <m/>
    <s v="Képzésváltás intézményen belül"/>
    <d v="2018-09-06T00:00:00"/>
    <m/>
    <s v="BDPK-SEK"/>
    <s v="Eke Norbertné"/>
    <d v="2018-07-25T00:00:00"/>
    <d v="2024-01-30T00:00:00"/>
    <n v="400000"/>
    <m/>
    <n v="7"/>
    <s v="Férfi"/>
    <n v="400000"/>
    <s v="kollerdomonkos99@gmail.com"/>
    <s v="Dani Magdolna"/>
    <n v="8"/>
    <s v="Aktív"/>
    <n v="8"/>
    <n v="8"/>
    <s v="magyar"/>
    <m/>
  </r>
  <r>
    <s v="Komáromi Ákos"/>
    <s v="KJI56D"/>
    <s v="Aktív"/>
    <s v="osztatlan tanári [11 félév [testnevelő tanár; gyógytestnevelő-egészségfejlesztő tanár]]"/>
    <x v="8"/>
    <s v="osztatlan tanárképzés"/>
    <s v="TKK-OTAK-NOHU"/>
    <s v="Szombathely"/>
    <s v="Vas"/>
    <s v="Komáromi Ákos"/>
    <s v="Magyarország"/>
    <d v="1997-07-23T00:00:00"/>
    <s v="T140488/FI80798"/>
    <x v="5"/>
    <s v="Állami ösztöndíjas"/>
    <s v="2018/19/1"/>
    <s v="Nappali"/>
    <n v="7"/>
    <n v="1"/>
    <s v="2021/22/2"/>
    <n v="10"/>
    <s v="75291820604"/>
    <n v="11"/>
    <x v="3"/>
    <m/>
    <m/>
    <m/>
    <m/>
    <s v="Képzésváltás intézményen belül"/>
    <d v="2018-09-06T00:00:00"/>
    <m/>
    <s v="BDPK-SEK"/>
    <s v="Eke Norbertné"/>
    <d v="2018-07-25T00:00:00"/>
    <d v="2024-01-30T00:00:00"/>
    <n v="400000"/>
    <m/>
    <n v="7"/>
    <s v="Férfi"/>
    <n v="400000"/>
    <s v="komaromiaki7@hotmail.com"/>
    <s v="Kapustka Lívia"/>
    <n v="8"/>
    <s v="Aktív"/>
    <n v="8"/>
    <n v="8"/>
    <s v="magyar"/>
    <m/>
  </r>
  <r>
    <s v="Polgár Dóra"/>
    <s v="G1BFIB"/>
    <s v="Aktív"/>
    <s v="osztatlan tanári [11 félév [testnevelő tanár; gyógytestnevelő-egészségfejlesztő tanár]]"/>
    <x v="8"/>
    <s v="osztatlan tanárképzés"/>
    <s v="TKK-OTAK-NOHU"/>
    <s v="Tatabánya"/>
    <s v="Komárom-Esztergom"/>
    <s v="Polgár Dóra"/>
    <s v="Magyarország"/>
    <d v="1997-09-09T00:00:00"/>
    <s v="T136013/FI80798"/>
    <x v="5"/>
    <s v="Állami ösztöndíjas"/>
    <s v="2018/19/1"/>
    <s v="Nappali"/>
    <n v="6"/>
    <n v="1"/>
    <s v="2021/22/2"/>
    <n v="10"/>
    <s v="75599034979"/>
    <n v="11"/>
    <x v="3"/>
    <m/>
    <m/>
    <m/>
    <m/>
    <s v="Képzésváltás intézményen belül"/>
    <d v="2019-07-24T00:00:00"/>
    <m/>
    <s v="BDPK-SEK"/>
    <s v="Eke Norbertné"/>
    <d v="2018-07-25T00:00:00"/>
    <d v="2024-01-31T00:00:00"/>
    <n v="500000"/>
    <m/>
    <n v="5"/>
    <s v="Nő"/>
    <n v="500000"/>
    <s v="polgar.dora1997@gmail.com"/>
    <s v="Kránicz Katalin"/>
    <n v="6"/>
    <s v="Aktív"/>
    <n v="6"/>
    <n v="8"/>
    <s v="magyar"/>
    <m/>
  </r>
  <r>
    <s v="Szenner Szabina"/>
    <s v="A3YOG8"/>
    <s v="Aktív"/>
    <s v="osztatlan tanári [11 félév [testnevelő tanár; gyógytestnevelő-egészségfejlesztő tanár]]"/>
    <x v="8"/>
    <s v="osztatlan tanárképzés"/>
    <s v="TKK-OTAK-NOHU"/>
    <s v="Pécs"/>
    <s v="Baranya"/>
    <s v="Szenner Szabina"/>
    <s v="Magyarország"/>
    <d v="1998-05-21T00:00:00"/>
    <s v="T143293/FI80798"/>
    <x v="5"/>
    <s v="Állami ösztöndíjas"/>
    <s v="2018/19/1"/>
    <s v="Nappali"/>
    <n v="9"/>
    <n v="1"/>
    <s v="2021/22/2"/>
    <n v="10"/>
    <s v="72785783129"/>
    <n v="11"/>
    <x v="3"/>
    <m/>
    <m/>
    <m/>
    <m/>
    <s v="Képzésváltás intézményen belül"/>
    <d v="2019-09-14T00:00:00"/>
    <m/>
    <s v="BDPK-SEK"/>
    <s v="Eke Norbertné"/>
    <d v="2018-07-25T00:00:00"/>
    <d v="2025-01-31T00:00:00"/>
    <n v="500000"/>
    <m/>
    <n v="5"/>
    <s v="Nő"/>
    <n v="500000"/>
    <s v="szasza.szenner@gmail.com"/>
    <s v="Szilasi Rita"/>
    <n v="6"/>
    <s v="Aktív"/>
    <n v="6"/>
    <n v="6"/>
    <s v="magyar"/>
    <m/>
  </r>
  <r>
    <s v="Tóth Enikő"/>
    <s v="Y2URTC"/>
    <s v="Aktív"/>
    <s v="osztatlan tanári [11 félév [testnevelő tanár; gyógytestnevelő-egészségfejlesztő tanár]]"/>
    <x v="8"/>
    <s v="osztatlan tanárképzés"/>
    <s v="TKK-OTAK-NOHU"/>
    <s v="Sopron"/>
    <s v="Győr-Moson-Sopron"/>
    <s v="Tóth Enikő"/>
    <s v="Magyarország"/>
    <d v="1999-08-10T00:00:00"/>
    <s v="T138162/FI80798"/>
    <x v="5"/>
    <s v="Állami ösztöndíjas"/>
    <s v="2018/19/1"/>
    <s v="Nappali"/>
    <n v="7"/>
    <n v="1"/>
    <s v="2021/22/2"/>
    <n v="10"/>
    <s v="77720284571"/>
    <n v="11"/>
    <x v="3"/>
    <m/>
    <m/>
    <m/>
    <m/>
    <s v="Képzésváltás intézményen belül"/>
    <d v="2018-09-06T00:00:00"/>
    <m/>
    <s v="BDPK-SEK"/>
    <s v="Eke Norbertné"/>
    <d v="2018-07-25T00:00:00"/>
    <d v="2024-01-31T00:00:00"/>
    <n v="400000"/>
    <m/>
    <n v="7"/>
    <s v="Nő"/>
    <n v="400000"/>
    <s v="enikoe1999@gmail.com"/>
    <s v="Egresits Éva Borbála"/>
    <n v="8"/>
    <s v="Aktív"/>
    <n v="8"/>
    <n v="8"/>
    <s v="magyar"/>
    <m/>
  </r>
  <r>
    <s v="Wágner Péter"/>
    <s v="EYWYJN"/>
    <s v="Aktív"/>
    <s v="osztatlan tanári [11 félév [testnevelő tanár; gyógytestnevelő-egészségfejlesztő tanár]]"/>
    <x v="8"/>
    <s v="osztatlan tanárképzés"/>
    <s v="TKK-OTAK-NOHU"/>
    <s v="Szombathely"/>
    <s v="Vas"/>
    <s v="Wágner Péter"/>
    <s v="Magyarország"/>
    <d v="1997-06-04T00:00:00"/>
    <s v="T190653/FI80798"/>
    <x v="5"/>
    <s v="Állami ösztöndíjas"/>
    <s v="2021/22/1"/>
    <s v="Nappali"/>
    <n v="11"/>
    <n v="1"/>
    <s v="2021/22/2"/>
    <n v="10"/>
    <s v="73180640559"/>
    <n v="11"/>
    <x v="3"/>
    <m/>
    <m/>
    <m/>
    <m/>
    <s v="Képzésváltás intézményen belül"/>
    <d v="2021-09-13T00:00:00"/>
    <m/>
    <s v="BDPK-SEK"/>
    <s v="Eke Norbertné"/>
    <d v="2021-07-23T00:00:00"/>
    <d v="2027-01-31T00:00:00"/>
    <n v="500000"/>
    <m/>
    <n v="2"/>
    <s v="Férfi"/>
    <n v="500000"/>
    <s v="wag9706@gmail.com"/>
    <s v="Szakos Éva"/>
    <n v="2"/>
    <s v="Aktív"/>
    <n v="2"/>
    <n v="2"/>
    <s v="magyar"/>
    <m/>
  </r>
  <r>
    <s v="Varga Richárd"/>
    <s v="X52PAM"/>
    <s v="Aktív"/>
    <s v="osztatlan tanári [11 félév [testnevelő tanár; gyógytestnevelő-egészségfejlesztő tanár]]"/>
    <x v="8"/>
    <s v="osztatlan tanárképzés"/>
    <s v="TKK-OTAK-NOHU"/>
    <s v="Mosonmagyaróvár"/>
    <s v="Győr-Moson-Sopron"/>
    <s v="Varga Richárd"/>
    <s v="Magyarország"/>
    <d v="2000-04-06T00:00:00"/>
    <s v="T147439/FI80798"/>
    <x v="5"/>
    <s v="Állami ösztöndíjas"/>
    <s v="2018/19/1"/>
    <s v="Nappali"/>
    <n v="7"/>
    <n v="1"/>
    <s v="2021/22/2"/>
    <n v="10"/>
    <s v="77767943152"/>
    <n v="11"/>
    <x v="3"/>
    <m/>
    <m/>
    <m/>
    <m/>
    <s v="Képzésváltás intézményen belül"/>
    <d v="2019-07-05T00:00:00"/>
    <m/>
    <s v="BDPK-SEK"/>
    <s v="Eke Norbertné"/>
    <d v="2018-07-25T00:00:00"/>
    <d v="2024-01-31T00:00:00"/>
    <n v="500000"/>
    <m/>
    <n v="5"/>
    <s v="Férfi"/>
    <n v="500000"/>
    <s v="vargaricsi99@gmail.com"/>
    <s v="Jánó Viktória"/>
    <n v="6"/>
    <s v="Aktív"/>
    <n v="6"/>
    <n v="8"/>
    <s v="magyar"/>
    <m/>
  </r>
  <r>
    <s v="Csiznier Nikolett"/>
    <s v="EQBLEH"/>
    <s v="Aktív"/>
    <s v="osztatlan tanári [11 félév [testnevelő tanár; gyógytestnevelő-egészségfejlesztő tanár]]"/>
    <x v="8"/>
    <s v="osztatlan tanárképzés"/>
    <s v="TKK-OTAK-NOHU"/>
    <s v="Budapest"/>
    <s v="Budapest"/>
    <s v="Csiznier Nikolett"/>
    <s v="Magyarország"/>
    <d v="2000-05-07T00:00:00"/>
    <s v="T135077/FI80798"/>
    <x v="5"/>
    <s v="Állami ösztöndíjas"/>
    <s v="2018/19/1"/>
    <s v="Nappali"/>
    <n v="7"/>
    <n v="1"/>
    <s v="2021/22/2"/>
    <n v="10"/>
    <s v="71663017750"/>
    <n v="11"/>
    <x v="3"/>
    <m/>
    <m/>
    <m/>
    <m/>
    <s v="Képzésváltás intézményen belül"/>
    <d v="2018-09-06T00:00:00"/>
    <m/>
    <s v="BDPK-SEK"/>
    <s v="Eke Norbertné"/>
    <d v="2018-07-25T00:00:00"/>
    <d v="2024-01-30T00:00:00"/>
    <n v="400000"/>
    <m/>
    <n v="7"/>
    <s v="Nő"/>
    <n v="400000"/>
    <s v="nikicsizi@gmail.com"/>
    <s v="Wloch Viktória"/>
    <n v="8"/>
    <s v="Aktív"/>
    <n v="8"/>
    <n v="8"/>
    <s v="magyar"/>
    <m/>
  </r>
  <r>
    <s v="Major Norbert"/>
    <s v="P0MVPU"/>
    <s v="Aktív"/>
    <s v="osztatlan tanári [11 félév [testnevelő tanár; gyógytestnevelő-egészségfejlesztő tanár]]"/>
    <x v="8"/>
    <s v="osztatlan tanárképzés"/>
    <s v="TKK-OTAK-NOHU"/>
    <s v="Sopron"/>
    <s v="Győr-Moson-Sopron"/>
    <s v="Major Norbert"/>
    <s v="Magyarország"/>
    <d v="1997-06-30T00:00:00"/>
    <s v="T135401/FI80798"/>
    <x v="5"/>
    <s v="Állami ösztöndíjas"/>
    <s v="2018/19/1"/>
    <s v="Nappali"/>
    <n v="7"/>
    <n v="1"/>
    <s v="2021/22/2"/>
    <n v="10"/>
    <s v="73214870830"/>
    <n v="11"/>
    <x v="3"/>
    <m/>
    <m/>
    <m/>
    <m/>
    <s v="Képzésváltás intézményen belül"/>
    <d v="2018-09-06T00:00:00"/>
    <m/>
    <s v="BDPK-SEK"/>
    <s v="Eke Norbertné"/>
    <d v="2018-07-25T00:00:00"/>
    <d v="2024-01-30T00:00:00"/>
    <n v="400000"/>
    <m/>
    <n v="7"/>
    <s v="Férfi"/>
    <n v="400000"/>
    <s v="norrys1997@gmail.com"/>
    <s v="Füzi Blanka"/>
    <n v="8"/>
    <s v="Aktív"/>
    <n v="8"/>
    <n v="8"/>
    <s v="magyar"/>
    <m/>
  </r>
  <r>
    <s v="Dévai Boglárka"/>
    <s v="WSJB08"/>
    <s v="Aktív"/>
    <s v="osztatlan tanári [11 félév [testnevelő tanár; gyógytestnevelő-egészségfejlesztő tanár]]"/>
    <x v="8"/>
    <s v="osztatlan tanárképzés"/>
    <s v="TKK-OTAK-NOHU"/>
    <s v="Szombathely"/>
    <s v="Vas"/>
    <s v="Dévai Boglárka"/>
    <s v="Magyarország"/>
    <d v="1999-11-12T00:00:00"/>
    <s v="T143956/FI80798"/>
    <x v="5"/>
    <s v="Állami ösztöndíjas"/>
    <s v="2018/19/1"/>
    <s v="Nappali"/>
    <n v="9"/>
    <n v="1"/>
    <s v="2021/22/2"/>
    <n v="10"/>
    <s v="72627250715"/>
    <n v="11"/>
    <x v="3"/>
    <m/>
    <m/>
    <m/>
    <m/>
    <s v="Képzésváltás intézményen belül"/>
    <d v="2019-09-14T00:00:00"/>
    <m/>
    <s v="BDPK-SEK"/>
    <s v="Eke Norbertné"/>
    <d v="2018-07-25T00:00:00"/>
    <d v="2025-01-31T00:00:00"/>
    <n v="500000"/>
    <m/>
    <n v="5"/>
    <s v="Nő"/>
    <n v="500000"/>
    <s v="bogi.devai@gmail.com"/>
    <s v="Kovács Krisztina"/>
    <n v="6"/>
    <s v="Aktív"/>
    <n v="6"/>
    <n v="6"/>
    <s v="magyar"/>
    <m/>
  </r>
  <r>
    <s v="Dombi Richárd"/>
    <s v="B21OYN"/>
    <s v="Aktív"/>
    <s v="osztatlan tanári [11 félév [testnevelő tanár; gyógytestnevelő-egészségfejlesztő tanár]]"/>
    <x v="8"/>
    <s v="osztatlan tanárképzés"/>
    <s v="TKK-OTAK-NOHU"/>
    <s v="Győr"/>
    <s v="Győr-Moson-Sopron"/>
    <s v="Dombi Richárd"/>
    <s v="Magyarország"/>
    <d v="1999-07-10T00:00:00"/>
    <s v="T135829/FI80798"/>
    <x v="5"/>
    <s v="Állami ösztöndíjas"/>
    <s v="2018/19/1"/>
    <s v="Nappali"/>
    <n v="7"/>
    <n v="1"/>
    <s v="2021/22/2"/>
    <n v="10"/>
    <s v="74764809263"/>
    <n v="11"/>
    <x v="3"/>
    <m/>
    <m/>
    <m/>
    <m/>
    <s v="Képzésváltás intézményen belül"/>
    <d v="2018-09-06T00:00:00"/>
    <m/>
    <s v="BDPK-SEK"/>
    <s v="Eke Norbertné"/>
    <d v="2018-07-25T00:00:00"/>
    <d v="2024-01-30T00:00:00"/>
    <n v="400000"/>
    <m/>
    <n v="7"/>
    <s v="Férfi"/>
    <n v="400000"/>
    <s v="dombiricsi1999@gmail.com"/>
    <s v="Horváth Orsolya Anna"/>
    <n v="8"/>
    <s v="Aktív"/>
    <n v="8"/>
    <n v="8"/>
    <s v="magyar"/>
    <m/>
  </r>
  <r>
    <s v="Gál Petra"/>
    <s v="L5P0CS"/>
    <s v="Aktív"/>
    <s v="osztatlan tanári [11 félév [testnevelő tanár; gyógytestnevelő-egészségfejlesztő tanár]]"/>
    <x v="8"/>
    <s v="osztatlan tanárképzés"/>
    <s v="TKK-OTAK-NOHU"/>
    <s v="Sopron"/>
    <s v="Győr-Moson-Sopron"/>
    <s v="Gál Petra"/>
    <s v="Magyarország"/>
    <d v="1999-10-09T00:00:00"/>
    <s v="T140575/FI80798"/>
    <x v="5"/>
    <s v="Állami ösztöndíjas"/>
    <s v="2018/19/1"/>
    <s v="Nappali"/>
    <n v="7"/>
    <n v="1"/>
    <s v="2021/22/2"/>
    <n v="10"/>
    <s v="71886871290"/>
    <n v="11"/>
    <x v="3"/>
    <m/>
    <m/>
    <m/>
    <m/>
    <s v="Képzésváltás intézményen belül"/>
    <d v="2018-09-06T00:00:00"/>
    <m/>
    <s v="BDPK-SEK"/>
    <s v="Eke Norbertné"/>
    <d v="2018-07-25T00:00:00"/>
    <d v="2024-01-30T00:00:00"/>
    <n v="400000"/>
    <m/>
    <n v="7"/>
    <s v="Nő"/>
    <n v="400000"/>
    <s v="galpetraaa@gmail.com"/>
    <s v="Gazda Patrícia"/>
    <n v="8"/>
    <s v="Aktív"/>
    <n v="8"/>
    <n v="8"/>
    <s v="magyar"/>
    <m/>
  </r>
  <r>
    <s v="Demcsik Máté"/>
    <s v="JLUBQ1"/>
    <s v="Aktív"/>
    <s v="osztatlan tanári [11 félév [testnevelő tanár; gyógytestnevelő-egészségfejlesztő tanár]]"/>
    <x v="8"/>
    <s v="osztatlan tanárképzés"/>
    <s v="TKK-OTAK-NOHU"/>
    <s v="Sopron"/>
    <s v="Győr-Moson-Sopron"/>
    <s v="Demcsik Máté"/>
    <s v="Magyarország"/>
    <d v="1999-12-07T00:00:00"/>
    <s v="T148634/FI80798"/>
    <x v="5"/>
    <s v="Állami ösztöndíjas"/>
    <s v="2019/20/1"/>
    <s v="Nappali"/>
    <n v="10"/>
    <n v="2"/>
    <s v="2021/22/2"/>
    <n v="10"/>
    <s v="73406291169"/>
    <n v="11"/>
    <x v="3"/>
    <m/>
    <m/>
    <m/>
    <m/>
    <s v="Képzésváltás intézményen belül"/>
    <d v="2019-09-14T00:00:00"/>
    <m/>
    <s v="BDPK-SEK"/>
    <s v="Eke Norbertné"/>
    <d v="2019-07-24T00:00:00"/>
    <d v="2025-01-31T00:00:00"/>
    <n v="500000"/>
    <m/>
    <n v="3"/>
    <s v="Férfi"/>
    <n v="500000"/>
    <s v="demcsik.mate99@gmail.com"/>
    <s v="Tasnádi Krisztina"/>
    <n v="6"/>
    <s v="Aktív"/>
    <n v="4"/>
    <n v="6"/>
    <s v="magyar"/>
    <m/>
  </r>
  <r>
    <s v="Szabó Martin"/>
    <s v="COX4UY"/>
    <s v="Aktív"/>
    <s v="osztatlan tanári [11 félév [testnevelő tanár; gyógytestnevelő-egészségfejlesztő tanár]]"/>
    <x v="8"/>
    <s v="osztatlan tanárképzés"/>
    <s v="TKK-OTAK-NOHU"/>
    <s v="Zalaegerszeg"/>
    <s v="Zala"/>
    <s v="Szabó Martin"/>
    <s v="Magyarország"/>
    <d v="1999-12-31T00:00:00"/>
    <s v="T156827/FI80798"/>
    <x v="5"/>
    <s v="Állami ösztöndíjas"/>
    <s v="2019/20/1"/>
    <s v="Nappali"/>
    <n v="9"/>
    <n v="1"/>
    <s v="2021/22/2"/>
    <n v="10"/>
    <s v="77685589502"/>
    <n v="11"/>
    <x v="3"/>
    <m/>
    <m/>
    <m/>
    <m/>
    <s v="Képzésváltás intézményen belül"/>
    <d v="2019-09-14T00:00:00"/>
    <m/>
    <s v="BDPK-SEK"/>
    <s v="Eke Norbertné"/>
    <d v="2019-07-24T00:00:00"/>
    <d v="2025-01-31T00:00:00"/>
    <n v="500000"/>
    <m/>
    <n v="5"/>
    <s v="Férfi"/>
    <n v="500000"/>
    <s v="szabomartin99@gmail.com"/>
    <s v="Kovács Bernadett"/>
    <n v="6"/>
    <s v="Aktív"/>
    <n v="6"/>
    <n v="6"/>
    <s v="magyar"/>
    <m/>
  </r>
  <r>
    <s v="Kerkai Alex"/>
    <s v="HXPRC2"/>
    <s v="Aktív"/>
    <s v="osztatlan tanári [11 félév [testnevelő tanár; gyógytestnevelő-egészségfejlesztő tanár]]"/>
    <x v="8"/>
    <s v="osztatlan tanárképzés"/>
    <s v="TKK-OTAK-NOHU"/>
    <s v="Zalaegerszeg"/>
    <s v="Zala"/>
    <s v="Kerkai Alex"/>
    <s v="Magyarország"/>
    <d v="2000-07-01T00:00:00"/>
    <s v="T152740/FI80798"/>
    <x v="5"/>
    <s v="Állami ösztöndíjas"/>
    <s v="2019/20/1"/>
    <s v="Nappali"/>
    <n v="9"/>
    <n v="1"/>
    <s v="2021/22/2"/>
    <n v="10"/>
    <s v="75142091562"/>
    <n v="11"/>
    <x v="3"/>
    <m/>
    <m/>
    <m/>
    <m/>
    <s v="Képzésváltás intézményen belül"/>
    <d v="2019-09-14T00:00:00"/>
    <m/>
    <s v="BDPK-SEK"/>
    <s v="Eke Norbertné"/>
    <d v="2019-07-24T00:00:00"/>
    <d v="2025-01-31T00:00:00"/>
    <n v="500000"/>
    <m/>
    <n v="5"/>
    <s v="Férfi"/>
    <n v="500000"/>
    <s v="kerkaialex@citromail.hu"/>
    <s v="Böröndi Csilla"/>
    <n v="6"/>
    <s v="Aktív"/>
    <n v="6"/>
    <n v="6"/>
    <s v="magyar"/>
    <m/>
  </r>
  <r>
    <s v="Kovács Márton"/>
    <s v="CTEP0V"/>
    <s v="Aktív"/>
    <s v="osztatlan tanári [11 félév [testnevelő tanár; gyógytestnevelő-egészségfejlesztő tanár]]"/>
    <x v="8"/>
    <s v="osztatlan tanárképzés"/>
    <s v="TKK-OTAK-NOHU"/>
    <s v="Nagykanizsa"/>
    <s v="Zala"/>
    <s v="Kovács Márton"/>
    <s v="Magyarország"/>
    <d v="2000-11-18T00:00:00"/>
    <s v="T152881/FI80798"/>
    <x v="5"/>
    <s v="Állami ösztöndíjas"/>
    <s v="2019/20/1"/>
    <s v="Nappali"/>
    <n v="9"/>
    <n v="1"/>
    <s v="2021/22/2"/>
    <n v="10"/>
    <s v="78893102752"/>
    <n v="11"/>
    <x v="3"/>
    <m/>
    <m/>
    <m/>
    <m/>
    <s v="Képzésváltás intézményen belül"/>
    <d v="2019-09-14T00:00:00"/>
    <m/>
    <s v="BDPK-SEK"/>
    <s v="Eke Norbertné"/>
    <d v="2019-07-24T00:00:00"/>
    <d v="2025-01-31T00:00:00"/>
    <n v="500000"/>
    <m/>
    <n v="5"/>
    <s v="Férfi"/>
    <n v="500000"/>
    <s v="kovacsmarci00@gmail.com"/>
    <s v="Tóth Beáta"/>
    <n v="6"/>
    <s v="Aktív"/>
    <n v="6"/>
    <n v="6"/>
    <s v="magyar"/>
    <m/>
  </r>
  <r>
    <s v="Fodróczy Márk"/>
    <s v="XM785J"/>
    <s v="Aktív"/>
    <s v="osztatlan tanári [11 félév [testnevelő tanár; gyógytestnevelő-egészségfejlesztő tanár]]"/>
    <x v="8"/>
    <s v="osztatlan tanárképzés"/>
    <s v="TKK-OTAK-NOHU"/>
    <s v="Sopron"/>
    <s v="Győr-Moson-Sopron"/>
    <s v="Fodróczy Márk"/>
    <s v="Magyarország"/>
    <d v="1999-01-19T00:00:00"/>
    <s v="T148748/FI80798"/>
    <x v="5"/>
    <s v="Állami ösztöndíjas"/>
    <s v="2019/20/1"/>
    <s v="Nappali"/>
    <n v="9"/>
    <n v="1"/>
    <s v="2021/22/2"/>
    <n v="10"/>
    <s v="76628298505"/>
    <n v="11"/>
    <x v="3"/>
    <m/>
    <m/>
    <m/>
    <m/>
    <s v="Képzésváltás intézményen belül"/>
    <d v="2019-09-14T00:00:00"/>
    <m/>
    <s v="BDPK-SEK"/>
    <s v="Eke Norbertné"/>
    <d v="2019-07-24T00:00:00"/>
    <d v="2025-01-31T00:00:00"/>
    <n v="500000"/>
    <m/>
    <n v="5"/>
    <s v="Férfi"/>
    <n v="500000"/>
    <s v="fodek0119@icloud.com"/>
    <s v="Fersli Valéria"/>
    <n v="6"/>
    <s v="Aktív"/>
    <n v="6"/>
    <n v="6"/>
    <s v="magyar"/>
    <m/>
  </r>
  <r>
    <s v="Papp Bence"/>
    <s v="CDL45A"/>
    <s v="Aktív"/>
    <s v="osztatlan tanári [11 félév [testnevelő tanár; gyógytestnevelő-egészségfejlesztő tanár]]"/>
    <x v="8"/>
    <s v="osztatlan tanárképzés"/>
    <s v="TKK-OTAK-NOHU"/>
    <s v="Dombóvár"/>
    <s v="Tolna"/>
    <s v="Papp Bence"/>
    <s v="Magyarország"/>
    <d v="1999-04-02T00:00:00"/>
    <s v="T156839/FI80798"/>
    <x v="5"/>
    <s v="Állami ösztöndíjas"/>
    <s v="2019/20/1"/>
    <s v="Nappali"/>
    <n v="8"/>
    <n v="2"/>
    <s v="2021/22/2"/>
    <n v="10"/>
    <s v="79360316298"/>
    <n v="11"/>
    <x v="3"/>
    <m/>
    <m/>
    <m/>
    <m/>
    <s v="Képzésváltás intézményen belül"/>
    <d v="2019-09-14T00:00:00"/>
    <m/>
    <s v="BDPK-SEK"/>
    <s v="Eke Norbertné"/>
    <d v="2019-07-24T00:00:00"/>
    <d v="2025-01-31T00:00:00"/>
    <n v="500000"/>
    <m/>
    <n v="5"/>
    <s v="Férfi"/>
    <n v="500000"/>
    <s v="xbxxcxx@gmail.com"/>
    <s v="Rajczi Beáta"/>
    <n v="6"/>
    <s v="Aktív"/>
    <n v="6"/>
    <n v="6"/>
    <s v="magyar"/>
    <m/>
  </r>
  <r>
    <s v="Kamondi Péter"/>
    <s v="C97ZL4"/>
    <s v="Aktív"/>
    <s v="osztatlan tanári [11 félév [testnevelő tanár; gyógytestnevelő-egészségfejlesztő tanár]]"/>
    <x v="8"/>
    <s v="osztatlan tanárképzés"/>
    <s v="TKK-OTAK-NOHU"/>
    <s v="Tapolca"/>
    <s v="Veszprém"/>
    <s v="Kamondi Péter"/>
    <s v="Magyarország"/>
    <d v="2000-10-18T00:00:00"/>
    <s v="T148784/FI80798"/>
    <x v="5"/>
    <s v="Állami ösztöndíjas"/>
    <s v="2019/20/1"/>
    <s v="Nappali"/>
    <n v="9"/>
    <n v="1"/>
    <s v="2021/22/2"/>
    <n v="10"/>
    <s v="72113618160"/>
    <n v="11"/>
    <x v="3"/>
    <m/>
    <m/>
    <m/>
    <m/>
    <s v="Képzésváltás intézményen belül"/>
    <d v="2019-09-14T00:00:00"/>
    <m/>
    <s v="BDPK-SEK"/>
    <s v="Eke Norbertné"/>
    <d v="2019-07-24T00:00:00"/>
    <d v="2025-01-31T00:00:00"/>
    <n v="500000"/>
    <m/>
    <n v="5"/>
    <s v="Férfi"/>
    <n v="500000"/>
    <s v="kamondip33@gmail.com"/>
    <s v="Pungor Helga Zsuzsanna"/>
    <n v="6"/>
    <s v="Aktív"/>
    <n v="6"/>
    <n v="6"/>
    <s v="magyar"/>
    <m/>
  </r>
  <r>
    <s v="Sebesi Patrik Lajos"/>
    <s v="NACIGH"/>
    <s v="Aktív"/>
    <s v="osztatlan tanári [11 félév [testnevelő tanár; gyógytestnevelő-egészségfejlesztő tanár]]"/>
    <x v="8"/>
    <s v="osztatlan tanárképzés"/>
    <s v="TKK-OTAK-NOHU"/>
    <s v="Szombathely"/>
    <s v="Vas"/>
    <s v="Sebesi Patrik Lajos"/>
    <s v="Magyarország"/>
    <d v="1999-08-07T00:00:00"/>
    <s v="T148741/FI80798"/>
    <x v="5"/>
    <s v="Állami ösztöndíjas"/>
    <s v="2019/20/1"/>
    <s v="Nappali"/>
    <n v="9"/>
    <n v="1"/>
    <s v="2021/22/2"/>
    <n v="10"/>
    <s v="76402228162"/>
    <n v="11"/>
    <x v="3"/>
    <m/>
    <m/>
    <m/>
    <m/>
    <s v="Képzésváltás intézményen belül"/>
    <d v="2019-09-14T00:00:00"/>
    <m/>
    <s v="BDPK-SEK"/>
    <s v="Eke Norbertné"/>
    <d v="2019-07-24T00:00:00"/>
    <d v="2025-01-31T00:00:00"/>
    <n v="500000"/>
    <m/>
    <n v="5"/>
    <s v="Férfi"/>
    <n v="500000"/>
    <s v="sebesipatrik1999@gmail.com"/>
    <s v="Németh Laura Ilona"/>
    <n v="6"/>
    <s v="Aktív"/>
    <n v="6"/>
    <n v="6"/>
    <s v="magyar"/>
    <m/>
  </r>
  <r>
    <s v="Gordos Bianka"/>
    <s v="F9TUZA"/>
    <s v="Passzív"/>
    <s v="osztatlan tanári [11 félév [testnevelő tanár; gyógytestnevelő-egészségfejlesztő tanár]]"/>
    <x v="8"/>
    <s v="osztatlan tanárképzés"/>
    <s v="TKK-OTAK-NOHU"/>
    <s v="Balassagyarmat"/>
    <s v="Nógrád"/>
    <s v="Gordos Bianka"/>
    <s v="Magyarország"/>
    <d v="2000-03-30T00:00:00"/>
    <s v="T150682/FI80798"/>
    <x v="5"/>
    <s v="Állami ösztöndíjas"/>
    <s v="2019/20/1"/>
    <s v="Nappali"/>
    <n v="11"/>
    <n v="1"/>
    <s v="2020/21/2"/>
    <n v="10"/>
    <s v="78521664900"/>
    <n v="11"/>
    <x v="3"/>
    <m/>
    <m/>
    <m/>
    <m/>
    <s v="Képzésváltás intézményen belül"/>
    <d v="2019-09-14T00:00:00"/>
    <m/>
    <s v="BDPK-SEK"/>
    <s v="Eke Norbertné"/>
    <d v="2019-07-24T00:00:00"/>
    <d v="2026-07-15T00:00:00"/>
    <n v="500000"/>
    <m/>
    <n v="4"/>
    <s v="Nő"/>
    <n v="500000"/>
    <s v="gordosbia@gmail.com"/>
    <s v="Percze Erika"/>
    <n v="4"/>
    <s v="Passzív"/>
    <n v="4"/>
    <n v="4"/>
    <s v="magyar"/>
    <m/>
  </r>
  <r>
    <s v="Góczán Pál"/>
    <s v="GGUOER"/>
    <s v="Aktív"/>
    <s v="osztatlan tanári [11 félév [testnevelő tanár; gyógytestnevelő-egészségfejlesztő tanár]]"/>
    <x v="8"/>
    <s v="osztatlan tanárképzés"/>
    <s v="TKK-OTAK-NOHU"/>
    <s v="Szombathely"/>
    <s v="Vas"/>
    <s v="Góczán Pál"/>
    <s v="Magyarország"/>
    <d v="2000-11-15T00:00:00"/>
    <s v="T148838/FI80798"/>
    <x v="5"/>
    <s v="Állami ösztöndíjas"/>
    <s v="2019/20/1"/>
    <s v="Nappali"/>
    <n v="9"/>
    <n v="1"/>
    <s v="2021/22/2"/>
    <n v="10"/>
    <s v="78327925778"/>
    <n v="11"/>
    <x v="3"/>
    <m/>
    <m/>
    <m/>
    <m/>
    <s v="Képzésváltás intézményen belül"/>
    <d v="2019-09-14T00:00:00"/>
    <m/>
    <s v="BDPK-SEK"/>
    <s v="Eke Norbertné"/>
    <d v="2019-07-24T00:00:00"/>
    <d v="2025-01-31T00:00:00"/>
    <n v="500000"/>
    <m/>
    <n v="5"/>
    <s v="Férfi"/>
    <n v="500000"/>
    <s v="goczan.pali@gmail.com"/>
    <s v="Nardai Anikó"/>
    <n v="6"/>
    <s v="Aktív"/>
    <n v="6"/>
    <n v="6"/>
    <s v="magyar"/>
    <m/>
  </r>
  <r>
    <s v="Haraszti Márk"/>
    <s v="UI5MC4"/>
    <s v="Aktív"/>
    <s v="osztatlan tanári [11 félév [testnevelő tanár; gyógytestnevelő-egészségfejlesztő tanár]]"/>
    <x v="8"/>
    <s v="osztatlan tanárképzés"/>
    <s v="TKK-OTAK-NOHU"/>
    <s v="Budapest"/>
    <s v="Budapest"/>
    <s v="Haraszti Márk"/>
    <s v="Magyarország"/>
    <d v="1999-01-20T00:00:00"/>
    <s v="T150588/FI80798"/>
    <x v="5"/>
    <s v="Állami ösztöndíjas"/>
    <s v="2019/20/1"/>
    <s v="Nappali"/>
    <n v="9"/>
    <n v="1"/>
    <s v="2021/22/2"/>
    <n v="10"/>
    <s v="72144401758"/>
    <n v="11"/>
    <x v="3"/>
    <m/>
    <m/>
    <m/>
    <m/>
    <s v="Képzésváltás intézményen belül"/>
    <d v="2019-09-14T00:00:00"/>
    <m/>
    <s v="BDPK-SEK"/>
    <s v="Eke Norbertné"/>
    <d v="2019-07-24T00:00:00"/>
    <d v="2025-01-31T00:00:00"/>
    <n v="500000"/>
    <m/>
    <n v="5"/>
    <s v="Férfi"/>
    <n v="500000"/>
    <s v="harasztymark@gmail.com"/>
    <s v="Szenzenstein Györgyi Adrienn"/>
    <n v="6"/>
    <s v="Aktív"/>
    <n v="6"/>
    <n v="6"/>
    <s v="magyar"/>
    <m/>
  </r>
  <r>
    <s v="Bauer András"/>
    <s v="NZOAQ0"/>
    <s v="Aktív"/>
    <s v="osztatlan tanári [11 félév [testnevelő tanár; gyógytestnevelő-egészségfejlesztő tanár]]"/>
    <x v="8"/>
    <s v="osztatlan tanárképzés"/>
    <s v="TKK-OTAK-NOHU"/>
    <s v="Siófok"/>
    <s v="Somogy"/>
    <s v="Bauer András"/>
    <s v="Magyarország"/>
    <d v="1999-10-30T00:00:00"/>
    <s v="T151482/FI80798"/>
    <x v="5"/>
    <s v="Állami ösztöndíjas"/>
    <s v="2019/20/1"/>
    <s v="Nappali"/>
    <n v="9"/>
    <n v="1"/>
    <s v="2021/22/2"/>
    <n v="10"/>
    <s v="74066766907"/>
    <n v="11"/>
    <x v="3"/>
    <m/>
    <m/>
    <m/>
    <m/>
    <s v="Képzésváltás intézményen belül"/>
    <d v="2019-09-14T00:00:00"/>
    <m/>
    <s v="BDPK-SEK"/>
    <s v="Eke Norbertné"/>
    <d v="2019-07-24T00:00:00"/>
    <d v="2025-01-31T00:00:00"/>
    <n v="500000"/>
    <m/>
    <n v="5"/>
    <s v="Férfi"/>
    <n v="500000"/>
    <s v="b.a.andris1999@gmail.com"/>
    <s v="Bartos Krisztina"/>
    <n v="6"/>
    <s v="Aktív"/>
    <n v="6"/>
    <n v="6"/>
    <s v="magyar"/>
    <m/>
  </r>
  <r>
    <s v="Cséber Kristóf"/>
    <s v="URY92F"/>
    <s v="Aktív"/>
    <s v="osztatlan tanári [11 félév [testnevelő tanár; gyógytestnevelő-egészségfejlesztő tanár]]"/>
    <x v="8"/>
    <s v="osztatlan tanárképzés"/>
    <s v="TKK-OTAK-NOHU"/>
    <s v="Zalaegerszeg"/>
    <s v="Zala"/>
    <s v="Cséber Kristóf"/>
    <s v="Magyarország"/>
    <d v="1998-06-02T00:00:00"/>
    <s v="T149532/FI80798"/>
    <x v="5"/>
    <s v="Állami ösztöndíjas"/>
    <s v="2019/20/1"/>
    <s v="Nappali"/>
    <n v="7"/>
    <n v="1"/>
    <s v="2021/22/2"/>
    <n v="10"/>
    <s v="77218232995"/>
    <n v="11"/>
    <x v="3"/>
    <m/>
    <m/>
    <m/>
    <m/>
    <s v="Képzésváltás intézményen belül"/>
    <d v="2019-09-14T00:00:00"/>
    <m/>
    <s v="BDPK-SEK"/>
    <s v="Eke Norbertné"/>
    <d v="2019-07-24T00:00:00"/>
    <d v="2025-01-31T00:00:00"/>
    <n v="500000"/>
    <m/>
    <n v="5"/>
    <s v="Férfi"/>
    <n v="500000"/>
    <s v="cseberkristof@gmail.com"/>
    <s v="Varga Zsuzsanna"/>
    <n v="6"/>
    <s v="Aktív"/>
    <n v="6"/>
    <n v="6"/>
    <s v="magyar"/>
    <m/>
  </r>
  <r>
    <s v="Czepek Péter"/>
    <s v="GA9MO1"/>
    <s v="Aktív"/>
    <s v="osztatlan tanári [11 félév [testnevelő tanár; gyógytestnevelő-egészségfejlesztő tanár]]"/>
    <x v="8"/>
    <s v="osztatlan tanárképzés"/>
    <s v="TKK-OTAK-NOHU"/>
    <s v="Ajka"/>
    <s v="Veszprém"/>
    <s v="Czepek Péter"/>
    <s v="Magyarország"/>
    <d v="2000-07-22T00:00:00"/>
    <s v="T153514/FI80798"/>
    <x v="5"/>
    <s v="Állami ösztöndíjas"/>
    <s v="2019/20/1"/>
    <s v="Nappali"/>
    <n v="11"/>
    <n v="1"/>
    <s v="2021/22/2"/>
    <n v="10"/>
    <s v="75050100298"/>
    <n v="11"/>
    <x v="3"/>
    <m/>
    <m/>
    <m/>
    <m/>
    <s v="Képzésváltás intézményen belül"/>
    <d v="2019-09-14T00:00:00"/>
    <m/>
    <s v="BDPK-SEK"/>
    <s v="Eke Norbertné"/>
    <d v="2019-07-24T00:00:00"/>
    <d v="2025-01-31T00:00:00"/>
    <n v="500000"/>
    <m/>
    <n v="3"/>
    <s v="Férfi"/>
    <n v="500000"/>
    <s v="peter.czepek@gmail.com"/>
    <s v="Baráth Anita"/>
    <n v="6"/>
    <s v="Aktív"/>
    <n v="4"/>
    <n v="6"/>
    <s v="magyar"/>
    <m/>
  </r>
  <r>
    <s v="Petrovics Bálint"/>
    <s v="IM2U5N"/>
    <s v="Aktív"/>
    <s v="osztatlan tanári [11 félév [testnevelő tanár; gyógytestnevelő-egészségfejlesztő tanár]]"/>
    <x v="8"/>
    <s v="osztatlan tanárképzés"/>
    <s v="TKK-OTAK-NOHU"/>
    <s v="Körmend"/>
    <s v="Vas"/>
    <s v="Petrovics Bálint"/>
    <s v="Magyarország"/>
    <d v="2000-07-29T00:00:00"/>
    <s v="T154865/FI80798"/>
    <x v="5"/>
    <s v="Állami ösztöndíjas"/>
    <s v="2019/20/1"/>
    <s v="Nappali"/>
    <n v="9"/>
    <n v="1"/>
    <s v="2021/22/2"/>
    <n v="10"/>
    <s v="78649259001"/>
    <n v="11"/>
    <x v="3"/>
    <m/>
    <m/>
    <m/>
    <m/>
    <s v="Képzésváltás intézményen belül"/>
    <d v="2019-09-14T00:00:00"/>
    <m/>
    <s v="BDPK-SEK"/>
    <s v="Eke Norbertné"/>
    <d v="2019-07-24T00:00:00"/>
    <d v="2025-01-31T00:00:00"/>
    <n v="500000"/>
    <m/>
    <n v="5"/>
    <s v="Férfi"/>
    <n v="500000"/>
    <s v="pbalint180@gmail.com"/>
    <s v="Kocsis Eszter"/>
    <n v="6"/>
    <s v="Aktív"/>
    <n v="6"/>
    <n v="6"/>
    <s v="magyar"/>
    <m/>
  </r>
  <r>
    <s v="Horváth András Csaba"/>
    <s v="RXM9YE"/>
    <s v="Aktív"/>
    <s v="osztatlan tanári [11 félév [testnevelő tanár; gyógytestnevelő-egészségfejlesztő tanár]]"/>
    <x v="8"/>
    <s v="osztatlan tanárképzés"/>
    <s v="TKK-OTAK-NOHU"/>
    <s v="Veszprém"/>
    <s v="Veszprém"/>
    <s v="Horváth András Csaba"/>
    <s v="Magyarország"/>
    <d v="1999-08-21T00:00:00"/>
    <s v="T148809/FI80798"/>
    <x v="5"/>
    <s v="Állami ösztöndíjas"/>
    <s v="2019/20/1"/>
    <s v="Nappali"/>
    <n v="9"/>
    <n v="1"/>
    <s v="2021/22/2"/>
    <n v="10"/>
    <s v="74743039024"/>
    <n v="11"/>
    <x v="3"/>
    <m/>
    <m/>
    <m/>
    <m/>
    <s v="Képzésváltás intézményen belül"/>
    <d v="2019-09-14T00:00:00"/>
    <m/>
    <s v="BDPK-SEK"/>
    <s v="Eke Norbertné"/>
    <d v="2019-07-24T00:00:00"/>
    <d v="2025-01-31T00:00:00"/>
    <n v="500000"/>
    <m/>
    <n v="5"/>
    <s v="Férfi"/>
    <n v="500000"/>
    <s v="h.andri.99@gmail.com"/>
    <s v="Bozsó Veronika Katalin"/>
    <n v="6"/>
    <s v="Aktív"/>
    <n v="6"/>
    <n v="6"/>
    <s v="magyar"/>
    <m/>
  </r>
  <r>
    <s v="Fogl Barnabás"/>
    <s v="O8GP9O"/>
    <s v="Aktív"/>
    <s v="osztatlan tanári [11 félév [testnevelő tanár; gyógytestnevelő-egészségfejlesztő tanár]]"/>
    <x v="8"/>
    <s v="osztatlan tanárképzés"/>
    <s v="TKK-OTAK-NOHU"/>
    <s v="Szombathely"/>
    <s v="Vas"/>
    <s v="Fogl Barnabás"/>
    <s v="Magyarország"/>
    <d v="1999-08-21T00:00:00"/>
    <s v="T149233/FI80798"/>
    <x v="5"/>
    <s v="Állami ösztöndíjas"/>
    <s v="2019/20/1"/>
    <s v="Nappali"/>
    <n v="9"/>
    <n v="1"/>
    <s v="2021/22/2"/>
    <n v="10"/>
    <s v="72969661768"/>
    <n v="11"/>
    <x v="3"/>
    <m/>
    <m/>
    <m/>
    <m/>
    <s v="Képzésváltás intézményen belül"/>
    <d v="2019-09-14T00:00:00"/>
    <m/>
    <s v="BDPK-SEK"/>
    <s v="Eke Norbertné"/>
    <d v="2019-07-24T00:00:00"/>
    <d v="2025-01-31T00:00:00"/>
    <n v="500000"/>
    <m/>
    <n v="5"/>
    <s v="Férfi"/>
    <n v="500000"/>
    <s v="fogelbarni@gmail.com"/>
    <s v="Morosits Eszter"/>
    <n v="6"/>
    <s v="Aktív"/>
    <n v="6"/>
    <n v="6"/>
    <s v="magyar"/>
    <m/>
  </r>
  <r>
    <s v="Nagy Tamara"/>
    <s v="N3HHVG"/>
    <s v="Aktív"/>
    <s v="osztatlan tanári [11 félév [testnevelő tanár; gyógytestnevelő-egészségfejlesztő tanár]]"/>
    <x v="8"/>
    <s v="osztatlan tanárképzés"/>
    <s v="TKK-OTAK-NOHU"/>
    <s v="Zalaegerszeg"/>
    <s v="Zala"/>
    <s v="Nagy Tamara"/>
    <s v="Magyarország"/>
    <d v="2002-10-28T00:00:00"/>
    <s v="T187411/FI80798"/>
    <x v="5"/>
    <s v="Állami ösztöndíjas"/>
    <s v="2021/22/1"/>
    <s v="Nappali"/>
    <n v="13"/>
    <n v="1"/>
    <s v="2021/22/2"/>
    <n v="10"/>
    <s v="71762914077"/>
    <n v="11"/>
    <x v="3"/>
    <m/>
    <m/>
    <m/>
    <m/>
    <s v="Képzésváltás intézményen belül"/>
    <d v="2021-09-13T00:00:00"/>
    <m/>
    <s v="BDPK-SEK"/>
    <s v="Eke Norbertné"/>
    <d v="2021-07-23T00:00:00"/>
    <d v="2027-01-31T00:00:00"/>
    <n v="500000"/>
    <m/>
    <n v="1"/>
    <s v="Nő"/>
    <n v="500000"/>
    <s v="tami1028@gmail.com"/>
    <s v="Németh Mónika"/>
    <n v="2"/>
    <s v="Aktív"/>
    <n v="2"/>
    <n v="2"/>
    <s v="magyar"/>
    <m/>
  </r>
  <r>
    <s v="Bizey-Nagy Gabriella"/>
    <s v="UQ4ZGA"/>
    <s v="Aktív"/>
    <s v="osztatlan tanári [11 félév [testnevelő tanár; gyógytestnevelő-egészségfejlesztő tanár]]"/>
    <x v="8"/>
    <s v="osztatlan tanárképzés"/>
    <s v="TKK-OTAK-NOHU"/>
    <s v="Budapest"/>
    <s v="Budapest"/>
    <s v="Bizey-Nagy Gabriella"/>
    <s v="Magyarország"/>
    <d v="2000-12-12T00:00:00"/>
    <s v="T148747/FI80798"/>
    <x v="5"/>
    <s v="Állami ösztöndíjas"/>
    <s v="2019/20/1"/>
    <s v="Nappali"/>
    <n v="13"/>
    <n v="1"/>
    <s v="2021/22/2"/>
    <n v="10"/>
    <s v="76572767925"/>
    <n v="11"/>
    <x v="3"/>
    <m/>
    <m/>
    <m/>
    <m/>
    <s v="Képzésváltás intézményen belül"/>
    <d v="2019-09-14T00:00:00"/>
    <m/>
    <s v="BDPK-SEK"/>
    <s v="Eke Norbertné"/>
    <d v="2019-07-24T00:00:00"/>
    <d v="2025-01-31T00:00:00"/>
    <n v="500000"/>
    <m/>
    <n v="5"/>
    <s v="Nő"/>
    <n v="500000"/>
    <s v="biznagygabriella@gmail.com"/>
    <s v="Bizey Gabriella"/>
    <n v="6"/>
    <s v="Aktív"/>
    <n v="6"/>
    <n v="6"/>
    <s v="magyar"/>
    <m/>
  </r>
  <r>
    <s v="Papp Benita"/>
    <s v="CUJZT3"/>
    <s v="Aktív"/>
    <s v="osztatlan tanári [11 félév [testnevelő tanár; gyógytestnevelő-egészségfejlesztő tanár]]"/>
    <x v="8"/>
    <s v="osztatlan tanárképzés"/>
    <s v="TKK-OTAK-NOHU"/>
    <s v="Zalaegerszeg"/>
    <s v="Zala"/>
    <s v="Papp Benita"/>
    <s v="Magyarország"/>
    <d v="2000-06-02T00:00:00"/>
    <s v="T150875/FI80798"/>
    <x v="5"/>
    <s v="Állami ösztöndíjas"/>
    <s v="2019/20/1"/>
    <s v="Nappali"/>
    <n v="9"/>
    <n v="1"/>
    <s v="2021/22/2"/>
    <n v="10"/>
    <s v="73261281498"/>
    <n v="11"/>
    <x v="3"/>
    <m/>
    <m/>
    <m/>
    <m/>
    <s v="Képzésváltás intézményen belül"/>
    <d v="2019-09-14T00:00:00"/>
    <m/>
    <s v="BDPK-SEK"/>
    <s v="Eke Norbertné"/>
    <d v="2019-07-24T00:00:00"/>
    <d v="2025-01-31T00:00:00"/>
    <n v="500000"/>
    <m/>
    <n v="5"/>
    <s v="Nő"/>
    <n v="500000"/>
    <s v="beni.2000.pb@gmail.com"/>
    <s v="Forberger Éva"/>
    <n v="6"/>
    <s v="Aktív"/>
    <n v="6"/>
    <n v="6"/>
    <s v="magyar"/>
    <m/>
  </r>
  <r>
    <s v="Hujbert László"/>
    <s v="NBAWLB"/>
    <s v="Aktív"/>
    <s v="osztatlan tanári [11 félév [testnevelő tanár; gyógytestnevelő-egészségfejlesztő tanár]]"/>
    <x v="8"/>
    <s v="osztatlan tanárképzés"/>
    <s v="TKK-OTAK-NOHU"/>
    <s v="Celldömölk"/>
    <s v="Vas"/>
    <s v="Hujbert László"/>
    <s v="Magyarország"/>
    <d v="2000-10-03T00:00:00"/>
    <s v="T162326/FI80798"/>
    <x v="5"/>
    <s v="Állami ösztöndíjas"/>
    <s v="2020/21/1"/>
    <s v="Nappali"/>
    <n v="10"/>
    <n v="1"/>
    <s v="2021/22/2"/>
    <n v="10"/>
    <s v="74380646872"/>
    <n v="11"/>
    <x v="3"/>
    <m/>
    <m/>
    <m/>
    <m/>
    <s v="Képzésváltás intézményen belül"/>
    <d v="2020-09-14T00:00:00"/>
    <m/>
    <s v="BDPK-SEK"/>
    <s v="Eke Norbertné"/>
    <d v="2020-07-23T00:00:00"/>
    <d v="2026-01-31T00:00:00"/>
    <n v="500000"/>
    <m/>
    <n v="3"/>
    <s v="Férfi"/>
    <n v="500000"/>
    <s v="lshujbert@gmail.com"/>
    <s v="Szakáli Veronika"/>
    <n v="4"/>
    <s v="Aktív"/>
    <n v="4"/>
    <n v="4"/>
    <s v="magyar"/>
    <m/>
  </r>
  <r>
    <s v="Mezősi Anna"/>
    <s v="N19T2Y"/>
    <s v="Aktív"/>
    <s v="osztatlan tanári [11 félév [testnevelő tanár; gyógytestnevelő-egészségfejlesztő tanár]]"/>
    <x v="8"/>
    <s v="osztatlan tanárképzés"/>
    <s v="TKK-OTAK-NOHU"/>
    <s v="Szombathely"/>
    <s v="Vas"/>
    <s v="Mezősi Anna"/>
    <s v="Magyarország"/>
    <d v="2001-06-18T00:00:00"/>
    <s v="T161597/FI80798"/>
    <x v="5"/>
    <s v="Állami ösztöndíjas"/>
    <s v="2020/21/1"/>
    <s v="Nappali"/>
    <n v="10"/>
    <n v="1"/>
    <s v="2021/22/2"/>
    <n v="10"/>
    <s v="71465321299"/>
    <n v="11"/>
    <x v="3"/>
    <m/>
    <m/>
    <m/>
    <m/>
    <s v="Képzésváltás intézményen belül"/>
    <d v="2020-09-14T00:00:00"/>
    <m/>
    <s v="BDPK-SEK"/>
    <s v="Eke Norbertné"/>
    <d v="2020-07-23T00:00:00"/>
    <d v="2026-01-31T00:00:00"/>
    <n v="500000"/>
    <m/>
    <n v="3"/>
    <s v="Nő"/>
    <n v="500000"/>
    <s v="annamezosi@gmail.com"/>
    <s v="Szabó Anikó"/>
    <n v="4"/>
    <s v="Aktív"/>
    <n v="4"/>
    <n v="4"/>
    <s v="magyar"/>
    <m/>
  </r>
  <r>
    <s v="Vatali Réka"/>
    <s v="ZN9O3U"/>
    <s v="Aktív"/>
    <s v="osztatlan tanári [11 félév [testnevelő tanár; gyógytestnevelő-egészségfejlesztő tanár]]"/>
    <x v="8"/>
    <s v="osztatlan tanárképzés"/>
    <s v="TKK-OTAK-NOHU"/>
    <s v="Zalaegerszeg"/>
    <s v="Zala"/>
    <s v="Vatali Réka"/>
    <s v="Magyarország"/>
    <d v="2002-02-10T00:00:00"/>
    <s v="T164847/FI80798"/>
    <x v="5"/>
    <s v="Állami ösztöndíjas"/>
    <s v="2020/21/1"/>
    <s v="Nappali"/>
    <n v="11"/>
    <n v="1"/>
    <s v="2021/22/2"/>
    <n v="10"/>
    <s v="71613650562"/>
    <n v="11"/>
    <x v="3"/>
    <m/>
    <m/>
    <m/>
    <m/>
    <s v="Képzésváltás intézményen belül"/>
    <d v="2020-09-14T00:00:00"/>
    <m/>
    <s v="BDPK-SEK"/>
    <s v="Eke Norbertné"/>
    <d v="2020-07-23T00:00:00"/>
    <d v="2026-01-31T00:00:00"/>
    <n v="500000"/>
    <m/>
    <n v="3"/>
    <s v="Nő"/>
    <n v="500000"/>
    <s v="vatali.reka@gmail.com"/>
    <s v="Keszei Erzsébet"/>
    <n v="4"/>
    <s v="Aktív"/>
    <n v="4"/>
    <n v="4"/>
    <s v="magyar"/>
    <m/>
  </r>
  <r>
    <s v="Marth Bence"/>
    <s v="K7MA8M"/>
    <s v="Aktív"/>
    <s v="osztatlan tanári [11 félév [testnevelő tanár; gyógytestnevelő-egészségfejlesztő tanár]]"/>
    <x v="8"/>
    <s v="osztatlan tanárképzés"/>
    <s v="TKK-OTAK-NOHU"/>
    <s v="Zalaegerszeg"/>
    <s v="Zala"/>
    <s v="Marth Bence"/>
    <s v="Magyarország"/>
    <d v="2002-06-07T00:00:00"/>
    <s v="T169793/FI80798"/>
    <x v="5"/>
    <s v="Állami ösztöndíjas"/>
    <s v="2020/21/1"/>
    <s v="Nappali"/>
    <n v="11"/>
    <n v="1"/>
    <s v="2021/22/2"/>
    <n v="10"/>
    <s v="71466649165"/>
    <n v="11"/>
    <x v="3"/>
    <m/>
    <m/>
    <m/>
    <m/>
    <s v="Képzésváltás intézményen belül"/>
    <d v="2020-09-14T00:00:00"/>
    <m/>
    <s v="BDPK-SEK"/>
    <s v="Eke Norbertné"/>
    <d v="2020-07-23T00:00:00"/>
    <d v="2026-01-31T00:00:00"/>
    <n v="500000"/>
    <m/>
    <n v="3"/>
    <s v="Férfi"/>
    <n v="500000"/>
    <s v="marthbence@gmail.com"/>
    <s v="Kollár Judit"/>
    <n v="4"/>
    <s v="Aktív"/>
    <n v="4"/>
    <n v="4"/>
    <s v="magyar"/>
    <m/>
  </r>
  <r>
    <s v="Mihalicz Bianka"/>
    <s v="FMEB4Z"/>
    <s v="Aktív"/>
    <s v="osztatlan tanári [11 félév [testnevelő tanár; gyógytestnevelő-egészségfejlesztő tanár]]"/>
    <x v="8"/>
    <s v="osztatlan tanárképzés"/>
    <s v="TKK-OTAK-NOHU"/>
    <s v="Sopron"/>
    <s v="Győr-Moson-Sopron"/>
    <s v="Mihalicz Bianka"/>
    <s v="Magyarország"/>
    <d v="2002-05-18T00:00:00"/>
    <s v="T163783/FI80798"/>
    <x v="5"/>
    <s v="Állami ösztöndíjas"/>
    <s v="2020/21/1"/>
    <s v="Nappali"/>
    <n v="11"/>
    <n v="1"/>
    <s v="2021/22/2"/>
    <n v="10"/>
    <s v="71466297821"/>
    <n v="11"/>
    <x v="3"/>
    <m/>
    <m/>
    <m/>
    <m/>
    <s v="Képzésváltás intézményen belül"/>
    <d v="2020-09-14T00:00:00"/>
    <m/>
    <s v="BDPK-SEK"/>
    <s v="Eke Norbertné"/>
    <d v="2020-07-23T00:00:00"/>
    <d v="2026-01-31T00:00:00"/>
    <n v="500000"/>
    <m/>
    <n v="3"/>
    <s v="Nő"/>
    <n v="500000"/>
    <s v="mihalicz.bianka@gmail.com"/>
    <s v="Szanati Adrienn"/>
    <n v="4"/>
    <s v="Aktív"/>
    <n v="4"/>
    <n v="4"/>
    <s v="magyar"/>
    <m/>
  </r>
  <r>
    <s v="Plózer Petra"/>
    <s v="CP00NR"/>
    <s v="Aktív"/>
    <s v="osztatlan tanári [11 félév [testnevelő tanár; gyógytestnevelő-egészségfejlesztő tanár]]"/>
    <x v="8"/>
    <s v="osztatlan tanárképzés"/>
    <s v="TKK-OTAK-NOHU"/>
    <s v="Szombathely"/>
    <s v="Vas"/>
    <s v="Plózer Petra"/>
    <s v="Magyarország"/>
    <d v="2000-05-24T00:00:00"/>
    <s v="T161620/FI80798"/>
    <x v="5"/>
    <s v="Állami ösztöndíjas"/>
    <s v="2020/21/1"/>
    <s v="Nappali"/>
    <n v="10"/>
    <n v="1"/>
    <s v="2021/22/2"/>
    <n v="10"/>
    <s v="74520016936"/>
    <n v="11"/>
    <x v="3"/>
    <m/>
    <m/>
    <m/>
    <m/>
    <s v="Képzésváltás intézményen belül"/>
    <d v="2020-09-14T00:00:00"/>
    <m/>
    <s v="BDPK-SEK"/>
    <s v="Eke Norbertné"/>
    <d v="2020-07-23T00:00:00"/>
    <d v="2026-01-31T00:00:00"/>
    <n v="500000"/>
    <m/>
    <n v="3"/>
    <s v="Nő"/>
    <n v="500000"/>
    <s v="pplozer@gmail.com"/>
    <s v="Nagy Edit"/>
    <n v="4"/>
    <s v="Aktív"/>
    <n v="4"/>
    <n v="4"/>
    <s v="magyar"/>
    <m/>
  </r>
  <r>
    <s v="Bergmann Dániel"/>
    <s v="XYULMR"/>
    <s v="Aktív"/>
    <s v="osztatlan tanári [11 félév [testnevelő tanár; gyógytestnevelő-egészségfejlesztő tanár]]"/>
    <x v="8"/>
    <s v="osztatlan tanárképzés"/>
    <s v="TKK-OTAK-NOHU"/>
    <s v="Szombathely"/>
    <s v="Vas"/>
    <s v="Bergmann Dániel"/>
    <s v="Magyarország"/>
    <d v="2000-11-26T00:00:00"/>
    <s v="T168846/FI80798"/>
    <x v="5"/>
    <s v="Állami ösztöndíjas"/>
    <s v="2020/21/1"/>
    <s v="Nappali"/>
    <n v="11"/>
    <n v="1"/>
    <s v="2021/22/2"/>
    <n v="10"/>
    <s v="76266805441"/>
    <n v="11"/>
    <x v="3"/>
    <m/>
    <m/>
    <m/>
    <m/>
    <s v="Képzésváltás intézményen belül"/>
    <d v="2020-09-14T00:00:00"/>
    <m/>
    <s v="BDPK-SEK"/>
    <s v="Eke Norbertné"/>
    <d v="2020-07-23T00:00:00"/>
    <d v="2026-01-31T00:00:00"/>
    <n v="500000"/>
    <m/>
    <n v="3"/>
    <s v="Férfi"/>
    <n v="500000"/>
    <s v="bergmanndani2000@gmail.com"/>
    <s v="Bősze Anett Éva"/>
    <n v="4"/>
    <s v="Aktív"/>
    <n v="4"/>
    <n v="4"/>
    <s v="magyar"/>
    <m/>
  </r>
  <r>
    <s v="Pődör Petra"/>
    <s v="IUPBQV"/>
    <s v="Aktív"/>
    <s v="osztatlan tanári [11 félév [testnevelő tanár; gyógytestnevelő-egészségfejlesztő tanár]]"/>
    <x v="8"/>
    <s v="osztatlan tanárképzés"/>
    <s v="TKK-OTAK-NOHU"/>
    <s v="Csorna"/>
    <s v="Győr-Moson-Sopron"/>
    <s v="Pődör Petra"/>
    <s v="Magyarország"/>
    <d v="2001-11-06T00:00:00"/>
    <s v="T164976/FI80798"/>
    <x v="5"/>
    <s v="Állami ösztöndíjas"/>
    <s v="2020/21/1"/>
    <s v="Nappali"/>
    <n v="11"/>
    <n v="1"/>
    <s v="2021/22/2"/>
    <n v="10"/>
    <s v="71642483522"/>
    <n v="11"/>
    <x v="3"/>
    <m/>
    <m/>
    <m/>
    <m/>
    <s v="Képzésváltás intézményen belül"/>
    <d v="2020-09-14T00:00:00"/>
    <m/>
    <s v="BDPK-SEK"/>
    <s v="Eke Norbertné"/>
    <d v="2020-07-23T00:00:00"/>
    <d v="2026-01-31T00:00:00"/>
    <n v="500000"/>
    <m/>
    <n v="3"/>
    <s v="Nő"/>
    <n v="500000"/>
    <s v="podorpetra1106@gmail.com"/>
    <s v="Horváth Erzsébet"/>
    <n v="4"/>
    <s v="Aktív"/>
    <n v="4"/>
    <n v="4"/>
    <s v="magyar"/>
    <m/>
  </r>
  <r>
    <s v="Preisinger Boglárka"/>
    <s v="Z6PBW5"/>
    <s v="Passzív"/>
    <s v="osztatlan tanári [11 félév [testnevelő tanár; gyógytestnevelő-egészségfejlesztő tanár]]"/>
    <x v="8"/>
    <s v="osztatlan tanárképzés"/>
    <s v="TKK-OTAK-NOHU"/>
    <s v="Zalaegerszeg"/>
    <s v="Zala"/>
    <s v="Preisinger Boglárka"/>
    <s v="Magyarország"/>
    <d v="2000-11-23T00:00:00"/>
    <s v="T161628/FI80798"/>
    <x v="5"/>
    <s v="Állami ösztöndíjas"/>
    <s v="2020/21/1"/>
    <s v="Nappali"/>
    <n v="10"/>
    <n v="1"/>
    <s v="2021/22/2"/>
    <n v="10"/>
    <s v="75113502554"/>
    <n v="11"/>
    <x v="3"/>
    <m/>
    <m/>
    <m/>
    <m/>
    <s v="Képzésváltás intézményen belül"/>
    <d v="2021-09-01T00:00:00"/>
    <m/>
    <s v="BDPK-SEK"/>
    <s v="Eke Norbertné"/>
    <d v="2020-07-23T00:00:00"/>
    <d v="2027-01-31T00:00:00"/>
    <n v="500000"/>
    <m/>
    <n v="1"/>
    <s v="Nő"/>
    <n v="500000"/>
    <s v="bogci230@gmail.com"/>
    <s v="Kiss Réka"/>
    <n v="1"/>
    <s v="Passzív"/>
    <n v="1"/>
    <n v="3"/>
    <s v="magyar"/>
    <m/>
  </r>
  <r>
    <s v="Németh Richárd"/>
    <s v="AHEABL"/>
    <s v="Aktív"/>
    <s v="osztatlan tanári [11 félév [testnevelő tanár; gyógytestnevelő-egészségfejlesztő tanár]]"/>
    <x v="8"/>
    <s v="osztatlan tanárképzés"/>
    <s v="TKK-OTAK-NOHU"/>
    <s v="Zalaegerszeg"/>
    <s v="Zala"/>
    <s v="Németh Richárd"/>
    <s v="Magyarország"/>
    <d v="2002-12-23T00:00:00"/>
    <s v="T183140/FI80798"/>
    <x v="5"/>
    <s v="Állami ösztöndíjas"/>
    <s v="2021/22/1"/>
    <s v="Nappali"/>
    <n v="13"/>
    <n v="1"/>
    <s v="2021/22/2"/>
    <n v="10"/>
    <s v="71770412875"/>
    <n v="11"/>
    <x v="3"/>
    <m/>
    <m/>
    <m/>
    <m/>
    <s v="Képzésváltás intézményen belül"/>
    <d v="2021-09-13T00:00:00"/>
    <m/>
    <s v="BDPK-SEK"/>
    <s v="Eke Norbertné"/>
    <d v="2021-07-23T00:00:00"/>
    <d v="2027-01-31T00:00:00"/>
    <n v="500000"/>
    <m/>
    <n v="1"/>
    <s v="Férfi"/>
    <n v="500000"/>
    <s v="n.ricso2002@gmail.com"/>
    <s v="Mészáros Katalin"/>
    <n v="2"/>
    <s v="Aktív"/>
    <n v="2"/>
    <n v="2"/>
    <s v="magyar"/>
    <m/>
  </r>
  <r>
    <s v="Tájmel Kristóf"/>
    <s v="A40JEV"/>
    <s v="Aktív"/>
    <s v="osztatlan tanári [11 félév [testnevelő tanár; gyógytestnevelő-egészségfejlesztő tanár]]"/>
    <x v="8"/>
    <s v="osztatlan tanárképzés"/>
    <s v="TKK-OTAK-NOHU"/>
    <s v="Szombathely"/>
    <s v="Vas"/>
    <s v="Tájmel Kristóf"/>
    <s v="Magyarország"/>
    <d v="2002-01-22T00:00:00"/>
    <s v="T183441/FI80798"/>
    <x v="5"/>
    <s v="Állami ösztöndíjas"/>
    <s v="2021/22/1"/>
    <s v="Nappali"/>
    <n v="13"/>
    <n v="1"/>
    <s v="2021/22/2"/>
    <n v="10"/>
    <s v="71763312628"/>
    <n v="11"/>
    <x v="3"/>
    <m/>
    <m/>
    <m/>
    <m/>
    <s v="Képzésváltás intézményen belül"/>
    <d v="2021-09-13T00:00:00"/>
    <m/>
    <s v="BDPK-SEK"/>
    <s v="Eke Norbertné"/>
    <d v="2021-07-23T00:00:00"/>
    <d v="2027-01-31T00:00:00"/>
    <n v="500000"/>
    <m/>
    <n v="1"/>
    <s v="Férfi"/>
    <n v="500000"/>
    <s v="kristof20020122@gmail.com"/>
    <s v="Zsámboki Andrea"/>
    <n v="2"/>
    <s v="Aktív"/>
    <n v="2"/>
    <n v="2"/>
    <s v="magyar"/>
    <m/>
  </r>
  <r>
    <s v="Megyeri Gergely"/>
    <s v="WWB0GA"/>
    <s v="Passzív"/>
    <s v="osztatlan tanári [11 félév [testnevelő tanár; gyógytestnevelő-egészségfejlesztő tanár]]"/>
    <x v="8"/>
    <s v="osztatlan tanárképzés"/>
    <s v="TKK-OTAK-NOHU"/>
    <s v="Sopron"/>
    <s v="Győr-Moson-Sopron"/>
    <s v="Megyeri Gergely"/>
    <s v="Magyarország"/>
    <d v="2002-07-06T00:00:00"/>
    <s v="T183572/FI80798"/>
    <x v="5"/>
    <s v="Állami ösztöndíjas"/>
    <s v="2021/22/1"/>
    <s v="Nappali"/>
    <n v="14"/>
    <n v="1"/>
    <s v="2021/22/1"/>
    <n v="10"/>
    <s v="71759898104"/>
    <n v="11"/>
    <x v="3"/>
    <m/>
    <m/>
    <m/>
    <m/>
    <s v="Képzésváltás intézményen belül"/>
    <d v="2021-09-13T00:00:00"/>
    <m/>
    <s v="BDPK-SEK"/>
    <s v="Eke Norbertné"/>
    <d v="2021-07-23T00:00:00"/>
    <d v="2028-01-31T00:00:00"/>
    <n v="500000"/>
    <m/>
    <n v="1"/>
    <s v="Férfi"/>
    <n v="500000"/>
    <s v="geri1995.07.06@gmail.com"/>
    <s v="Pusker Hajnalka"/>
    <n v="1"/>
    <s v="Passzív"/>
    <n v="1"/>
    <n v="1"/>
    <s v="magyar"/>
    <m/>
  </r>
  <r>
    <s v="Tóth Cintia Kitti"/>
    <s v="WPNNBB"/>
    <s v="Aktív"/>
    <s v="osztatlan tanári [11 félév [testnevelő tanár; gyógytestnevelő-egészségfejlesztő tanár]]"/>
    <x v="8"/>
    <s v="osztatlan tanárképzés"/>
    <s v="TKK-OTAK-NOHU"/>
    <s v="Zalaegerszeg"/>
    <s v="Zala"/>
    <s v="Tóth Cintia Kitti"/>
    <s v="Magyarország"/>
    <d v="2001-09-18T00:00:00"/>
    <s v="T169752/FI80798"/>
    <x v="5"/>
    <s v="Állami ösztöndíjas"/>
    <s v="2020/21/1"/>
    <s v="Nappali"/>
    <n v="11"/>
    <n v="1"/>
    <s v="2021/22/2"/>
    <n v="10"/>
    <s v="71622257524"/>
    <n v="11"/>
    <x v="3"/>
    <m/>
    <m/>
    <m/>
    <m/>
    <s v="Képzésváltás intézményen belül"/>
    <d v="2020-09-14T00:00:00"/>
    <m/>
    <s v="BDPK-SEK"/>
    <s v="Eke Norbertné"/>
    <d v="2020-07-23T00:00:00"/>
    <d v="2026-01-31T00:00:00"/>
    <n v="500000"/>
    <m/>
    <n v="3"/>
    <s v="Nő"/>
    <n v="500000"/>
    <s v="tothcintia.kitti18@gmail.com"/>
    <s v="Kovács Katalin"/>
    <n v="4"/>
    <s v="Aktív"/>
    <n v="4"/>
    <n v="4"/>
    <s v="magyar"/>
    <m/>
  </r>
  <r>
    <s v="Bekő Bence"/>
    <s v="I1JB9P"/>
    <s v="Aktív"/>
    <s v="osztatlan tanári [11 félév [testnevelő tanár; gyógytestnevelő-egészségfejlesztő tanár]]"/>
    <x v="8"/>
    <s v="osztatlan tanárképzés"/>
    <s v="TKK-OTAK-NOHU"/>
    <s v="Zalaegerszeg"/>
    <s v="Zala"/>
    <s v="Bekő Bence"/>
    <s v="Magyarország"/>
    <d v="2002-05-19T00:00:00"/>
    <s v="T169805/FI80798"/>
    <x v="5"/>
    <s v="Állami ösztöndíjas"/>
    <s v="2020/21/1"/>
    <s v="Nappali"/>
    <n v="11"/>
    <n v="1"/>
    <s v="2021/22/2"/>
    <n v="10"/>
    <s v="71602424788"/>
    <n v="11"/>
    <x v="3"/>
    <m/>
    <m/>
    <m/>
    <m/>
    <s v="Képzésváltás intézményen belül"/>
    <d v="2020-09-14T00:00:00"/>
    <m/>
    <s v="BDPK-SEK"/>
    <s v="Eke Norbertné"/>
    <d v="2020-07-23T00:00:00"/>
    <d v="2026-01-31T00:00:00"/>
    <n v="500000"/>
    <m/>
    <n v="3"/>
    <s v="Férfi"/>
    <n v="500000"/>
    <s v="bekobence5@gmail.com"/>
    <s v="Horváth Brigitta"/>
    <n v="4"/>
    <s v="Aktív"/>
    <n v="4"/>
    <n v="4"/>
    <s v="magyar"/>
    <m/>
  </r>
  <r>
    <s v="Németh Levente"/>
    <s v="XEMKK6"/>
    <s v="Aktív"/>
    <s v="osztatlan tanári [11 félév [testnevelő tanár; gyógytestnevelő-egészségfejlesztő tanár]]"/>
    <x v="8"/>
    <s v="osztatlan tanárképzés"/>
    <s v="TKK-OTAK-NOHU"/>
    <s v="Zalaegerszeg"/>
    <s v="Zala"/>
    <s v="Németh Levente"/>
    <s v="Magyarország"/>
    <d v="2001-06-17T00:00:00"/>
    <s v="T163211/FI80798"/>
    <x v="5"/>
    <s v="Állami ösztöndíjas"/>
    <s v="2020/21/1"/>
    <s v="Nappali"/>
    <n v="11"/>
    <n v="1"/>
    <s v="2021/22/2"/>
    <n v="10"/>
    <s v="71602429891"/>
    <n v="11"/>
    <x v="3"/>
    <m/>
    <m/>
    <m/>
    <m/>
    <s v="Képzésváltás intézményen belül"/>
    <d v="2020-09-14T00:00:00"/>
    <m/>
    <s v="BDPK-SEK"/>
    <s v="Eke Norbertné"/>
    <d v="2020-07-23T00:00:00"/>
    <d v="2026-01-31T00:00:00"/>
    <n v="500000"/>
    <m/>
    <n v="3"/>
    <s v="Férfi"/>
    <n v="500000"/>
    <s v="leves0617@gmail.com"/>
    <s v="Cseh Andrea"/>
    <n v="4"/>
    <s v="Aktív"/>
    <n v="4"/>
    <n v="4"/>
    <s v="magyar"/>
    <m/>
  </r>
  <r>
    <s v="Tállai Emese"/>
    <s v="TUORHK"/>
    <s v="Aktív"/>
    <s v="osztatlan tanári [11 félév [testnevelő tanár; gyógytestnevelő-egészségfejlesztő tanár]]"/>
    <x v="8"/>
    <s v="osztatlan tanárképzés"/>
    <s v="TKK-OTAK-NOHU"/>
    <s v="Zalaegerszeg"/>
    <s v="Zala"/>
    <s v="Tállai Emese"/>
    <s v="Magyarország"/>
    <d v="2000-05-03T00:00:00"/>
    <s v="T162978/FI80798"/>
    <x v="5"/>
    <s v="Állami ösztöndíjas"/>
    <s v="2020/21/1"/>
    <s v="Nappali"/>
    <n v="11"/>
    <n v="1"/>
    <s v="2021/22/2"/>
    <n v="10"/>
    <s v="72766261515"/>
    <n v="11"/>
    <x v="3"/>
    <m/>
    <m/>
    <m/>
    <m/>
    <s v="Képzésváltás intézményen belül"/>
    <d v="2020-09-14T00:00:00"/>
    <m/>
    <s v="BDPK-SEK"/>
    <s v="Eke Norbertné"/>
    <d v="2020-07-23T00:00:00"/>
    <d v="2026-01-31T00:00:00"/>
    <n v="500000"/>
    <m/>
    <n v="3"/>
    <s v="Nő"/>
    <n v="500000"/>
    <s v="tallaiemese@gmail.com"/>
    <s v="Csuka Anikó"/>
    <n v="4"/>
    <s v="Aktív"/>
    <n v="4"/>
    <n v="4"/>
    <s v="magyar"/>
    <m/>
  </r>
  <r>
    <s v="Varga Júlia"/>
    <s v="N3IQBR"/>
    <s v="Aktív"/>
    <s v="osztatlan tanári [11 félév [testnevelő tanár; gyógytestnevelő-egészségfejlesztő tanár]]"/>
    <x v="8"/>
    <s v="osztatlan tanárképzés"/>
    <s v="TKK-OTAK-NOHU"/>
    <s v="Kapuvár"/>
    <s v="Győr-Moson-Sopron"/>
    <s v="Varga Júlia"/>
    <s v="Magyarország"/>
    <d v="2001-07-13T00:00:00"/>
    <s v="T172152/FI80798"/>
    <x v="5"/>
    <s v="Állami ösztöndíjas"/>
    <s v="2020/21/1"/>
    <s v="Nappali"/>
    <n v="13"/>
    <n v="1"/>
    <s v="2021/22/2"/>
    <n v="10"/>
    <s v="71588105636"/>
    <n v="11"/>
    <x v="3"/>
    <m/>
    <m/>
    <m/>
    <m/>
    <s v="Képzésváltás intézményen belül"/>
    <d v="2020-09-14T00:00:00"/>
    <m/>
    <s v="BDPK-SEK"/>
    <s v="Eke Norbertné"/>
    <d v="2020-08-27T00:00:00"/>
    <d v="2026-01-31T00:00:00"/>
    <n v="500000"/>
    <m/>
    <n v="1"/>
    <s v="Nő"/>
    <n v="500000"/>
    <s v="juliavarga68@gmail.com"/>
    <s v="Licskai Márta"/>
    <n v="4"/>
    <s v="Aktív"/>
    <n v="2"/>
    <n v="4"/>
    <s v="magyar"/>
    <m/>
  </r>
  <r>
    <s v="Matucza Gyula"/>
    <s v="RXPZBK"/>
    <s v="Aktív"/>
    <s v="osztatlan tanári [11 félév [testnevelő tanár; gyógytestnevelő-egészségfejlesztő tanár]]"/>
    <x v="8"/>
    <s v="osztatlan tanárképzés"/>
    <s v="TKK-OTAK-NOHU"/>
    <s v="Dunaújváros"/>
    <s v="Fejér"/>
    <s v="Matucza Gyula"/>
    <s v="Magyarország"/>
    <d v="2000-03-25T00:00:00"/>
    <s v="T157363/FI80798"/>
    <x v="5"/>
    <s v="Állami ösztöndíjas"/>
    <s v="2019/20/1"/>
    <s v="Nappali"/>
    <n v="8"/>
    <n v="2"/>
    <s v="2021/22/2"/>
    <n v="10"/>
    <s v="71959524191"/>
    <n v="11"/>
    <x v="3"/>
    <m/>
    <m/>
    <m/>
    <m/>
    <s v="Képzésváltás intézményen belül"/>
    <d v="2019-09-14T00:00:00"/>
    <m/>
    <s v="BDPK-SEK"/>
    <s v="Eke Norbertné"/>
    <d v="2019-07-24T00:00:00"/>
    <d v="2025-01-31T00:00:00"/>
    <n v="500000"/>
    <m/>
    <n v="5"/>
    <s v="Férfi"/>
    <n v="500000"/>
    <s v="matuczagyula19@gmail.com"/>
    <s v="Árva Gabriella"/>
    <n v="6"/>
    <s v="Aktív"/>
    <n v="6"/>
    <n v="6"/>
    <s v="magyar"/>
    <m/>
  </r>
  <r>
    <s v="Somogyvári Dalma"/>
    <s v="Y477EN"/>
    <s v="Passzív"/>
    <s v="osztatlan tanári [11 félév [testnevelő tanár; gyógytestnevelő-egészségfejlesztő tanár]]"/>
    <x v="8"/>
    <s v="osztatlan tanárképzés"/>
    <s v="TKK-OTAK-NOHU"/>
    <s v="Pécs"/>
    <s v="Baranya"/>
    <s v="Somogyvári Dalma"/>
    <s v="Magyarország"/>
    <d v="1999-08-05T00:00:00"/>
    <s v="T135150/FI80798"/>
    <x v="5"/>
    <s v="Állami ösztöndíjas"/>
    <s v="2018/19/1"/>
    <s v="Nappali"/>
    <n v="9"/>
    <n v="1"/>
    <s v="2020/21/2"/>
    <n v="10"/>
    <s v="72944561332"/>
    <n v="11"/>
    <x v="3"/>
    <m/>
    <m/>
    <m/>
    <m/>
    <s v="Képzésváltás intézményen belül"/>
    <d v="2018-09-06T00:00:00"/>
    <m/>
    <s v="BDPK-SEK"/>
    <s v="Eke Norbertné"/>
    <d v="2018-07-25T00:00:00"/>
    <d v="2025-07-15T00:00:00"/>
    <n v="400000"/>
    <m/>
    <n v="6"/>
    <s v="Nő"/>
    <n v="400000"/>
    <s v="dalmasomogyvari@gmail.com"/>
    <s v="Varga Beáta"/>
    <n v="6"/>
    <s v="Passzív"/>
    <n v="6"/>
    <n v="6"/>
    <s v="magyar"/>
    <m/>
  </r>
  <r>
    <s v="Komóczi Donát"/>
    <s v="DWIHG9"/>
    <s v="Aktív"/>
    <s v="osztatlan tanári [11 félév [testnevelő tanár; gyógytestnevelő-egészségfejlesztő tanár]]"/>
    <x v="8"/>
    <s v="osztatlan tanárképzés"/>
    <s v="TKK-OTAK-NOHU"/>
    <s v="Szombathely"/>
    <s v="Vas"/>
    <s v="Komóczi Donát"/>
    <s v="Magyarország"/>
    <d v="2003-03-09T00:00:00"/>
    <s v="T180670/FI80798"/>
    <x v="5"/>
    <s v="Állami ösztöndíjas"/>
    <s v="2021/22/1"/>
    <s v="Nappali"/>
    <n v="13"/>
    <n v="1"/>
    <s v="2021/22/2"/>
    <n v="10"/>
    <s v="71662677541"/>
    <n v="11"/>
    <x v="3"/>
    <m/>
    <m/>
    <m/>
    <m/>
    <s v="Képzésváltás intézményen belül"/>
    <d v="2021-09-13T00:00:00"/>
    <m/>
    <s v="BDPK-SEK"/>
    <s v="Eke Norbertné"/>
    <d v="2021-07-23T00:00:00"/>
    <d v="2027-01-31T00:00:00"/>
    <n v="500000"/>
    <m/>
    <n v="1"/>
    <s v="Férfi"/>
    <n v="500000"/>
    <s v="doncig2003@gmail.com"/>
    <s v="Orbán Helga"/>
    <n v="2"/>
    <s v="Aktív"/>
    <n v="2"/>
    <n v="2"/>
    <s v="magyar"/>
    <m/>
  </r>
  <r>
    <s v="Szalay Júlia"/>
    <s v="G29REU"/>
    <s v="Aktív"/>
    <s v="osztatlan tanári [11 félév [testnevelő tanár; gyógytestnevelő-egészségfejlesztő tanár]]"/>
    <x v="8"/>
    <s v="osztatlan tanárképzés"/>
    <s v="TKK-OTAK-NOHU"/>
    <s v="Veszprém"/>
    <s v="Veszprém"/>
    <s v="Szalay Júlia"/>
    <s v="Magyarország"/>
    <d v="2002-05-25T00:00:00"/>
    <s v="T189232/FI80798"/>
    <x v="5"/>
    <s v="Állami ösztöndíjas"/>
    <s v="2021/22/1"/>
    <s v="Nappali"/>
    <n v="13"/>
    <n v="1"/>
    <s v="2021/22/2"/>
    <n v="10"/>
    <s v="72172185851"/>
    <n v="11"/>
    <x v="3"/>
    <m/>
    <m/>
    <m/>
    <m/>
    <s v="Képzésváltás intézményen belül"/>
    <d v="2021-09-13T00:00:00"/>
    <m/>
    <s v="BDPK-SEK"/>
    <s v="Eke Norbertné"/>
    <d v="2021-07-23T00:00:00"/>
    <d v="2027-01-31T00:00:00"/>
    <n v="500000"/>
    <m/>
    <n v="1"/>
    <s v="Nő"/>
    <n v="500000"/>
    <s v="juliaszalay0525@gmail.com"/>
    <s v="Felber Márta"/>
    <n v="2"/>
    <s v="Aktív"/>
    <n v="2"/>
    <n v="2"/>
    <s v="magyar"/>
    <m/>
  </r>
  <r>
    <s v="Vidák Anna Vivien"/>
    <s v="B975XZ"/>
    <s v="Aktív"/>
    <s v="osztatlan tanári [11 félév [testnevelő tanár; gyógytestnevelő-egészségfejlesztő tanár]]"/>
    <x v="8"/>
    <s v="osztatlan tanárképzés"/>
    <s v="TKK-OTAK-NOHU"/>
    <s v="Zalaegerszeg"/>
    <s v="Zala"/>
    <s v="Vidák Anna Vivien"/>
    <s v="Magyarország"/>
    <d v="2003-02-05T00:00:00"/>
    <s v="T180344/FI80798"/>
    <x v="5"/>
    <s v="Állami ösztöndíjas"/>
    <s v="2021/22/1"/>
    <s v="Nappali"/>
    <n v="13"/>
    <n v="1"/>
    <s v="2021/22/2"/>
    <n v="10"/>
    <s v="71760807200"/>
    <n v="11"/>
    <x v="3"/>
    <m/>
    <m/>
    <m/>
    <m/>
    <s v="Képzésváltás intézményen belül"/>
    <d v="2021-09-13T00:00:00"/>
    <m/>
    <s v="BDPK-SEK"/>
    <s v="Eke Norbertné"/>
    <d v="2021-07-23T00:00:00"/>
    <d v="2027-01-31T00:00:00"/>
    <n v="500000"/>
    <m/>
    <n v="1"/>
    <s v="Nő"/>
    <n v="500000"/>
    <s v="vidakvivien05@gmail.com"/>
    <s v="Kovács Judit"/>
    <n v="2"/>
    <s v="Aktív"/>
    <n v="2"/>
    <n v="2"/>
    <s v="magyar"/>
    <m/>
  </r>
  <r>
    <s v="Fatér Viktória"/>
    <s v="YZ9GQK"/>
    <s v="Aktív"/>
    <s v="osztatlan tanári [11 félév [testnevelő tanár; gyógytestnevelő-egészségfejlesztő tanár]]"/>
    <x v="8"/>
    <s v="osztatlan tanárképzés"/>
    <s v="TKK-OTAK-NOHU"/>
    <s v="Szombathely"/>
    <s v="Vas"/>
    <s v="Fatér Viktória"/>
    <s v="Magyarország"/>
    <d v="2002-06-23T00:00:00"/>
    <s v="T184566/FI80798"/>
    <x v="5"/>
    <s v="Állami ösztöndíjas"/>
    <s v="2021/22/1"/>
    <s v="Nappali"/>
    <n v="13"/>
    <n v="1"/>
    <s v="2021/22/2"/>
    <n v="10"/>
    <s v="71762747451"/>
    <n v="11"/>
    <x v="3"/>
    <m/>
    <m/>
    <m/>
    <m/>
    <s v="Képzésváltás intézményen belül"/>
    <d v="2021-09-13T00:00:00"/>
    <m/>
    <s v="BDPK-SEK"/>
    <s v="Eke Norbertné"/>
    <d v="2021-07-23T00:00:00"/>
    <d v="2027-01-31T00:00:00"/>
    <n v="500000"/>
    <m/>
    <n v="1"/>
    <s v="Nő"/>
    <n v="500000"/>
    <s v="jazvik1@gmail.com"/>
    <s v="Kató Edina"/>
    <n v="2"/>
    <s v="Aktív"/>
    <n v="2"/>
    <n v="2"/>
    <s v="magyar"/>
    <m/>
  </r>
  <r>
    <s v="Horváth Melitta Erzsébet"/>
    <s v="JS42ML"/>
    <s v="Aktív"/>
    <s v="osztatlan tanári [11 félév [testnevelő tanár; gyógytestnevelő-egészségfejlesztő tanár]]"/>
    <x v="8"/>
    <s v="osztatlan tanárképzés"/>
    <s v="TKK-OTAK-NOHU"/>
    <s v="Szombathely"/>
    <s v="Vas"/>
    <s v="Horváth Melitta Erzsébet"/>
    <s v="Magyarország"/>
    <d v="2002-07-09T00:00:00"/>
    <s v="T180890/FI80798"/>
    <x v="5"/>
    <s v="Állami ösztöndíjas"/>
    <s v="2021/22/1"/>
    <s v="Nappali"/>
    <n v="13"/>
    <n v="1"/>
    <s v="2021/22/2"/>
    <n v="10"/>
    <s v="72152983915"/>
    <n v="11"/>
    <x v="3"/>
    <m/>
    <m/>
    <m/>
    <m/>
    <s v="Képzésváltás intézményen belül"/>
    <d v="2021-09-13T00:00:00"/>
    <m/>
    <s v="BDPK-SEK"/>
    <s v="Eke Norbertné"/>
    <d v="2021-07-23T00:00:00"/>
    <d v="2027-01-31T00:00:00"/>
    <n v="500000"/>
    <m/>
    <n v="1"/>
    <s v="Nő"/>
    <n v="500000"/>
    <s v="hmmelitta@gmail.com"/>
    <s v="Pomper Ilona"/>
    <n v="2"/>
    <s v="Aktív"/>
    <n v="2"/>
    <n v="2"/>
    <s v="magyar"/>
    <m/>
  </r>
  <r>
    <s v="Pável Lóránd Tamás"/>
    <s v="Y29KWO"/>
    <s v="Aktív"/>
    <s v="osztatlan tanári [11 félév [testnevelő tanár; gyógytestnevelő-egészségfejlesztő tanár]]"/>
    <x v="8"/>
    <s v="osztatlan tanárképzés"/>
    <s v="TKK-OTAK-NOHU"/>
    <s v="Szombathely"/>
    <s v="Vas"/>
    <s v="Pável Lóránd Tamás"/>
    <s v="Magyarország"/>
    <d v="2002-06-25T00:00:00"/>
    <s v="T179782/FI80798"/>
    <x v="5"/>
    <s v="Állami ösztöndíjas"/>
    <s v="2021/22/1"/>
    <s v="Nappali"/>
    <n v="13"/>
    <n v="1"/>
    <s v="2021/22/2"/>
    <n v="10"/>
    <s v="71662690169"/>
    <n v="11"/>
    <x v="3"/>
    <m/>
    <m/>
    <m/>
    <m/>
    <s v="Képzésváltás intézményen belül"/>
    <d v="2021-09-13T00:00:00"/>
    <m/>
    <s v="BDPK-SEK"/>
    <s v="Eke Norbertné"/>
    <d v="2021-07-23T00:00:00"/>
    <d v="2027-01-31T00:00:00"/>
    <n v="500000"/>
    <m/>
    <n v="1"/>
    <s v="Férfi"/>
    <n v="500000"/>
    <s v="pavel.lorand@gmail.com"/>
    <s v="Giczi Ildikó"/>
    <n v="2"/>
    <s v="Aktív"/>
    <n v="2"/>
    <n v="2"/>
    <s v="magyar"/>
    <m/>
  </r>
  <r>
    <s v="Szokoli Viktória"/>
    <s v="CN1IC9"/>
    <s v="Aktív"/>
    <s v="osztatlan tanári [11 félév [testnevelő tanár; gyógytestnevelő-egészségfejlesztő tanár]]"/>
    <x v="8"/>
    <s v="osztatlan tanárképzés"/>
    <s v="TKK-OTAK-NOHU"/>
    <s v="Ajka"/>
    <s v="Veszprém"/>
    <s v="Szokoli Viktória"/>
    <s v="Magyarország"/>
    <d v="2001-02-04T00:00:00"/>
    <s v="T180317/FI80798"/>
    <x v="5"/>
    <s v="Állami ösztöndíjas"/>
    <s v="2021/22/1"/>
    <s v="Nappali"/>
    <n v="13"/>
    <n v="1"/>
    <s v="2021/22/2"/>
    <n v="10"/>
    <s v="71980084933"/>
    <n v="11"/>
    <x v="3"/>
    <m/>
    <m/>
    <m/>
    <m/>
    <s v="Képzésváltás intézményen belül"/>
    <d v="2021-09-13T00:00:00"/>
    <m/>
    <s v="BDPK-SEK"/>
    <s v="Eke Norbertné"/>
    <d v="2021-07-23T00:00:00"/>
    <d v="2027-01-31T00:00:00"/>
    <n v="500000"/>
    <m/>
    <n v="1"/>
    <s v="Nő"/>
    <n v="500000"/>
    <s v="szokoliviki14@gmail.com"/>
    <s v="Gecző Szilvia"/>
    <n v="2"/>
    <s v="Aktív"/>
    <n v="2"/>
    <n v="2"/>
    <s v="magyar"/>
    <m/>
  </r>
  <r>
    <s v="Makrai Kornél"/>
    <s v="IB8DC6"/>
    <s v="Passzív"/>
    <s v="osztatlan tanári [11 félév [testnevelő tanár; gyógytestnevelő-egészségfejlesztő tanár]]"/>
    <x v="8"/>
    <s v="osztatlan tanárképzés"/>
    <s v="TKK-OTAK-NOHU"/>
    <s v="Szombathely"/>
    <s v="Vas"/>
    <s v="Makrai Kornél"/>
    <s v="Magyarország"/>
    <d v="2002-02-05T00:00:00"/>
    <s v="T189302/FI80798"/>
    <x v="5"/>
    <s v="Állami ösztöndíjas"/>
    <s v="2021/22/1"/>
    <s v="Nappali"/>
    <n v="14"/>
    <n v="1"/>
    <s v="2021/22/1"/>
    <n v="10"/>
    <s v="71764013839"/>
    <n v="11"/>
    <x v="3"/>
    <m/>
    <m/>
    <m/>
    <m/>
    <s v="Képzésváltás intézményen belül"/>
    <d v="2021-09-13T00:00:00"/>
    <m/>
    <s v="BDPK-SEK"/>
    <s v="Eke Norbertné"/>
    <d v="2021-07-23T00:00:00"/>
    <d v="2028-01-31T00:00:00"/>
    <n v="500000"/>
    <m/>
    <n v="1"/>
    <s v="Férfi"/>
    <n v="500000"/>
    <s v="makraikornel12@gmail.com"/>
    <s v="Nyári Henrietta"/>
    <n v="1"/>
    <s v="Passzív"/>
    <n v="1"/>
    <n v="1"/>
    <s v="magyar"/>
    <m/>
  </r>
  <r>
    <s v="Ihász Mercédesz"/>
    <s v="KQW1A6"/>
    <s v="Passzív"/>
    <s v="osztatlan tanári [11 félév [testnevelő tanár; gyógytestnevelő-egészségfejlesztő tanár]]"/>
    <x v="8"/>
    <s v="osztatlan tanárképzés"/>
    <s v="TKK-OTAK-NOHU"/>
    <s v="Székesfehérvár"/>
    <s v="Fejér"/>
    <s v="Ihász Mercédesz"/>
    <s v="Magyarország"/>
    <d v="2001-12-12T00:00:00"/>
    <s v="T183644/FI80798"/>
    <x v="5"/>
    <s v="Állami ösztöndíjas"/>
    <s v="2021/22/1"/>
    <s v="Nappali"/>
    <n v="14"/>
    <n v="1"/>
    <s v="2021/22/1"/>
    <n v="10"/>
    <s v="71595287753"/>
    <n v="11"/>
    <x v="3"/>
    <m/>
    <m/>
    <m/>
    <m/>
    <s v="Képzésváltás intézményen belül"/>
    <d v="2021-09-13T00:00:00"/>
    <m/>
    <s v="BDPK-SEK"/>
    <s v="Eke Norbertné"/>
    <d v="2021-07-23T00:00:00"/>
    <d v="2028-01-31T00:00:00"/>
    <n v="500000"/>
    <m/>
    <n v="1"/>
    <s v="Nő"/>
    <n v="500000"/>
    <s v="i.ihaszmercedesz@gmail.com"/>
    <s v="Viktóri Anikó"/>
    <n v="1"/>
    <s v="Passzív"/>
    <n v="1"/>
    <n v="1"/>
    <s v="magyar"/>
    <m/>
  </r>
  <r>
    <s v="Ganzer Péter"/>
    <s v="GNTPG6"/>
    <s v="Passzív"/>
    <s v="osztatlan tanári [11 félév [testnevelő tanár; gyógytestnevelő-egészségfejlesztő tanár]]"/>
    <x v="8"/>
    <s v="osztatlan tanárképzés"/>
    <s v="TKK-OTAK-NOHU"/>
    <s v="Komárno"/>
    <m/>
    <s v="Ganzer Péter"/>
    <s v="Szlovákia"/>
    <d v="2001-10-24T00:00:00"/>
    <s v="T191581/FI80798"/>
    <x v="5"/>
    <s v="Állami ösztöndíjas"/>
    <s v="2021/22/1"/>
    <s v="Nappali"/>
    <n v="14"/>
    <m/>
    <m/>
    <n v="10"/>
    <s v="73669842408"/>
    <n v="11"/>
    <x v="3"/>
    <m/>
    <m/>
    <m/>
    <m/>
    <s v="Képzésváltás intézményen belül"/>
    <d v="2021-09-13T00:00:00"/>
    <m/>
    <s v="BDPK-SEK"/>
    <s v="Eke Norbertné"/>
    <d v="2021-08-27T00:00:00"/>
    <d v="2028-01-31T00:00:00"/>
    <n v="500000"/>
    <m/>
    <m/>
    <s v="Férfi"/>
    <n v="500000"/>
    <s v="ganzer.peter@gmail.com"/>
    <s v="Kosíková Erika"/>
    <n v="0"/>
    <s v="Passzív"/>
    <n v="0"/>
    <n v="0"/>
    <s v="szlovák"/>
    <m/>
  </r>
  <r>
    <s v="Hantó Melánia"/>
    <s v="DU4F4X"/>
    <s v="Aktív"/>
    <s v="osztatlan tanári [11 félév [testnevelő tanár; gyógytestnevelő-egészségfejlesztő tanár]]"/>
    <x v="8"/>
    <s v="osztatlan tanárképzés"/>
    <s v="TKK-OTAK-NOHU"/>
    <s v="Szombathely"/>
    <s v="Vas"/>
    <s v="Hantó Melánia"/>
    <s v="Magyarország"/>
    <d v="2002-03-01T00:00:00"/>
    <s v="T188299/FI80798"/>
    <x v="5"/>
    <s v="Állami ösztöndíjas"/>
    <s v="2020/21/1"/>
    <s v="Nappali"/>
    <n v="12"/>
    <n v="1"/>
    <s v="2021/22/2"/>
    <n v="10"/>
    <s v="71597012643"/>
    <n v="11"/>
    <x v="3"/>
    <m/>
    <m/>
    <m/>
    <m/>
    <s v="Átvétel kérelemre más magyarországi intézményből"/>
    <d v="2021-09-01T00:00:00"/>
    <m/>
    <s v="BDPK-SEK"/>
    <s v="Eke Norbertné"/>
    <d v="2020-07-23T00:00:00"/>
    <d v="2027-01-31T00:00:00"/>
    <n v="500000"/>
    <m/>
    <n v="1"/>
    <s v="Nő"/>
    <n v="500000"/>
    <s v="hantomelania@gmail.com"/>
    <s v="Kreiter Andrea"/>
    <n v="2"/>
    <s v="Aktív"/>
    <n v="2"/>
    <n v="2"/>
    <s v="magyar"/>
    <m/>
  </r>
  <r>
    <s v="Fábián Kristóf"/>
    <s v="L7WCBC"/>
    <s v="Aktív"/>
    <s v="osztatlan tanári [11 félév [testnevelő tanár; gyógytestnevelő-egészségfejlesztő tanár]]"/>
    <x v="8"/>
    <s v="osztatlan tanárképzés"/>
    <s v="TKK-OTAK-NOHU"/>
    <s v="Zalaegerszeg"/>
    <s v="Zala"/>
    <s v="Fábián Kristóf"/>
    <s v="Magyarország"/>
    <d v="2001-09-02T00:00:00"/>
    <s v="T190045/FI80798"/>
    <x v="5"/>
    <s v="Önköltséges"/>
    <s v="2021/22/1"/>
    <s v="Nappali"/>
    <n v="14"/>
    <m/>
    <m/>
    <n v="10"/>
    <s v="71602431343"/>
    <n v="11"/>
    <x v="3"/>
    <m/>
    <m/>
    <m/>
    <m/>
    <s v="Képzésváltás intézményen belül"/>
    <d v="2021-09-13T00:00:00"/>
    <m/>
    <s v="BDPK-SEK"/>
    <s v="Eke Norbertné"/>
    <d v="2021-08-27T00:00:00"/>
    <d v="2027-01-31T00:00:00"/>
    <m/>
    <m/>
    <n v="0"/>
    <s v="Férfi"/>
    <m/>
    <s v="fabinno18@gmail.com"/>
    <s v="Bankó Szilvia"/>
    <n v="2"/>
    <s v="Aktív"/>
    <n v="0"/>
    <n v="2"/>
    <s v="magyar"/>
    <n v="500000"/>
  </r>
  <r>
    <s v="Samu Barbara"/>
    <s v="FV9J6U"/>
    <s v="Aktív"/>
    <s v="osztatlan tanári [11 félév [testnevelő tanár; gyógytestnevelő-egészségfejlesztő tanár]]"/>
    <x v="8"/>
    <s v="osztatlan tanárképzés"/>
    <s v="TKK-OTAK-NOHU"/>
    <s v="Zalaegerszeg"/>
    <s v="Zala"/>
    <s v="Samu Barbara"/>
    <s v="Magyarország"/>
    <d v="2001-06-06T00:00:00"/>
    <s v="T189584/FI80798"/>
    <x v="5"/>
    <s v="Állami ösztöndíjas"/>
    <s v="2021/22/1"/>
    <s v="Nappali"/>
    <n v="13"/>
    <n v="1"/>
    <s v="2021/22/2"/>
    <n v="10"/>
    <s v="71466220808"/>
    <n v="11"/>
    <x v="3"/>
    <m/>
    <m/>
    <m/>
    <m/>
    <s v="Képzésváltás intézményen belül"/>
    <d v="2021-09-13T00:00:00"/>
    <m/>
    <s v="BDPK-SEK"/>
    <s v="Eke Norbertné"/>
    <d v="2021-07-23T00:00:00"/>
    <d v="2027-01-31T00:00:00"/>
    <n v="500000"/>
    <m/>
    <n v="1"/>
    <s v="Nő"/>
    <n v="500000"/>
    <s v="samubarbi010606@gmail.com"/>
    <s v="Tóth Éva"/>
    <n v="2"/>
    <s v="Aktív"/>
    <n v="2"/>
    <n v="2"/>
    <s v="magyar"/>
    <m/>
  </r>
  <r>
    <s v="Thier Emese"/>
    <s v="L15AOL"/>
    <s v="Aktív"/>
    <s v="osztatlan tanári [11 félév [testnevelő tanár; gyógytestnevelő-egészségfejlesztő tanár]]"/>
    <x v="8"/>
    <s v="osztatlan tanárképzés"/>
    <s v="TKK-OTAK-NOHU"/>
    <s v="Esztergom"/>
    <s v="Komárom-Esztergom"/>
    <s v="Thier Emese"/>
    <s v="Magyarország"/>
    <d v="2001-07-21T00:00:00"/>
    <s v="T181735/FI80798"/>
    <x v="5"/>
    <s v="Állami ösztöndíjas"/>
    <s v="2021/22/1"/>
    <s v="Nappali"/>
    <n v="13"/>
    <n v="1"/>
    <s v="2021/22/2"/>
    <n v="10"/>
    <s v="71606066185"/>
    <n v="11"/>
    <x v="3"/>
    <m/>
    <m/>
    <m/>
    <m/>
    <s v="Képzésváltás intézményen belül"/>
    <d v="2021-09-13T00:00:00"/>
    <m/>
    <s v="BDPK-SEK"/>
    <s v="Eke Norbertné"/>
    <d v="2021-07-23T00:00:00"/>
    <d v="2027-01-31T00:00:00"/>
    <n v="500000"/>
    <m/>
    <n v="1"/>
    <s v="Nő"/>
    <n v="500000"/>
    <s v="thier.mesi@gmail.com"/>
    <s v="Kovács Beatrix"/>
    <n v="2"/>
    <s v="Aktív"/>
    <n v="2"/>
    <n v="2"/>
    <s v="magyar"/>
    <m/>
  </r>
  <r>
    <s v="Horváth Kinga Veronika"/>
    <s v="CI0Q8V"/>
    <s v="Aktív"/>
    <s v="osztatlan tanári [11 félév [testnevelő tanár; gyógytestnevelő-egészségfejlesztő tanár]]"/>
    <x v="8"/>
    <s v="osztatlan tanárképzés"/>
    <s v="TKK-OTAK-NOHU"/>
    <s v="Sopron"/>
    <s v="Győr-Moson-Sopron"/>
    <s v="Horváth Kinga Veronika"/>
    <s v="Magyarország"/>
    <d v="2003-03-21T00:00:00"/>
    <s v="T180507/FI80798"/>
    <x v="5"/>
    <s v="Állami ösztöndíjas"/>
    <s v="2021/22/1"/>
    <s v="Nappali"/>
    <n v="13"/>
    <n v="1"/>
    <s v="2021/22/2"/>
    <n v="10"/>
    <s v="71766617704"/>
    <n v="11"/>
    <x v="3"/>
    <m/>
    <m/>
    <m/>
    <m/>
    <s v="Képzésváltás intézményen belül"/>
    <d v="2021-09-13T00:00:00"/>
    <m/>
    <s v="BDPK-SEK"/>
    <s v="Eke Norbertné"/>
    <d v="2021-07-23T00:00:00"/>
    <d v="2027-01-31T00:00:00"/>
    <n v="500000"/>
    <m/>
    <n v="1"/>
    <s v="Nő"/>
    <n v="500000"/>
    <s v="kinga.horvath0321@gmail.com"/>
    <s v="Rácz Veronika"/>
    <n v="2"/>
    <s v="Aktív"/>
    <n v="2"/>
    <n v="2"/>
    <s v="magyar"/>
    <m/>
  </r>
  <r>
    <s v="Török Annamária"/>
    <s v="DM2388"/>
    <s v="Aktív"/>
    <s v="osztatlan tanári [11 félév [testnevelő tanár; gyógytestnevelő-egészségfejlesztő tanár]]"/>
    <x v="8"/>
    <s v="osztatlan tanárképzés"/>
    <s v="TKK-OTAK-NOHU"/>
    <s v="Sopron"/>
    <s v="Győr-Moson-Sopron"/>
    <s v="Török Annamária"/>
    <s v="Magyarország"/>
    <d v="2001-06-25T00:00:00"/>
    <s v="T190056/FI80798"/>
    <x v="5"/>
    <s v="Állami ösztöndíjas"/>
    <s v="2021/22/1"/>
    <s v="Nappali"/>
    <n v="13"/>
    <n v="1"/>
    <s v="2021/22/2"/>
    <n v="10"/>
    <s v="71587710643"/>
    <n v="11"/>
    <x v="3"/>
    <m/>
    <m/>
    <m/>
    <m/>
    <s v="Képzésváltás intézményen belül"/>
    <d v="2021-09-13T00:00:00"/>
    <m/>
    <s v="BDPK-SEK"/>
    <s v="Eke Norbertné"/>
    <d v="2021-08-27T00:00:00"/>
    <d v="2027-01-31T00:00:00"/>
    <n v="500000"/>
    <m/>
    <n v="1"/>
    <s v="Nő"/>
    <n v="500000"/>
    <s v="torokanna09@gmail.com"/>
    <s v="Csóka Marianna"/>
    <n v="2"/>
    <s v="Aktív"/>
    <n v="2"/>
    <n v="2"/>
    <s v="magyar"/>
    <m/>
  </r>
  <r>
    <s v="Szmolek Emánuel László"/>
    <s v="D9BD2D"/>
    <s v="Aktív"/>
    <s v="osztatlan tanári [11 félév [testnevelő tanár; gyógytestnevelő-egészségfejlesztő tanár]]"/>
    <x v="8"/>
    <s v="osztatlan tanárképzés"/>
    <s v="TKK-OTAK-NOHU"/>
    <s v="Szombathely"/>
    <s v="Vas"/>
    <s v="Szmolek Emánuel László"/>
    <s v="Magyarország"/>
    <d v="2000-08-16T00:00:00"/>
    <s v="T182185/FI80798"/>
    <x v="5"/>
    <s v="Állami ösztöndíjas"/>
    <s v="2021/22/1"/>
    <s v="Nappali"/>
    <n v="13"/>
    <n v="1"/>
    <s v="2021/22/2"/>
    <n v="10"/>
    <s v="74735465738"/>
    <n v="11"/>
    <x v="3"/>
    <m/>
    <m/>
    <m/>
    <m/>
    <s v="Képzésváltás intézményen belül"/>
    <d v="2021-09-13T00:00:00"/>
    <m/>
    <s v="BDPK-SEK"/>
    <s v="Eke Norbertné"/>
    <d v="2021-07-23T00:00:00"/>
    <d v="2027-01-31T00:00:00"/>
    <n v="500000"/>
    <m/>
    <n v="1"/>
    <s v="Férfi"/>
    <n v="500000"/>
    <s v="szmolekemanuel0816@gmail.com"/>
    <s v="Horváth Szilvia Éva"/>
    <n v="2"/>
    <s v="Aktív"/>
    <n v="2"/>
    <n v="2"/>
    <s v="magyar"/>
    <m/>
  </r>
  <r>
    <s v="Rácz Gergő"/>
    <s v="DGWJOF"/>
    <s v="Aktív"/>
    <s v="osztatlan tanári [11 félév [testnevelő tanár; gyógytestnevelő-egészségfejlesztő tanár]]"/>
    <x v="8"/>
    <s v="osztatlan tanárképzés"/>
    <s v="TKK-OTAK-NOHU"/>
    <s v="Tapolca"/>
    <s v="Veszprém"/>
    <s v="Rácz Gergő"/>
    <s v="Magyarország"/>
    <d v="1999-04-12T00:00:00"/>
    <s v="T184866/FI80798"/>
    <x v="5"/>
    <s v="Állami ösztöndíjas"/>
    <s v="2021/22/1"/>
    <s v="Nappali"/>
    <n v="13"/>
    <n v="1"/>
    <s v="2021/22/2"/>
    <n v="10"/>
    <s v="73256301983"/>
    <n v="11"/>
    <x v="3"/>
    <m/>
    <m/>
    <m/>
    <m/>
    <s v="Képzésváltás intézményen belül"/>
    <d v="2021-09-13T00:00:00"/>
    <m/>
    <s v="BDPK-SEK"/>
    <s v="Eke Norbertné"/>
    <d v="2021-07-23T00:00:00"/>
    <d v="2027-01-31T00:00:00"/>
    <n v="500000"/>
    <m/>
    <n v="1"/>
    <s v="Férfi"/>
    <n v="500000"/>
    <s v="rg1999@citromail.hu"/>
    <s v="Balogh Mária Magdolna"/>
    <n v="2"/>
    <s v="Aktív"/>
    <n v="2"/>
    <n v="2"/>
    <s v="magyar"/>
    <m/>
  </r>
  <r>
    <s v="Kutor Gábor"/>
    <s v="KWYNB8"/>
    <s v="Aktív"/>
    <s v="osztatlan tanári [11 félév [testnevelő tanár; gyógytestnevelő-egészségfejlesztő tanár]]"/>
    <x v="8"/>
    <s v="osztatlan tanárképzés"/>
    <s v="TKK-OTAK-NOHU"/>
    <s v="Budapest"/>
    <s v="Budapest"/>
    <s v="Kutor Gábor"/>
    <s v="Magyarország"/>
    <d v="2002-08-04T00:00:00"/>
    <s v="T184321/FI80798"/>
    <x v="5"/>
    <s v="Állami ösztöndíjas"/>
    <s v="2021/22/1"/>
    <s v="Nappali"/>
    <n v="13"/>
    <n v="1"/>
    <s v="2021/22/2"/>
    <n v="10"/>
    <s v="72169512345"/>
    <n v="11"/>
    <x v="3"/>
    <m/>
    <m/>
    <m/>
    <m/>
    <s v="Képzésváltás intézményen belül"/>
    <d v="2021-09-13T00:00:00"/>
    <m/>
    <s v="BDPK-SEK"/>
    <s v="Eke Norbertné"/>
    <d v="2021-07-23T00:00:00"/>
    <d v="2027-01-31T00:00:00"/>
    <n v="500000"/>
    <m/>
    <n v="1"/>
    <s v="Férfi"/>
    <n v="500000"/>
    <s v="kutor.gabor15@gmail.com"/>
    <s v="Werb Andrea"/>
    <n v="2"/>
    <s v="Aktív"/>
    <n v="2"/>
    <n v="2"/>
    <s v="magyar"/>
    <m/>
  </r>
  <r>
    <s v="Varga Réka"/>
    <s v="NGMP8D"/>
    <s v="Aktív"/>
    <s v="osztatlan tanári [11 félév [testnevelő tanár; történelemtanár és állampolgári ismeretek tanára]]"/>
    <x v="9"/>
    <s v="osztatlan tanár"/>
    <s v="BDPK-SEK-SANO-OT-NOHU"/>
    <s v="Tata"/>
    <s v="Komárom-Esztergom"/>
    <s v="Varga Réka"/>
    <s v="Magyarország"/>
    <d v="1997-01-08T00:00:00"/>
    <s v="T013773/FI21120/B"/>
    <x v="5"/>
    <s v="Állami ösztöndíjas (képzési időn túli)"/>
    <s v="2016/17/1"/>
    <s v="Nappali"/>
    <n v="3"/>
    <n v="1"/>
    <s v="2021/22/2"/>
    <n v="10"/>
    <s v="74131881766"/>
    <n v="11"/>
    <x v="3"/>
    <m/>
    <m/>
    <m/>
    <m/>
    <s v="Képzésváltás intézményen belül"/>
    <d v="2019-09-03T00:00:00"/>
    <m/>
    <s v="BDPK-SEK"/>
    <s v="Eke Norbertné"/>
    <d v="2016-07-26T00:00:00"/>
    <d v="2022-07-15T00:00:00"/>
    <n v="500000"/>
    <m/>
    <n v="5"/>
    <s v="Nő"/>
    <n v="500000"/>
    <s v="v.rekus97@gmail.com"/>
    <s v="Góbor Erika Elvira"/>
    <n v="6"/>
    <s v="Aktív"/>
    <n v="6"/>
    <n v="12"/>
    <s v="magyar"/>
    <m/>
  </r>
  <r>
    <s v="Hajmási Dóra"/>
    <s v="ZUBCIJ"/>
    <s v="Aktív"/>
    <s v="osztatlan tanári [11 félév [történelemtanár és állampolgári ismeretek tanára; rajz- és vizuáliskultúra-tanár]]"/>
    <x v="5"/>
    <s v="osztatlan tanárképzés"/>
    <s v="TKK-OTAK-NOHU"/>
    <s v="Celldömölk"/>
    <s v="Vas"/>
    <s v="Hajmási Dóra"/>
    <s v="Magyarország"/>
    <d v="2002-08-15T00:00:00"/>
    <s v="T179580/FI80798"/>
    <x v="5"/>
    <s v="Állami ösztöndíjas"/>
    <s v="2021/22/1"/>
    <s v="Nappali"/>
    <n v="13"/>
    <n v="1"/>
    <s v="2021/22/2"/>
    <n v="10"/>
    <s v="71764311670"/>
    <n v="11"/>
    <x v="3"/>
    <m/>
    <m/>
    <m/>
    <m/>
    <s v="Képzésváltás intézményen belül"/>
    <d v="2021-09-13T00:00:00"/>
    <m/>
    <s v="BDPK-SEK"/>
    <s v="Eke Norbertné"/>
    <d v="2021-07-23T00:00:00"/>
    <d v="2027-01-31T00:00:00"/>
    <n v="500000"/>
    <m/>
    <n v="1"/>
    <s v="Nő"/>
    <n v="500000"/>
    <s v="hajmasidora216@gmail.com"/>
    <s v="Bertha Mónika Gyöngyi"/>
    <n v="2"/>
    <s v="Aktív"/>
    <n v="2"/>
    <n v="2"/>
    <s v="magyar"/>
    <m/>
  </r>
  <r>
    <s v="Rauch Enikő"/>
    <s v="ZJ3V8I"/>
    <s v="Aktív"/>
    <s v="osztatlan tanári [12 félév [angol nyelv és kultúra tanára; biológiatanár (egészségtan)]]"/>
    <x v="1"/>
    <s v="osztatlan tanárképzés"/>
    <s v="TKK-OTAK-NOHU"/>
    <s v="Szombathely"/>
    <s v="Vas"/>
    <s v="Rauch Enikő"/>
    <s v="Magyarország"/>
    <d v="1998-08-10T00:00:00"/>
    <s v="T125887/FI80798"/>
    <x v="5"/>
    <s v="Állami ösztöndíjas"/>
    <s v="2017/18/1"/>
    <s v="Nappali"/>
    <n v="5"/>
    <n v="1"/>
    <s v="2021/22/2"/>
    <n v="10"/>
    <s v="78142654315"/>
    <n v="12"/>
    <x v="3"/>
    <m/>
    <m/>
    <m/>
    <m/>
    <s v="Képzésváltás intézményen belül"/>
    <d v="2019-09-14T00:00:00"/>
    <m/>
    <s v="BDPK-SEK"/>
    <s v="Eke Norbertné"/>
    <d v="2017-07-27T00:00:00"/>
    <d v="2023-06-30T00:00:00"/>
    <n v="500000"/>
    <m/>
    <n v="5"/>
    <s v="Nő"/>
    <n v="500000"/>
    <s v="rauchattila94@gmail.com"/>
    <s v="Novák Gyöngyi"/>
    <n v="6"/>
    <s v="Aktív"/>
    <n v="6"/>
    <n v="10"/>
    <s v="magyar"/>
    <m/>
  </r>
  <r>
    <s v="Takács Péter"/>
    <s v="WDGUXU"/>
    <s v="Aktív"/>
    <s v="osztatlan tanári [12 félév [angol nyelv és kultúra tanára; biológiatanár (egészségtan)]]"/>
    <x v="1"/>
    <s v="osztatlan tanárképzés"/>
    <s v="TKK-OTAK-NOHU"/>
    <s v="Keszthely"/>
    <s v="Zala"/>
    <s v="Takács Péter"/>
    <s v="Magyarország"/>
    <d v="2000-08-22T00:00:00"/>
    <s v="T149243/FI80798"/>
    <x v="5"/>
    <s v="Állami ösztöndíjas"/>
    <s v="2019/20/1"/>
    <s v="Nappali"/>
    <n v="9"/>
    <n v="1"/>
    <s v="2021/22/2"/>
    <n v="10"/>
    <s v="74893070796"/>
    <n v="12"/>
    <x v="3"/>
    <m/>
    <m/>
    <m/>
    <m/>
    <s v="Képzésváltás intézményen belül"/>
    <d v="2019-09-14T00:00:00"/>
    <m/>
    <s v="BDPK-SEK"/>
    <s v="Eke Norbertné"/>
    <d v="2019-07-24T00:00:00"/>
    <d v="2025-06-30T00:00:00"/>
    <n v="500000"/>
    <m/>
    <n v="5"/>
    <s v="Férfi"/>
    <n v="500000"/>
    <s v="takacspeter0822@gmail.com"/>
    <s v="Kolosi Emőke"/>
    <n v="6"/>
    <s v="Aktív"/>
    <n v="6"/>
    <n v="6"/>
    <s v="magyar"/>
    <m/>
  </r>
  <r>
    <s v="Pető Emese"/>
    <s v="Q3YPWB"/>
    <s v="Aktív"/>
    <s v="osztatlan tanári [12 félév [angol nyelv és kultúra tanára; földrajztanár]]"/>
    <x v="12"/>
    <s v="osztatlan tanárképzés"/>
    <s v="TKK-OTAK-NOHU"/>
    <s v="Zalaegerszeg"/>
    <s v="Zala"/>
    <s v="Pető Emese"/>
    <s v="Magyarország"/>
    <d v="1998-02-21T00:00:00"/>
    <s v="T127793/FI80798"/>
    <x v="5"/>
    <s v="Állami ösztöndíjas"/>
    <s v="2017/18/1"/>
    <s v="Nappali"/>
    <n v="5"/>
    <n v="1"/>
    <s v="2021/22/2"/>
    <n v="10"/>
    <s v="78812549004"/>
    <n v="12"/>
    <x v="3"/>
    <m/>
    <m/>
    <m/>
    <m/>
    <s v="Képzésváltás intézményen belül"/>
    <d v="2019-09-14T00:00:00"/>
    <m/>
    <s v="BDPK-SEK"/>
    <s v="Eke Norbertné"/>
    <d v="2017-07-27T00:00:00"/>
    <d v="2023-06-30T00:00:00"/>
    <n v="500000"/>
    <m/>
    <n v="5"/>
    <s v="Nő"/>
    <n v="500000"/>
    <s v="emese1998@gmail.com"/>
    <s v="Horváth Anita"/>
    <n v="6"/>
    <s v="Aktív"/>
    <n v="6"/>
    <n v="10"/>
    <s v="magyar"/>
    <m/>
  </r>
  <r>
    <s v="Rozmán Liliána"/>
    <s v="P1YEHY"/>
    <s v="Aktív"/>
    <s v="osztatlan tanári [12 félév [angol nyelv és kultúra tanára; földrajztanár]]"/>
    <x v="12"/>
    <s v="osztatlan tanárképzés"/>
    <s v="TKK-OTAK-NOHU"/>
    <s v="Sárvár"/>
    <s v="Vas"/>
    <s v="Rozmán Liliána"/>
    <s v="Magyarország"/>
    <d v="1998-08-07T00:00:00"/>
    <s v="T125794/FI80798"/>
    <x v="5"/>
    <s v="Állami ösztöndíjas"/>
    <s v="2017/18/1"/>
    <s v="Nappali"/>
    <n v="5"/>
    <n v="1"/>
    <s v="2021/22/2"/>
    <n v="10"/>
    <s v="71700393433"/>
    <n v="12"/>
    <x v="3"/>
    <m/>
    <m/>
    <m/>
    <m/>
    <s v="Képzésváltás intézményen belül"/>
    <d v="2019-09-14T00:00:00"/>
    <m/>
    <s v="BDPK-SEK"/>
    <s v="Eke Norbertné"/>
    <d v="2017-07-27T00:00:00"/>
    <d v="2023-07-15T00:00:00"/>
    <n v="500000"/>
    <m/>
    <n v="5"/>
    <s v="Nő"/>
    <n v="500000"/>
    <s v="lilrozman5@gmail.com"/>
    <s v="Giczinger Judit"/>
    <n v="6"/>
    <s v="Aktív"/>
    <n v="6"/>
    <n v="10"/>
    <s v="magyar"/>
    <m/>
  </r>
  <r>
    <s v="Kardos Laura"/>
    <s v="FI3P5D"/>
    <s v="Aktív"/>
    <s v="osztatlan tanári [12 félév [angol nyelv és kultúra tanára; földrajztanár]]"/>
    <x v="12"/>
    <s v="osztatlan tanárképzés"/>
    <s v="TKK-OTAK-NOHU"/>
    <s v="Körmend"/>
    <s v="Vas"/>
    <s v="Kardos Laura"/>
    <s v="Magyarország"/>
    <d v="1997-05-21T00:00:00"/>
    <s v="T136160/FI80798"/>
    <x v="5"/>
    <s v="Állami ösztöndíjas"/>
    <s v="2018/19/1"/>
    <s v="Nappali"/>
    <n v="3"/>
    <n v="1"/>
    <s v="2021/22/2"/>
    <n v="10"/>
    <s v="79161593911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Nő"/>
    <n v="400000"/>
    <s v="kard.lau@gmail.com"/>
    <s v="Páli Mária Ibolya"/>
    <n v="8"/>
    <s v="Aktív"/>
    <n v="8"/>
    <n v="8"/>
    <s v="magyar"/>
    <m/>
  </r>
  <r>
    <s v="Gáspár Mária Erzsébet"/>
    <s v="BKW5TV"/>
    <s v="Aktív"/>
    <s v="osztatlan tanári [12 félév [angol nyelv és kultúra tanára; földrajztanár]]"/>
    <x v="12"/>
    <s v="osztatlan tanárképzés"/>
    <s v="TKK-OTAK-NOHU"/>
    <s v="Körmend"/>
    <s v="Vas"/>
    <s v="Gáspár Mária Erzsébet"/>
    <s v="Magyarország"/>
    <d v="2000-01-16T00:00:00"/>
    <s v="T135669/FI80798"/>
    <x v="5"/>
    <s v="Állami ösztöndíjas"/>
    <s v="2018/19/1"/>
    <s v="Nappali"/>
    <n v="7"/>
    <n v="1"/>
    <s v="2021/22/2"/>
    <n v="10"/>
    <s v="74119124760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8"/>
    <s v="Nő"/>
    <n v="400000"/>
    <s v="gasparmariaerzsebet@gmail.com"/>
    <s v="Gajdán Róza"/>
    <n v="8"/>
    <s v="Aktív"/>
    <n v="8"/>
    <n v="8"/>
    <s v="magyar"/>
    <m/>
  </r>
  <r>
    <s v="Fenyőházi Zsófia"/>
    <s v="IA18OW"/>
    <s v="Aktív"/>
    <s v="osztatlan tanári [12 félév [angol nyelv és kultúra tanára; földrajztanár]]"/>
    <x v="12"/>
    <s v="osztatlan tanárképzés"/>
    <s v="TKK-OTAK-NOHU"/>
    <s v="Veszprém"/>
    <s v="Veszprém"/>
    <s v="Fenyőházi Zsófia"/>
    <s v="Magyarország"/>
    <d v="2000-09-01T00:00:00"/>
    <s v="T149571/FI80798"/>
    <x v="5"/>
    <s v="Állami ösztöndíjas"/>
    <s v="2019/20/1"/>
    <s v="Nappali"/>
    <n v="9"/>
    <n v="1"/>
    <s v="2021/22/2"/>
    <n v="10"/>
    <s v="71980042325"/>
    <n v="12"/>
    <x v="3"/>
    <m/>
    <m/>
    <m/>
    <m/>
    <s v="Képzésváltás intézményen belül"/>
    <d v="2019-09-14T00:00:00"/>
    <m/>
    <s v="BDPK-SEK"/>
    <s v="Eke Norbertné"/>
    <d v="2019-07-24T00:00:00"/>
    <d v="2025-07-15T00:00:00"/>
    <n v="500000"/>
    <m/>
    <n v="5"/>
    <s v="Nő"/>
    <n v="500000"/>
    <s v="fenyohazizsofia@gmail.com"/>
    <s v="Holcsek Judit"/>
    <n v="6"/>
    <s v="Aktív"/>
    <n v="6"/>
    <n v="6"/>
    <s v="magyar"/>
    <m/>
  </r>
  <r>
    <s v="Pajor Adél"/>
    <s v="Q6COQE"/>
    <s v="Aktív"/>
    <s v="osztatlan tanári [12 félév [angol nyelv és kultúra tanára; földrajztanár]]"/>
    <x v="12"/>
    <s v="osztatlan tanárképzés"/>
    <s v="TKK-OTAK-NOHU"/>
    <s v="Celldömölk"/>
    <s v="Vas"/>
    <s v="Pajor Adél"/>
    <s v="Magyarország"/>
    <d v="1997-06-03T00:00:00"/>
    <s v="T164511/FI80798"/>
    <x v="5"/>
    <s v="Állami ösztöndíjas"/>
    <s v="2020/21/1"/>
    <s v="Nappali"/>
    <n v="11"/>
    <n v="1"/>
    <s v="2021/22/2"/>
    <n v="10"/>
    <s v="77661875212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Nő"/>
    <n v="500000"/>
    <s v="pajoradel@gmail.com"/>
    <s v="Bese Rita"/>
    <n v="4"/>
    <s v="Aktív"/>
    <n v="4"/>
    <n v="4"/>
    <s v="magyar"/>
    <m/>
  </r>
  <r>
    <s v="Lenner Luca Anna"/>
    <s v="YUUO43"/>
    <s v="Aktív"/>
    <s v="osztatlan tanári [12 félév [angol nyelv és kultúra tanára; földrajztanár]]"/>
    <x v="12"/>
    <s v="osztatlan tanárképzés"/>
    <s v="TKK-OTAK-NOHU"/>
    <s v="Celldömölk"/>
    <s v="Vas"/>
    <s v="Lenner Luca Anna"/>
    <s v="Magyarország"/>
    <d v="2001-11-15T00:00:00"/>
    <s v="T169754/FI80798"/>
    <x v="5"/>
    <s v="Állami ösztöndíjas"/>
    <s v="2020/21/1"/>
    <s v="Nappali"/>
    <n v="11"/>
    <n v="1"/>
    <s v="2021/22/2"/>
    <n v="10"/>
    <s v="71593014588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Nő"/>
    <n v="500000"/>
    <s v="lennerluca15@gmail.com"/>
    <s v="Patkó Ildikó Éva"/>
    <n v="4"/>
    <s v="Aktív"/>
    <n v="4"/>
    <n v="4"/>
    <s v="magyar"/>
    <m/>
  </r>
  <r>
    <s v="Góczán Péter"/>
    <s v="A0HHLG"/>
    <s v="Aktív"/>
    <s v="osztatlan tanári [12 félév [angol nyelv és kultúra tanára; földrajztanár]]"/>
    <x v="12"/>
    <s v="osztatlan tanárképzés"/>
    <s v="TKK-OTAK-NOHU"/>
    <s v="Szombathely"/>
    <s v="Vas"/>
    <s v="Góczán Péter"/>
    <s v="Magyarország"/>
    <d v="2000-11-15T00:00:00"/>
    <s v="T150859/FI80798"/>
    <x v="5"/>
    <s v="Állami ösztöndíjas"/>
    <s v="2019/20/1"/>
    <s v="Nappali"/>
    <n v="9"/>
    <n v="1"/>
    <s v="2021/22/2"/>
    <n v="10"/>
    <s v="72624692535"/>
    <n v="12"/>
    <x v="3"/>
    <m/>
    <m/>
    <m/>
    <m/>
    <s v="Képzésváltás intézményen belül"/>
    <d v="2019-09-14T00:00:00"/>
    <m/>
    <s v="BDPK-SEK"/>
    <s v="Eke Norbertné"/>
    <d v="2019-07-24T00:00:00"/>
    <d v="2025-06-30T00:00:00"/>
    <n v="500000"/>
    <m/>
    <n v="5"/>
    <s v="Férfi"/>
    <n v="500000"/>
    <s v="kellegyujinfora@gmail.com"/>
    <s v="Nardai Anikó"/>
    <n v="6"/>
    <s v="Aktív"/>
    <n v="6"/>
    <n v="6"/>
    <s v="magyar"/>
    <m/>
  </r>
  <r>
    <s v="Tóth Kristóf"/>
    <s v="ZOE51W"/>
    <s v="Aktív"/>
    <s v="osztatlan tanári [12 félév [angol nyelv és kultúra tanára; földrajztanár]]"/>
    <x v="12"/>
    <s v="osztatlan tanárképzés"/>
    <s v="TKK-OTAK-NOHU"/>
    <s v="Budapest"/>
    <s v="Budapest"/>
    <s v="Tóth Kristóf"/>
    <s v="Magyarország"/>
    <d v="2000-06-09T00:00:00"/>
    <s v="T182242/FI80798"/>
    <x v="5"/>
    <s v="Állami ösztöndíjas"/>
    <s v="2021/22/1"/>
    <s v="Nappali"/>
    <n v="13"/>
    <n v="1"/>
    <s v="2021/22/2"/>
    <n v="10"/>
    <s v="73949110265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Férfi"/>
    <n v="500000"/>
    <s v="tothkristof2013@gmail.com"/>
    <s v="Szabadfi Ildikó"/>
    <n v="2"/>
    <s v="Aktív"/>
    <n v="2"/>
    <n v="2"/>
    <s v="magyar"/>
    <m/>
  </r>
  <r>
    <s v="Horváth Csongor"/>
    <s v="JQ2FU1"/>
    <s v="Passzív"/>
    <s v="osztatlan tanári [12 félév [angol nyelv és kultúra tanára; földrajztanár]]"/>
    <x v="12"/>
    <s v="osztatlan tanárképzés"/>
    <s v="TKK-OTAK-NOHU"/>
    <s v="Szombathely"/>
    <s v="Vas"/>
    <s v="Horváth Csongor"/>
    <s v="Magyarország"/>
    <d v="2002-08-27T00:00:00"/>
    <s v="T190648/FI80798"/>
    <x v="5"/>
    <s v="Állami ösztöndíjas"/>
    <s v="2021/22/1"/>
    <s v="Nappali"/>
    <n v="14"/>
    <n v="1"/>
    <s v="2021/22/1"/>
    <n v="10"/>
    <s v="72158176600"/>
    <n v="12"/>
    <x v="3"/>
    <m/>
    <m/>
    <m/>
    <m/>
    <s v="Képzésváltás intézményen belül"/>
    <d v="2021-09-13T00:00:00"/>
    <m/>
    <s v="BDPK-SEK"/>
    <s v="Eke Norbertné"/>
    <d v="2021-07-23T00:00:00"/>
    <d v="2028-07-15T00:00:00"/>
    <n v="500000"/>
    <m/>
    <n v="1"/>
    <s v="Férfi"/>
    <n v="500000"/>
    <s v="hc72002@gmail.com"/>
    <s v="Márffy Rita Mária"/>
    <n v="1"/>
    <s v="Passzív"/>
    <m/>
    <n v="1"/>
    <s v="magyar"/>
    <m/>
  </r>
  <r>
    <s v="Kiss-Leizer Lilien"/>
    <s v="DE1ROX"/>
    <s v="Aktív"/>
    <s v="osztatlan tanári [12 félév [angol nyelv és kultúra tanára; földrajztanár]]"/>
    <x v="12"/>
    <s v="osztatlan tanárképzés"/>
    <s v="TKK-OTAK-NOHU"/>
    <s v="Kapuvár"/>
    <s v="Győr-Moson-Sopron"/>
    <s v="Kiss-Leizer Lilien"/>
    <s v="Magyarország"/>
    <d v="2002-07-04T00:00:00"/>
    <s v="T181443/FI80798"/>
    <x v="5"/>
    <s v="Állami ösztöndíjas"/>
    <s v="2021/22/1"/>
    <s v="Nappali"/>
    <n v="13"/>
    <n v="1"/>
    <s v="2021/22/2"/>
    <n v="10"/>
    <s v="71654790633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Nő"/>
    <n v="500000"/>
    <s v="kissleizerlilien@gmail.com"/>
    <s v="Axnix Éva"/>
    <n v="2"/>
    <s v="Aktív"/>
    <n v="2"/>
    <n v="2"/>
    <s v="magyar"/>
    <m/>
  </r>
  <r>
    <s v="Sudár Anikó"/>
    <s v="IUFXES"/>
    <s v="Aktív"/>
    <s v="osztatlan tanári [12 félév [angol nyelv és kultúra tanára; kémiatanár (természettudományi gyakorlatok)]]"/>
    <x v="13"/>
    <s v="osztatlan tanárképzés"/>
    <s v="TKK-OTAK-NOHU"/>
    <s v="Szombathely"/>
    <s v="Vas"/>
    <s v="Horváth Anikó"/>
    <s v="Magyarország"/>
    <d v="1998-08-12T00:00:00"/>
    <s v="T139256/FI80798"/>
    <x v="5"/>
    <s v="Állami ösztöndíjas"/>
    <s v="2018/19/1"/>
    <s v="Nappali"/>
    <n v="7"/>
    <n v="1"/>
    <s v="2021/22/2"/>
    <n v="10"/>
    <s v="75210958668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Nő"/>
    <n v="400000"/>
    <s v="horvath.aniko812@gmail.com"/>
    <s v="Kappel Anikó"/>
    <n v="8"/>
    <s v="Aktív"/>
    <n v="8"/>
    <n v="8"/>
    <s v="magyar"/>
    <m/>
  </r>
  <r>
    <s v="Horváth Roland"/>
    <s v="FD20HH"/>
    <s v="Aktív"/>
    <s v="osztatlan tanári [12 félév [angol nyelv és kultúra tanára; magyartanár]]"/>
    <x v="14"/>
    <s v="osztatlan tanárképzés"/>
    <s v="TKK-OTAK-NOHU"/>
    <s v="Szombathely"/>
    <s v="Vas"/>
    <s v="Horváth Roland"/>
    <s v="Magyarország"/>
    <d v="1997-11-28T00:00:00"/>
    <s v="T165916/FI80798"/>
    <x v="5"/>
    <s v="Állami ösztöndíjas"/>
    <s v="2020/21/1"/>
    <s v="Nappali"/>
    <n v="11"/>
    <n v="1"/>
    <s v="2021/22/2"/>
    <n v="10"/>
    <s v="73091595539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Férfi"/>
    <n v="500000"/>
    <s v="hroli97@citromail.hu"/>
    <s v="Papp Viktória"/>
    <n v="4"/>
    <s v="Aktív"/>
    <n v="4"/>
    <n v="4"/>
    <s v="magyar"/>
    <m/>
  </r>
  <r>
    <s v="Sági Manuéla"/>
    <s v="G47WQV"/>
    <s v="Aktív"/>
    <s v="osztatlan tanári [12 félév [angol nyelv és kultúra tanára; magyartanár]]"/>
    <x v="14"/>
    <s v="osztatlan tanárképzés"/>
    <s v="TKK-OTAK-NOHU"/>
    <s v="Celldömölk"/>
    <s v="Vas"/>
    <s v="Sági Manuéla"/>
    <s v="Magyarország"/>
    <d v="1998-09-23T00:00:00"/>
    <s v="T125767/FI80798"/>
    <x v="5"/>
    <s v="Állami ösztöndíjas"/>
    <s v="2017/18/1"/>
    <s v="Nappali"/>
    <n v="5"/>
    <n v="1"/>
    <s v="2021/22/2"/>
    <n v="10"/>
    <s v="79129250740"/>
    <n v="12"/>
    <x v="3"/>
    <m/>
    <m/>
    <m/>
    <m/>
    <s v="Képzésváltás intézményen belül"/>
    <d v="2020-02-14T00:00:00"/>
    <m/>
    <s v="BDPK-SEK"/>
    <s v="Eke Norbertné"/>
    <d v="2017-07-27T00:00:00"/>
    <d v="2023-07-15T00:00:00"/>
    <m/>
    <m/>
    <n v="4"/>
    <s v="Nő"/>
    <n v="300000"/>
    <s v="sagi.manuela23@gmail.com"/>
    <s v="Pénzes Tímea"/>
    <n v="5"/>
    <s v="Aktív"/>
    <n v="5"/>
    <n v="10"/>
    <s v="magyar"/>
    <m/>
  </r>
  <r>
    <s v="Baumgartner Zsófi"/>
    <s v="FYJRRS"/>
    <s v="Aktív"/>
    <s v="osztatlan tanári [12 félév [angol nyelv és kultúra tanára; magyartanár]]"/>
    <x v="14"/>
    <s v="osztatlan tanárképzés"/>
    <s v="TKK-OTAK-NOHU"/>
    <s v="Szombathely"/>
    <s v="Vas"/>
    <s v="Baumgartner Zsófi"/>
    <s v="Magyarország"/>
    <d v="1998-06-26T00:00:00"/>
    <s v="T130233/FI80798"/>
    <x v="5"/>
    <s v="Állami ösztöndíjas"/>
    <s v="2017/18/1"/>
    <s v="Nappali"/>
    <n v="5"/>
    <n v="1"/>
    <s v="2021/22/2"/>
    <n v="10"/>
    <s v="77275513887"/>
    <n v="12"/>
    <x v="3"/>
    <m/>
    <m/>
    <m/>
    <m/>
    <s v="Képzésváltás intézményen belül"/>
    <d v="2019-09-14T00:00:00"/>
    <m/>
    <s v="BDPK-SEK"/>
    <s v="Eke Norbertné"/>
    <d v="2017-07-27T00:00:00"/>
    <d v="2023-06-30T00:00:00"/>
    <n v="500000"/>
    <m/>
    <n v="5"/>
    <s v="Nő"/>
    <n v="500000"/>
    <s v="zsofibaumgartner98@gmail.com"/>
    <s v="Németh Andrea Zsuzsanna"/>
    <n v="6"/>
    <s v="Aktív"/>
    <n v="6"/>
    <n v="10"/>
    <s v="magyar"/>
    <m/>
  </r>
  <r>
    <s v="Hermann Marcell"/>
    <s v="ZLYTFF"/>
    <s v="Aktív"/>
    <s v="osztatlan tanári [12 félév [angol nyelv és kultúra tanára; magyartanár]]"/>
    <x v="14"/>
    <s v="osztatlan tanárképzés"/>
    <s v="TKK-OTAK-NOHU"/>
    <s v="Szombathely"/>
    <s v="Vas"/>
    <s v="Hermann Marcell"/>
    <s v="Magyarország"/>
    <d v="1996-05-30T00:00:00"/>
    <s v="T125968/FI80798"/>
    <x v="5"/>
    <s v="Állami ösztöndíjas"/>
    <s v="2017/18/1"/>
    <s v="Nappali"/>
    <n v="5"/>
    <n v="1"/>
    <s v="2021/22/2"/>
    <n v="10"/>
    <s v="76654904036"/>
    <n v="12"/>
    <x v="3"/>
    <m/>
    <m/>
    <m/>
    <m/>
    <s v="Képzésváltás intézményen belül"/>
    <d v="2020-02-14T00:00:00"/>
    <m/>
    <s v="BDPK-SEK"/>
    <s v="Eke Norbertné"/>
    <d v="2017-07-27T00:00:00"/>
    <d v="2023-07-15T00:00:00"/>
    <m/>
    <m/>
    <n v="4"/>
    <s v="Férfi"/>
    <n v="300000"/>
    <s v="hermann.marcell@gmail.com"/>
    <s v="Németh Judit"/>
    <n v="5"/>
    <s v="Aktív"/>
    <n v="5"/>
    <n v="10"/>
    <s v="magyar"/>
    <m/>
  </r>
  <r>
    <s v="Affiah Udeme Godwin"/>
    <s v="JJGYHP"/>
    <s v="Aktív"/>
    <s v="osztatlan tanári [12 félév [angol nyelv és kultúra tanára; magyartanár]]"/>
    <x v="14"/>
    <s v="osztatlan tanárképzés"/>
    <s v="TKK-OTAK-NOHU"/>
    <s v="Körmend"/>
    <s v="Vas"/>
    <s v="Affiah Udeme Godwin"/>
    <s v="Magyarország"/>
    <d v="1999-09-10T00:00:00"/>
    <s v="T136310/FI80798"/>
    <x v="5"/>
    <s v="Állami ösztöndíjas"/>
    <s v="2018/19/1"/>
    <s v="Nappali"/>
    <n v="7"/>
    <n v="1"/>
    <s v="2021/22/2"/>
    <n v="10"/>
    <s v="75588598643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Férfi"/>
    <n v="400000"/>
    <s v="affiahgodi@gmail.com"/>
    <s v="Parrag Éva"/>
    <n v="8"/>
    <s v="Aktív"/>
    <n v="8"/>
    <n v="8"/>
    <s v="magyar"/>
    <m/>
  </r>
  <r>
    <s v="Eremiás Emese Ildikó"/>
    <s v="A61DV0"/>
    <s v="Aktív"/>
    <s v="osztatlan tanári [12 félév [angol nyelv és kultúra tanára; magyartanár]]"/>
    <x v="14"/>
    <s v="osztatlan tanárképzés"/>
    <s v="TKK-OTAK-NOHU"/>
    <s v="Mór"/>
    <s v="Fejér"/>
    <s v="Eremiás Emese Ildikó"/>
    <s v="Magyarország"/>
    <d v="1999-01-28T00:00:00"/>
    <s v="T136756/FI80798"/>
    <x v="5"/>
    <s v="Állami ösztöndíjas"/>
    <s v="2018/19/1"/>
    <s v="Nappali"/>
    <n v="7"/>
    <n v="1"/>
    <s v="2021/22/2"/>
    <n v="10"/>
    <s v="73393274333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Nő"/>
    <n v="400000"/>
    <s v="eremiasemeseildiko@gmail.com"/>
    <s v="Andocsi Ágnes"/>
    <n v="8"/>
    <s v="Aktív"/>
    <n v="8"/>
    <n v="8"/>
    <s v="magyar"/>
    <m/>
  </r>
  <r>
    <s v="Kovács Anna"/>
    <s v="COUMZI"/>
    <s v="Aktív"/>
    <s v="osztatlan tanári [12 félév [angol nyelv és kultúra tanára; magyartanár]]"/>
    <x v="14"/>
    <s v="osztatlan tanárképzés"/>
    <s v="TKK-OTAK-NOHU"/>
    <s v="Szombathely"/>
    <s v="Vas"/>
    <s v="Kovács Anna"/>
    <s v="Magyarország"/>
    <d v="1998-10-23T00:00:00"/>
    <s v="T137103/FI80798"/>
    <x v="5"/>
    <s v="Állami ösztöndíjas"/>
    <s v="2018/19/1"/>
    <s v="Nappali"/>
    <n v="7"/>
    <n v="1"/>
    <s v="2021/22/2"/>
    <n v="10"/>
    <s v="74536473710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Nő"/>
    <n v="400000"/>
    <s v="kovacsanna1023@gmail.com"/>
    <s v="Varga Aranka"/>
    <n v="8"/>
    <s v="Aktív"/>
    <n v="8"/>
    <n v="8"/>
    <s v="magyar"/>
    <m/>
  </r>
  <r>
    <s v="Kovács Liza"/>
    <s v="RII1QT"/>
    <s v="Aktív"/>
    <s v="osztatlan tanári [12 félév [angol nyelv és kultúra tanára; magyartanár]]"/>
    <x v="14"/>
    <s v="osztatlan tanárképzés"/>
    <s v="TKK-OTAK-NOHU"/>
    <s v="Szombathely"/>
    <s v="Vas"/>
    <s v="Kovács Liza"/>
    <s v="Magyarország"/>
    <d v="1999-05-06T00:00:00"/>
    <s v="T139560/FI80798"/>
    <x v="5"/>
    <s v="Állami ösztöndíjas"/>
    <s v="2018/19/1"/>
    <s v="Nappali"/>
    <n v="7"/>
    <n v="1"/>
    <s v="2021/22/2"/>
    <n v="10"/>
    <s v="79523151773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Nő"/>
    <n v="400000"/>
    <s v="kovacsliza333@gmail.com"/>
    <s v="Várszegi Ildikó"/>
    <n v="8"/>
    <s v="Aktív"/>
    <n v="8"/>
    <n v="8"/>
    <s v="magyar"/>
    <m/>
  </r>
  <r>
    <s v="Szupper Natália"/>
    <s v="EWOVOD"/>
    <s v="Aktív"/>
    <s v="osztatlan tanári [12 félév [angol nyelv és kultúra tanára; magyartanár]]"/>
    <x v="14"/>
    <s v="osztatlan tanárképzés"/>
    <s v="TKK-OTAK-NOHU"/>
    <s v="Körmend"/>
    <s v="Vas"/>
    <s v="Szupper Natália"/>
    <s v="Magyarország"/>
    <d v="1999-11-28T00:00:00"/>
    <s v="T137285/FI80798"/>
    <x v="5"/>
    <s v="Állami ösztöndíjas"/>
    <s v="2018/19/1"/>
    <s v="Nappali"/>
    <n v="7"/>
    <n v="1"/>
    <s v="2021/22/2"/>
    <n v="10"/>
    <s v="77400697333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Nő"/>
    <n v="400000"/>
    <s v="szppr.natalia@gmail.com"/>
    <s v="Hegyi Hajnalka"/>
    <n v="8"/>
    <s v="Aktív"/>
    <n v="8"/>
    <n v="8"/>
    <s v="magyar"/>
    <m/>
  </r>
  <r>
    <s v="Kocon Anett"/>
    <s v="J6SLXJ"/>
    <s v="Aktív"/>
    <s v="osztatlan tanári [12 félév [angol nyelv és kultúra tanára; magyartanár]]"/>
    <x v="14"/>
    <s v="osztatlan tanárképzés"/>
    <s v="TKK-OTAK-NOHU"/>
    <s v="Szombathely"/>
    <s v="Vas"/>
    <s v="Kocon Anett"/>
    <s v="Magyarország"/>
    <d v="1998-05-24T00:00:00"/>
    <s v="T141811/FI80798"/>
    <x v="5"/>
    <s v="Állami ösztöndíjas"/>
    <s v="2018/19/1"/>
    <s v="Nappali"/>
    <n v="7"/>
    <n v="1"/>
    <s v="2021/22/2"/>
    <n v="10"/>
    <s v="75788276879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Nő"/>
    <n v="400000"/>
    <s v="anett.kocon@gmail.com"/>
    <s v="Szalai Zsuzsanna Mária"/>
    <n v="8"/>
    <s v="Aktív"/>
    <n v="8"/>
    <n v="8"/>
    <s v="magyar"/>
    <m/>
  </r>
  <r>
    <s v="Vers Petra"/>
    <s v="MP655Q"/>
    <s v="Aktív"/>
    <s v="osztatlan tanári [12 félév [angol nyelv és kultúra tanára; magyartanár]]"/>
    <x v="14"/>
    <s v="osztatlan tanárképzés"/>
    <s v="TKK-OTAK-NOHU"/>
    <s v="Ajka"/>
    <s v="Veszprém"/>
    <s v="Vers Petra"/>
    <s v="Magyarország"/>
    <d v="1998-12-27T00:00:00"/>
    <s v="T142707/FI80798"/>
    <x v="5"/>
    <s v="Állami ösztöndíjas"/>
    <s v="2018/19/1"/>
    <s v="Nappali"/>
    <n v="7"/>
    <n v="1"/>
    <s v="2021/22/2"/>
    <n v="10"/>
    <s v="78670338114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Nő"/>
    <n v="400000"/>
    <s v="petraesguba4@gmail.com"/>
    <s v="Bolla Nikoletta Erzsébet"/>
    <n v="8"/>
    <s v="Aktív"/>
    <n v="8"/>
    <n v="8"/>
    <s v="magyar"/>
    <m/>
  </r>
  <r>
    <s v="Farkas Noel"/>
    <s v="QWDNEG"/>
    <s v="Aktív"/>
    <s v="osztatlan tanári [12 félév [angol nyelv és kultúra tanára; magyartanár]]"/>
    <x v="14"/>
    <s v="osztatlan tanárképzés"/>
    <s v="TKK-OTAK-NOHU"/>
    <s v="Zalaegerszeg"/>
    <s v="Zala"/>
    <s v="Farkas Noel"/>
    <s v="Magyarország"/>
    <d v="2000-10-21T00:00:00"/>
    <s v="T153218/FI80798"/>
    <x v="5"/>
    <s v="Állami ösztöndíjas"/>
    <s v="2019/20/1"/>
    <s v="Nappali"/>
    <n v="9"/>
    <n v="1"/>
    <s v="2021/22/2"/>
    <n v="10"/>
    <s v="76201938864"/>
    <n v="12"/>
    <x v="3"/>
    <m/>
    <m/>
    <m/>
    <m/>
    <s v="Képzésváltás intézményen belül"/>
    <d v="2019-09-14T00:00:00"/>
    <m/>
    <s v="BDPK-SEK"/>
    <s v="Eke Norbertné"/>
    <d v="2019-07-24T00:00:00"/>
    <d v="2025-07-15T00:00:00"/>
    <n v="500000"/>
    <m/>
    <n v="5"/>
    <s v="Férfi"/>
    <n v="500000"/>
    <s v="noel.f1021@gmail.com"/>
    <s v="Horváth Erika"/>
    <n v="6"/>
    <s v="Aktív"/>
    <n v="6"/>
    <n v="6"/>
    <s v="magyar"/>
    <m/>
  </r>
  <r>
    <s v="Molnár Anna"/>
    <s v="MKYC4M"/>
    <s v="Aktív"/>
    <s v="osztatlan tanári [12 félév [angol nyelv és kultúra tanára; magyartanár]]"/>
    <x v="14"/>
    <s v="osztatlan tanárképzés"/>
    <s v="TKK-OTAK-NOHU"/>
    <s v="Zalaegerszeg"/>
    <s v="Zala"/>
    <s v="Molnár Anna"/>
    <s v="Magyarország"/>
    <d v="2000-12-02T00:00:00"/>
    <s v="T149809/FI80798"/>
    <x v="5"/>
    <s v="Állami ösztöndíjas"/>
    <s v="2019/20/1"/>
    <s v="Nappali"/>
    <n v="9"/>
    <n v="1"/>
    <s v="2021/22/2"/>
    <n v="10"/>
    <s v="74263288373"/>
    <n v="12"/>
    <x v="3"/>
    <m/>
    <m/>
    <m/>
    <m/>
    <s v="Képzésváltás intézményen belül"/>
    <d v="2019-09-14T00:00:00"/>
    <m/>
    <s v="BDPK-SEK"/>
    <s v="Eke Norbertné"/>
    <d v="2019-07-24T00:00:00"/>
    <d v="2025-07-15T00:00:00"/>
    <n v="500000"/>
    <m/>
    <n v="5"/>
    <s v="Nő"/>
    <n v="500000"/>
    <s v="annamolnr12@gmail.com"/>
    <s v="Szabó Edit"/>
    <n v="6"/>
    <s v="Aktív"/>
    <n v="6"/>
    <n v="6"/>
    <s v="magyar"/>
    <m/>
  </r>
  <r>
    <s v="Hodocsek Dominika"/>
    <s v="CQUOSM"/>
    <s v="Aktív"/>
    <s v="osztatlan tanári [12 félév [angol nyelv és kultúra tanára; magyartanár]]"/>
    <x v="14"/>
    <s v="osztatlan tanárképzés"/>
    <s v="TKK-OTAK-NOHU"/>
    <s v="Nagykanizsa"/>
    <s v="Zala"/>
    <s v="Hodocsek Dominika"/>
    <s v="Magyarország"/>
    <d v="2000-05-23T00:00:00"/>
    <s v="T155448/FI80798"/>
    <x v="5"/>
    <s v="Állami ösztöndíjas"/>
    <s v="2019/20/1"/>
    <s v="Nappali"/>
    <n v="9"/>
    <n v="1"/>
    <s v="2021/22/2"/>
    <n v="10"/>
    <s v="75824879446"/>
    <n v="12"/>
    <x v="3"/>
    <m/>
    <m/>
    <m/>
    <m/>
    <s v="Képzésváltás intézményen belül"/>
    <d v="2019-09-14T00:00:00"/>
    <m/>
    <s v="BDPK-SEK"/>
    <s v="Eke Norbertné"/>
    <d v="2019-07-24T00:00:00"/>
    <d v="2025-07-15T00:00:00"/>
    <n v="500000"/>
    <m/>
    <n v="5"/>
    <s v="Nő"/>
    <n v="500000"/>
    <s v="hodocsekdoma@gmail.com"/>
    <s v="Tóth Nikoletta"/>
    <n v="6"/>
    <s v="Aktív"/>
    <n v="6"/>
    <n v="6"/>
    <s v="magyar"/>
    <m/>
  </r>
  <r>
    <s v="Kovács Petra"/>
    <s v="HFMZ8C"/>
    <s v="Aktív"/>
    <s v="osztatlan tanári [12 félév [angol nyelv és kultúra tanára; magyartanár]]"/>
    <x v="14"/>
    <s v="osztatlan tanárképzés"/>
    <s v="TKK-OTAK-NOHU"/>
    <s v="Ajka"/>
    <s v="Veszprém"/>
    <s v="Kovács Petra"/>
    <s v="Magyarország"/>
    <d v="2000-11-24T00:00:00"/>
    <s v="T156517/FI80798"/>
    <x v="5"/>
    <s v="Állami ösztöndíjas"/>
    <s v="2019/20/1"/>
    <s v="Nappali"/>
    <n v="9"/>
    <n v="1"/>
    <s v="2021/22/2"/>
    <n v="10"/>
    <s v="76226480000"/>
    <n v="12"/>
    <x v="3"/>
    <m/>
    <m/>
    <m/>
    <m/>
    <s v="Képzésváltás intézményen belül"/>
    <d v="2019-09-14T00:00:00"/>
    <m/>
    <s v="BDPK-SEK"/>
    <s v="Eke Norbertné"/>
    <d v="2019-07-24T00:00:00"/>
    <d v="2025-06-30T00:00:00"/>
    <n v="500000"/>
    <m/>
    <n v="5"/>
    <s v="Nő"/>
    <n v="500000"/>
    <s v="kovacspetra1124@gmail.com"/>
    <s v="Markó Timea"/>
    <n v="6"/>
    <s v="Aktív"/>
    <n v="6"/>
    <n v="6"/>
    <s v="magyar"/>
    <m/>
  </r>
  <r>
    <s v="Gombor Bálint"/>
    <s v="FAWNJ1"/>
    <s v="Aktív"/>
    <s v="osztatlan tanári [12 félév [angol nyelv és kultúra tanára; magyartanár]]"/>
    <x v="14"/>
    <s v="osztatlan tanárképzés"/>
    <s v="TKK-OTAK-NOHU"/>
    <s v="Szombathely"/>
    <s v="Vas"/>
    <s v="Gombor Bálint"/>
    <s v="Magyarország"/>
    <d v="2000-09-03T00:00:00"/>
    <s v="T153154/FI80798"/>
    <x v="5"/>
    <s v="Állami ösztöndíjas"/>
    <s v="2019/20/1"/>
    <s v="Nappali"/>
    <n v="9"/>
    <n v="1"/>
    <s v="2021/22/2"/>
    <n v="10"/>
    <s v="75245028485"/>
    <n v="12"/>
    <x v="3"/>
    <m/>
    <m/>
    <m/>
    <m/>
    <s v="Képzésváltás intézményen belül"/>
    <d v="2019-09-14T00:00:00"/>
    <m/>
    <s v="BDPK-SEK"/>
    <s v="Eke Norbertné"/>
    <d v="2019-07-24T00:00:00"/>
    <d v="2025-07-15T00:00:00"/>
    <n v="500000"/>
    <m/>
    <n v="5"/>
    <s v="Férfi"/>
    <n v="500000"/>
    <s v="fawnj1@student.elte.hu"/>
    <s v="Szatykó Ildikó Mária"/>
    <n v="6"/>
    <s v="Aktív"/>
    <n v="6"/>
    <n v="6"/>
    <s v="magyar"/>
    <m/>
  </r>
  <r>
    <s v="Zsigmond Barbara Henrietta"/>
    <s v="L6BCX4"/>
    <s v="Aktív"/>
    <s v="osztatlan tanári [12 félév [angol nyelv és kultúra tanára; magyartanár]]"/>
    <x v="14"/>
    <s v="osztatlan tanárképzés"/>
    <s v="TKK-OTAK-NOHU"/>
    <s v="Szombathely"/>
    <s v="Vas"/>
    <s v="Zsigmond Barbara Henrietta"/>
    <s v="Magyarország"/>
    <d v="1999-10-07T00:00:00"/>
    <s v="T153107/FI80798"/>
    <x v="5"/>
    <s v="Állami ösztöndíjas"/>
    <s v="2019/20/1"/>
    <s v="Nappali"/>
    <n v="9"/>
    <n v="1"/>
    <s v="2021/22/2"/>
    <n v="10"/>
    <s v="73337302247"/>
    <n v="12"/>
    <x v="3"/>
    <m/>
    <m/>
    <m/>
    <m/>
    <s v="Képzésváltás intézményen belül"/>
    <d v="2019-09-14T00:00:00"/>
    <m/>
    <s v="BDPK-SEK"/>
    <s v="Eke Norbertné"/>
    <d v="2019-07-24T00:00:00"/>
    <d v="2025-07-15T00:00:00"/>
    <n v="500000"/>
    <m/>
    <n v="5"/>
    <s v="Nő"/>
    <n v="500000"/>
    <s v="barbarahenrietta@freemail.hu"/>
    <s v="Dezse Henrietta Anikó"/>
    <n v="6"/>
    <s v="Aktív"/>
    <n v="6"/>
    <n v="6"/>
    <s v="magyar"/>
    <m/>
  </r>
  <r>
    <s v="Fekete Levente László"/>
    <s v="NZTD15"/>
    <s v="Aktív"/>
    <s v="osztatlan tanári [12 félév [angol nyelv és kultúra tanára; magyartanár]]"/>
    <x v="14"/>
    <s v="osztatlan tanárképzés"/>
    <s v="TKK-OTAK-NOHU"/>
    <s v="Szombathely"/>
    <s v="Vas"/>
    <s v="Fekete Levente László"/>
    <s v="Magyarország"/>
    <d v="2001-03-18T00:00:00"/>
    <s v="T155814/FI80798"/>
    <x v="5"/>
    <s v="Állami ösztöndíjas"/>
    <s v="2019/20/1"/>
    <s v="Nappali"/>
    <n v="9"/>
    <n v="1"/>
    <s v="2021/22/2"/>
    <n v="10"/>
    <s v="74182945383"/>
    <n v="12"/>
    <x v="3"/>
    <m/>
    <m/>
    <m/>
    <m/>
    <s v="Képzésváltás intézményen belül"/>
    <d v="2019-09-14T00:00:00"/>
    <m/>
    <s v="BDPK-SEK"/>
    <s v="Eke Norbertné"/>
    <d v="2019-07-24T00:00:00"/>
    <d v="2025-07-15T00:00:00"/>
    <n v="500000"/>
    <m/>
    <n v="5"/>
    <s v="Férfi"/>
    <n v="500000"/>
    <s v="kavicsmen@gmail.com"/>
    <s v="Piskor Eszter Márta"/>
    <n v="6"/>
    <s v="Aktív"/>
    <n v="6"/>
    <n v="6"/>
    <s v="magyar"/>
    <m/>
  </r>
  <r>
    <s v="Nyári Kinga"/>
    <s v="GGCELM"/>
    <s v="Aktív"/>
    <s v="osztatlan tanári [12 félév [angol nyelv és kultúra tanára; magyartanár]]"/>
    <x v="14"/>
    <s v="osztatlan tanárképzés"/>
    <s v="TKK-OTAK-NOHU"/>
    <s v="Szombathely"/>
    <s v="Vas"/>
    <s v="Nyári Kinga"/>
    <s v="Magyarország"/>
    <d v="2001-04-14T00:00:00"/>
    <s v="T162174/FI80798"/>
    <x v="5"/>
    <s v="Állami ösztöndíjas"/>
    <s v="2020/21/1"/>
    <s v="Nappali"/>
    <n v="11"/>
    <n v="1"/>
    <s v="2021/22/2"/>
    <n v="10"/>
    <s v="78675370974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Nő"/>
    <n v="500000"/>
    <s v="nyarikinga20@gmail.com"/>
    <s v="Horváth Rozália"/>
    <n v="4"/>
    <s v="Aktív"/>
    <n v="4"/>
    <n v="4"/>
    <s v="magyar"/>
    <m/>
  </r>
  <r>
    <s v="Szénási Marianna"/>
    <s v="MU1161"/>
    <s v="Aktív"/>
    <s v="osztatlan tanári [12 félév [angol nyelv és kultúra tanára; magyartanár]]"/>
    <x v="14"/>
    <s v="osztatlan tanárképzés"/>
    <s v="TKK-OTAK-NOHU"/>
    <s v="Miskolc"/>
    <s v="Borsod-Abaúj-Zemplén"/>
    <s v="Szénási Marianna"/>
    <s v="Magyarország"/>
    <d v="2000-07-27T00:00:00"/>
    <s v="T161461/FI80798"/>
    <x v="5"/>
    <s v="Állami ösztöndíjas"/>
    <s v="2020/21/1"/>
    <s v="Nappali"/>
    <n v="11"/>
    <n v="1"/>
    <s v="2021/22/2"/>
    <n v="10"/>
    <s v="72921094513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Nő"/>
    <n v="500000"/>
    <s v="Szenasimacus18@gmail.com"/>
    <s v="Meczó Marianna"/>
    <n v="4"/>
    <s v="Aktív"/>
    <n v="4"/>
    <n v="4"/>
    <s v="magyar"/>
    <m/>
  </r>
  <r>
    <s v="Varga Bernadett"/>
    <s v="E3K9J5"/>
    <s v="Aktív"/>
    <s v="osztatlan tanári [12 félév [angol nyelv és kultúra tanára; magyartanár]]"/>
    <x v="14"/>
    <s v="osztatlan tanárképzés"/>
    <s v="TKK-OTAK-NOHU"/>
    <s v="Zalaegerszeg"/>
    <s v="Zala"/>
    <s v="Varga Bernadett"/>
    <s v="Magyarország"/>
    <d v="2001-04-26T00:00:00"/>
    <s v="T185151/FI80798"/>
    <x v="5"/>
    <s v="Állami ösztöndíjas"/>
    <s v="2021/22/1"/>
    <s v="Nappali"/>
    <n v="13"/>
    <n v="1"/>
    <s v="2021/22/2"/>
    <n v="10"/>
    <s v="72503859760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Nő"/>
    <n v="500000"/>
    <s v="vargabebo2001@gmail.com"/>
    <s v="Majoros Anikó"/>
    <n v="2"/>
    <s v="Aktív"/>
    <n v="2"/>
    <n v="2"/>
    <s v="magyar"/>
    <m/>
  </r>
  <r>
    <s v="Nagy Dániel Péter"/>
    <s v="P5EL4T"/>
    <s v="Aktív"/>
    <s v="osztatlan tanári [12 félév [angol nyelv és kultúra tanára; magyartanár]]"/>
    <x v="14"/>
    <s v="osztatlan tanárképzés"/>
    <s v="TKK-OTAK-NOHU"/>
    <s v="Szombathely"/>
    <s v="Vas"/>
    <s v="Nagy Dániel Péter"/>
    <s v="Magyarország"/>
    <d v="2000-12-29T00:00:00"/>
    <s v="T162021/FI80798"/>
    <x v="5"/>
    <s v="Állami ösztöndíjas"/>
    <s v="2020/21/1"/>
    <s v="Nappali"/>
    <n v="11"/>
    <n v="1"/>
    <s v="2021/22/2"/>
    <n v="10"/>
    <s v="71466397587"/>
    <n v="12"/>
    <x v="3"/>
    <m/>
    <m/>
    <m/>
    <m/>
    <s v="Képzésváltás intézményen belül"/>
    <d v="2021-09-01T00:00:00"/>
    <m/>
    <s v="BDPK-SEK"/>
    <s v="Eke Norbertné"/>
    <d v="2020-07-23T00:00:00"/>
    <d v="2026-07-15T00:00:00"/>
    <n v="500000"/>
    <m/>
    <n v="1"/>
    <s v="Férfi"/>
    <n v="500000"/>
    <s v="dnagy200012@gmail.com"/>
    <s v="Gáspár Ildikó Katalin"/>
    <n v="2"/>
    <s v="Aktív"/>
    <n v="2"/>
    <n v="4"/>
    <s v="magyar"/>
    <m/>
  </r>
  <r>
    <s v="Major Fanni Kíra"/>
    <s v="DTHK1A"/>
    <s v="Aktív"/>
    <s v="osztatlan tanári [12 félév [angol nyelv és kultúra tanára; magyartanár]]"/>
    <x v="14"/>
    <s v="osztatlan tanárképzés"/>
    <s v="TKK-OTAK-NOHU"/>
    <s v="Tapolca"/>
    <s v="Veszprém"/>
    <s v="Major Fanni Kíra"/>
    <s v="Magyarország"/>
    <d v="2002-10-17T00:00:00"/>
    <s v="T181849/FI80798"/>
    <x v="5"/>
    <s v="Állami ösztöndíjas"/>
    <s v="2021/22/1"/>
    <s v="Nappali"/>
    <n v="13"/>
    <n v="1"/>
    <s v="2021/22/2"/>
    <n v="10"/>
    <s v="72172080582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Nő"/>
    <n v="500000"/>
    <s v="fannimajor5@gmail.com"/>
    <s v="Borbély Éva"/>
    <n v="2"/>
    <s v="Aktív"/>
    <n v="2"/>
    <n v="2"/>
    <s v="magyar"/>
    <m/>
  </r>
  <r>
    <s v="Szabadi Lídia"/>
    <s v="X8A8WG"/>
    <s v="Passzív"/>
    <s v="osztatlan tanári [12 félév [angol nyelv és kultúra tanára; matematikatanár]]"/>
    <x v="7"/>
    <s v="osztatlan tanárképzés"/>
    <s v="TKK-OTAK-NOHU"/>
    <s v="Körmend"/>
    <s v="Vas"/>
    <s v="Szabadi Lídia"/>
    <s v="Magyarország"/>
    <d v="1999-03-18T00:00:00"/>
    <s v="T139469/FI80798"/>
    <x v="5"/>
    <s v="Állami ösztöndíjas"/>
    <s v="2018/19/1"/>
    <s v="Nappali"/>
    <n v="9"/>
    <n v="1"/>
    <s v="2020/21/2"/>
    <n v="10"/>
    <s v="76189750109"/>
    <n v="12"/>
    <x v="3"/>
    <m/>
    <m/>
    <m/>
    <m/>
    <s v="Képzésváltás intézményen belül"/>
    <d v="2018-09-06T00:00:00"/>
    <m/>
    <s v="BDPK-SEK"/>
    <s v="Eke Norbertné"/>
    <d v="2018-07-25T00:00:00"/>
    <d v="2025-07-15T00:00:00"/>
    <n v="400000"/>
    <m/>
    <n v="6"/>
    <s v="Nő"/>
    <n v="400000"/>
    <s v="lidia.szabadi@gmail.com"/>
    <s v="Varga Anna Mária"/>
    <n v="6"/>
    <s v="Passzív"/>
    <m/>
    <n v="6"/>
    <s v="magyar"/>
    <m/>
  </r>
  <r>
    <s v="Taschner Lili Réka"/>
    <s v="FW9IKB"/>
    <s v="Passzív"/>
    <s v="osztatlan tanári [12 félév [angol nyelv és kultúra tanára; matematikatanár]]"/>
    <x v="7"/>
    <s v="osztatlan tanárképzés"/>
    <s v="TKK-OTAK-NOHU"/>
    <s v="Szombathely"/>
    <s v="Vas"/>
    <s v="Taschner Lili Réka"/>
    <s v="Magyarország"/>
    <d v="1998-10-27T00:00:00"/>
    <s v="T138696/FI80798"/>
    <x v="5"/>
    <s v="Állami ösztöndíjas"/>
    <s v="2018/19/1"/>
    <s v="Nappali"/>
    <n v="8"/>
    <n v="1"/>
    <s v="2021/22/1"/>
    <n v="10"/>
    <s v="74341627590"/>
    <n v="12"/>
    <x v="3"/>
    <m/>
    <m/>
    <m/>
    <m/>
    <s v="Képzésváltás intézményen belül"/>
    <d v="2019-09-14T00:00:00"/>
    <m/>
    <s v="BDPK-SEK"/>
    <s v="Eke Norbertné"/>
    <d v="2018-07-25T00:00:00"/>
    <d v="2025-07-15T00:00:00"/>
    <n v="500000"/>
    <m/>
    <n v="5"/>
    <s v="Nő"/>
    <n v="500000"/>
    <s v="taschnerlili@gmail.com"/>
    <s v="Barát Krisztina"/>
    <n v="5"/>
    <s v="Passzív"/>
    <n v="5"/>
    <n v="7"/>
    <s v="magyar"/>
    <m/>
  </r>
  <r>
    <s v="Tompos Réka"/>
    <s v="KQD27X"/>
    <s v="Aktív"/>
    <s v="osztatlan tanári [12 félév [angol nyelv és kultúra tanára; matematikatanár]]"/>
    <x v="7"/>
    <s v="osztatlan tanárképzés"/>
    <s v="TKK-OTAK-NOHU"/>
    <s v="Csorna"/>
    <s v="Győr-Moson-Sopron"/>
    <s v="Tompos Réka"/>
    <s v="Magyarország"/>
    <d v="1999-12-04T00:00:00"/>
    <s v="T149363/FI80798"/>
    <x v="5"/>
    <s v="Állami ösztöndíjas"/>
    <s v="2019/20/1"/>
    <s v="Nappali"/>
    <n v="9"/>
    <n v="1"/>
    <s v="2021/22/2"/>
    <n v="10"/>
    <s v="75313838307"/>
    <n v="12"/>
    <x v="3"/>
    <m/>
    <m/>
    <m/>
    <m/>
    <s v="Képzésváltás intézményen belül"/>
    <d v="2019-09-14T00:00:00"/>
    <m/>
    <s v="BDPK-SEK"/>
    <s v="Eke Norbertné"/>
    <d v="2019-07-24T00:00:00"/>
    <d v="2025-06-30T00:00:00"/>
    <n v="500000"/>
    <m/>
    <n v="5"/>
    <s v="Nő"/>
    <n v="500000"/>
    <s v="tomposreeka@gmail.com"/>
    <s v="Cser Renáta"/>
    <n v="6"/>
    <s v="Aktív"/>
    <n v="6"/>
    <n v="6"/>
    <s v="magyar"/>
    <m/>
  </r>
  <r>
    <s v="Peresztegi Bálint"/>
    <s v="CATZ9S"/>
    <s v="Aktív"/>
    <s v="osztatlan tanári [12 félév [angol nyelv és kultúra tanára; matematikatanár]]"/>
    <x v="7"/>
    <s v="osztatlan tanárképzés"/>
    <s v="TKK-OTAK-NOHU"/>
    <s v="Szombathely"/>
    <s v="Vas"/>
    <s v="Peresztegi Bálint"/>
    <s v="Magyarország"/>
    <d v="1989-10-20T00:00:00"/>
    <s v="T189896/FI80798"/>
    <x v="5"/>
    <s v="Állami ösztöndíjas"/>
    <s v="2021/22/1"/>
    <s v="Nappali"/>
    <n v="4"/>
    <n v="1"/>
    <s v="2021/22/2"/>
    <n v="10"/>
    <s v="73462122615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Férfi"/>
    <n v="500000"/>
    <s v="peresztegibalint@freemail.hu"/>
    <s v="Ohr Imelda Mária"/>
    <n v="2"/>
    <s v="Aktív"/>
    <n v="2"/>
    <n v="2"/>
    <s v="magyar"/>
    <m/>
  </r>
  <r>
    <s v="Nemes Attila"/>
    <s v="IM3V70"/>
    <s v="Aktív"/>
    <s v="osztatlan tanári [12 félév [angol nyelv és kultúra tanára; matematikatanár]]"/>
    <x v="7"/>
    <s v="osztatlan tanárképzés"/>
    <s v="TKK-OTAK-NOHU"/>
    <s v="Celldömölk"/>
    <s v="Vas"/>
    <s v="Nemes Attila"/>
    <s v="Magyarország"/>
    <d v="2000-07-28T00:00:00"/>
    <s v="T151124/FI80798"/>
    <x v="5"/>
    <s v="Állami ösztöndíjas"/>
    <s v="2019/20/1"/>
    <s v="Nappali"/>
    <n v="9"/>
    <n v="1"/>
    <s v="2021/22/2"/>
    <n v="10"/>
    <s v="75785891669"/>
    <n v="12"/>
    <x v="3"/>
    <m/>
    <m/>
    <m/>
    <m/>
    <s v="Képzésváltás intézményen belül"/>
    <d v="2019-09-14T00:00:00"/>
    <m/>
    <s v="BDPK-SEK"/>
    <s v="Eke Norbertné"/>
    <d v="2019-07-24T00:00:00"/>
    <d v="2025-07-15T00:00:00"/>
    <n v="500000"/>
    <m/>
    <n v="5"/>
    <s v="Férfi"/>
    <n v="500000"/>
    <s v="attilanemes2000@gmail.com"/>
    <s v="Somogyi Adrienn"/>
    <n v="6"/>
    <s v="Aktív"/>
    <n v="6"/>
    <n v="6"/>
    <s v="magyar"/>
    <m/>
  </r>
  <r>
    <s v="Fehér Szabina"/>
    <s v="NLBHJH"/>
    <s v="Aktív"/>
    <s v="osztatlan tanári [12 félév [angol nyelv és kultúra tanára; matematikatanár]]"/>
    <x v="7"/>
    <s v="osztatlan tanárképzés"/>
    <s v="TKK-OTAK-NOHU"/>
    <s v="Szombathely"/>
    <s v="Vas"/>
    <s v="Fehér Szabina"/>
    <s v="Magyarország"/>
    <d v="2001-11-23T00:00:00"/>
    <s v="T182845/FI80798"/>
    <x v="5"/>
    <s v="Állami ösztöndíjas"/>
    <s v="2021/22/1"/>
    <s v="Nappali"/>
    <n v="13"/>
    <n v="1"/>
    <s v="2021/22/2"/>
    <n v="10"/>
    <s v="71466411096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Nő"/>
    <n v="500000"/>
    <s v="feherszabina@student.elte.hu"/>
    <s v="Anderkó Szilvia"/>
    <n v="2"/>
    <s v="Aktív"/>
    <n v="2"/>
    <n v="2"/>
    <s v="magyar"/>
    <m/>
  </r>
  <r>
    <s v="Bálint Boglárka Eszter"/>
    <s v="IKMOLZ"/>
    <s v="Aktív"/>
    <s v="osztatlan tanári [12 félév [angol nyelv és kultúra tanára; matematikatanár]]"/>
    <x v="7"/>
    <s v="osztatlan tanárképzés"/>
    <s v="TKK-OTAK-NOHU"/>
    <s v="Kecskemét"/>
    <s v="Bács-Kiskun"/>
    <s v="Bálint Boglárka Eszter"/>
    <s v="Magyarország"/>
    <d v="2002-05-24T00:00:00"/>
    <s v="T166511/FI80798"/>
    <x v="5"/>
    <s v="Állami ösztöndíjas"/>
    <s v="2020/21/1"/>
    <s v="Nappali"/>
    <n v="11"/>
    <n v="1"/>
    <s v="2021/22/2"/>
    <n v="10"/>
    <s v="71625830993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Nő"/>
    <n v="500000"/>
    <s v="balintboglarka7@gmail.com"/>
    <s v="Völgyi Valéria"/>
    <n v="4"/>
    <s v="Aktív"/>
    <n v="4"/>
    <n v="4"/>
    <s v="magyar"/>
    <m/>
  </r>
  <r>
    <s v="Molnár Klementina"/>
    <s v="JCS0B8"/>
    <s v="Aktív"/>
    <s v="osztatlan tanári [12 félév [angol nyelv és kultúra tanára; német nyelv és kultúra tanára]]"/>
    <x v="4"/>
    <s v="osztatlan tanárképzés"/>
    <s v="TKK-OTAK-NOHU"/>
    <s v="Zalaegerszeg"/>
    <s v="Zala"/>
    <s v="Molnár Klementina"/>
    <s v="Magyarország"/>
    <d v="2000-12-10T00:00:00"/>
    <s v="T161894/FI80798"/>
    <x v="5"/>
    <s v="Állami ösztöndíjas"/>
    <s v="2020/21/1"/>
    <s v="Nappali"/>
    <n v="11"/>
    <n v="1"/>
    <s v="2021/22/2"/>
    <n v="10"/>
    <s v="73782138666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Nő"/>
    <n v="500000"/>
    <s v="tina.molnar@gmail.com"/>
    <s v="Somogyi Henrietta"/>
    <n v="4"/>
    <s v="Aktív"/>
    <n v="4"/>
    <n v="4"/>
    <s v="magyar"/>
    <m/>
  </r>
  <r>
    <s v="Szabó Anna Boglárka"/>
    <s v="IMINN1"/>
    <s v="Passzív"/>
    <s v="osztatlan tanári [12 félév [angol nyelv és kultúra tanára; német nyelv és kultúra tanára]]"/>
    <x v="4"/>
    <s v="osztatlan tanárképzés"/>
    <s v="TKK-OTAK-NOHU"/>
    <s v="Szombathely"/>
    <s v="Vas"/>
    <s v="Szabó Anna Boglárka"/>
    <s v="Magyarország"/>
    <d v="2001-05-07T00:00:00"/>
    <s v="T183431/FI80798"/>
    <x v="5"/>
    <s v="Állami ösztöndíjas"/>
    <s v="2021/22/1"/>
    <s v="Nappali"/>
    <n v="14"/>
    <n v="1"/>
    <s v="2021/22/1"/>
    <n v="10"/>
    <s v="71974504649"/>
    <n v="12"/>
    <x v="3"/>
    <m/>
    <m/>
    <m/>
    <m/>
    <s v="Képzésváltás intézményen belül"/>
    <d v="2021-09-13T00:00:00"/>
    <m/>
    <s v="BDPK-SEK"/>
    <s v="Eke Norbertné"/>
    <d v="2021-07-23T00:00:00"/>
    <d v="2028-07-15T00:00:00"/>
    <n v="500000"/>
    <m/>
    <n v="1"/>
    <s v="Nő"/>
    <n v="500000"/>
    <s v="szaboannab@gmail.com"/>
    <s v="Lesch Andrea"/>
    <n v="1"/>
    <s v="Passzív"/>
    <n v="1"/>
    <n v="1"/>
    <s v="magyar"/>
    <m/>
  </r>
  <r>
    <s v="Varró Hunor Koppány"/>
    <s v="SFSZY8"/>
    <s v="Aktív"/>
    <s v="osztatlan tanári [12 félév [angol nyelv és kultúra tanára; német nyelv és kultúra tanára]]"/>
    <x v="4"/>
    <s v="osztatlan tanárképzés"/>
    <s v="TKK-OTAK-NOHU"/>
    <s v="Ajka"/>
    <s v="Veszprém"/>
    <s v="Varró Hunor Koppány"/>
    <s v="Magyarország"/>
    <d v="2002-01-18T00:00:00"/>
    <s v="T190472/FI80798"/>
    <x v="5"/>
    <s v="Állami ösztöndíjas"/>
    <s v="2021/22/1"/>
    <s v="Nappali"/>
    <n v="13"/>
    <n v="1"/>
    <s v="2021/22/2"/>
    <n v="10"/>
    <s v="71592005403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Férfi"/>
    <n v="500000"/>
    <s v="vhunorka@gmail.com"/>
    <s v="Éri Ildikó"/>
    <n v="2"/>
    <s v="Aktív"/>
    <n v="2"/>
    <n v="2"/>
    <s v="magyar"/>
    <m/>
  </r>
  <r>
    <s v="Gálos Csenge Lilla"/>
    <s v="DM9N7G"/>
    <s v="Aktív"/>
    <s v="osztatlan tanári [12 félév [angol nyelv és kultúra tanára; testnevelő tanár]]"/>
    <x v="8"/>
    <s v="osztatlan tanár"/>
    <s v="BDPK-SEK-SANO-OT-NOHU"/>
    <s v="Szombathely"/>
    <s v="Vas"/>
    <s v="Gálos Csenge Lilla"/>
    <s v="Magyarország"/>
    <d v="1997-11-05T00:00:00"/>
    <s v="T013711/FI21120/B"/>
    <x v="5"/>
    <s v="Állami ösztöndíjas"/>
    <s v="2016/17/1"/>
    <s v="Nappali"/>
    <n v="3"/>
    <n v="1"/>
    <s v="2021/22/2"/>
    <n v="10"/>
    <s v="76937135552"/>
    <n v="12"/>
    <x v="3"/>
    <m/>
    <m/>
    <m/>
    <m/>
    <s v="Képzésváltás intézményen belül"/>
    <d v="2019-09-03T00:00:00"/>
    <m/>
    <s v="BDPK-SEK"/>
    <s v="Eke Norbertné"/>
    <d v="2016-07-26T00:00:00"/>
    <d v="2022-06-30T00:00:00"/>
    <n v="500000"/>
    <m/>
    <n v="5"/>
    <s v="Nő"/>
    <n v="500000"/>
    <s v="csengikegalos@gmail.com"/>
    <s v="Kemény Yvette"/>
    <n v="6"/>
    <s v="Aktív"/>
    <n v="6"/>
    <n v="12"/>
    <s v="magyar"/>
    <m/>
  </r>
  <r>
    <s v="Szabó Márton"/>
    <s v="HSRYTR"/>
    <s v="Aktív"/>
    <s v="osztatlan tanári [12 félév [angol nyelv és kultúra tanára; testnevelő tanár]]"/>
    <x v="8"/>
    <s v="osztatlan tanárképzés"/>
    <s v="TKK-OTAK-NOHU"/>
    <s v="Szombathely"/>
    <s v="Vas"/>
    <s v="Szabó Márton"/>
    <s v="Magyarország"/>
    <d v="1998-04-17T00:00:00"/>
    <s v="T123105/FI80798"/>
    <x v="5"/>
    <s v="Állami ösztöndíjas"/>
    <s v="2017/18/1"/>
    <s v="Nappali"/>
    <n v="5"/>
    <n v="1"/>
    <s v="2021/22/2"/>
    <n v="10"/>
    <s v="73446363496"/>
    <n v="12"/>
    <x v="3"/>
    <m/>
    <m/>
    <m/>
    <m/>
    <s v="Képzésváltás intézményen belül"/>
    <d v="2019-09-14T00:00:00"/>
    <m/>
    <s v="BDPK-SEK"/>
    <s v="Eke Norbertné"/>
    <d v="2017-07-27T00:00:00"/>
    <d v="2023-07-15T00:00:00"/>
    <n v="500000"/>
    <m/>
    <n v="5"/>
    <s v="Férfi"/>
    <n v="500000"/>
    <s v="szabomarci1998@gmail.com"/>
    <s v="Németh Ágnes"/>
    <n v="6"/>
    <s v="Aktív"/>
    <n v="6"/>
    <n v="10"/>
    <s v="magyar"/>
    <m/>
  </r>
  <r>
    <s v="Zsédely Petra"/>
    <s v="GWY5J2"/>
    <s v="Aktív"/>
    <s v="osztatlan tanári [12 félév [angol nyelv és kultúra tanára; testnevelő tanár]]"/>
    <x v="8"/>
    <s v="osztatlan tanárképzés"/>
    <s v="TKK-OTAK-NOHU"/>
    <s v="Győr"/>
    <s v="Győr-Moson-Sopron"/>
    <s v="Zsédely Petra"/>
    <s v="Magyarország"/>
    <d v="1998-06-08T00:00:00"/>
    <s v="T125302/FI80798"/>
    <x v="5"/>
    <s v="Állami ösztöndíjas"/>
    <s v="2017/18/1"/>
    <s v="Nappali"/>
    <n v="5"/>
    <n v="1"/>
    <s v="2021/22/2"/>
    <n v="10"/>
    <s v="78278659869"/>
    <n v="12"/>
    <x v="3"/>
    <m/>
    <m/>
    <m/>
    <m/>
    <s v="Képzésváltás intézményen belül"/>
    <d v="2019-09-14T00:00:00"/>
    <m/>
    <s v="BDPK-SEK"/>
    <s v="Eke Norbertné"/>
    <d v="2017-07-27T00:00:00"/>
    <d v="2023-06-30T00:00:00"/>
    <n v="500000"/>
    <m/>
    <n v="5"/>
    <s v="Nő"/>
    <n v="500000"/>
    <s v="zsedelypetra@gmail.com"/>
    <s v="Szabó Amália"/>
    <n v="6"/>
    <s v="Aktív"/>
    <n v="6"/>
    <n v="10"/>
    <s v="magyar"/>
    <m/>
  </r>
  <r>
    <s v="Tóth Dóra Fruzsina"/>
    <s v="MZPTS4"/>
    <s v="Aktív"/>
    <s v="osztatlan tanári [12 félév [angol nyelv és kultúra tanára; testnevelő tanár]]"/>
    <x v="8"/>
    <s v="osztatlan tanárképzés"/>
    <s v="TKK-OTAK-NOHU"/>
    <s v="Budapest"/>
    <s v="Budapest"/>
    <s v="Tóth Dóra Fruzsina"/>
    <s v="Magyarország"/>
    <d v="1999-01-21T00:00:00"/>
    <s v="T135590/FI80798"/>
    <x v="5"/>
    <s v="Állami ösztöndíjas"/>
    <s v="2018/19/1"/>
    <s v="Nappali"/>
    <n v="7"/>
    <n v="1"/>
    <s v="2021/22/2"/>
    <n v="10"/>
    <s v="79860301261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Nő"/>
    <n v="400000"/>
    <s v="toth.dori18@gmail.com"/>
    <s v="Pálmai Zita"/>
    <n v="8"/>
    <s v="Aktív"/>
    <n v="8"/>
    <n v="8"/>
    <s v="magyar"/>
    <m/>
  </r>
  <r>
    <s v="Eklics Péter"/>
    <s v="HXWJC9"/>
    <s v="Aktív"/>
    <s v="osztatlan tanári [12 félév [angol nyelv és kultúra tanára; testnevelő tanár]]"/>
    <x v="8"/>
    <s v="osztatlan tanárképzés"/>
    <s v="TKK-OTAK-NOHU"/>
    <s v="Pápa"/>
    <s v="Veszprém"/>
    <s v="Eklics Péter"/>
    <s v="Magyarország"/>
    <d v="1998-08-08T00:00:00"/>
    <s v="T139129/FI80798"/>
    <x v="5"/>
    <s v="Állami ösztöndíjas"/>
    <s v="2018/19/1"/>
    <s v="Nappali"/>
    <n v="7"/>
    <n v="1"/>
    <s v="2021/22/2"/>
    <n v="10"/>
    <s v="79380287961"/>
    <n v="12"/>
    <x v="3"/>
    <m/>
    <m/>
    <m/>
    <m/>
    <s v="Képzésváltás intézményen belül"/>
    <d v="2021-02-15T00:00:00"/>
    <m/>
    <s v="BDPK-SEK"/>
    <s v="Eke Norbertné"/>
    <d v="2018-07-25T00:00:00"/>
    <d v="2024-07-15T00:00:00"/>
    <m/>
    <m/>
    <n v="2"/>
    <s v="Férfi"/>
    <n v="300000"/>
    <s v="pirlo6572@gmail.com"/>
    <s v="Tóth Julianna Gizella"/>
    <n v="3"/>
    <s v="Aktív"/>
    <n v="3"/>
    <n v="8"/>
    <s v="magyar"/>
    <m/>
  </r>
  <r>
    <s v="Varga Kornél"/>
    <s v="KKBP9H"/>
    <s v="Aktív"/>
    <s v="osztatlan tanári [12 félév [angol nyelv és kultúra tanára; testnevelő tanár]]"/>
    <x v="8"/>
    <s v="osztatlan tanárképzés"/>
    <s v="TKK-OTAK-NOHU"/>
    <s v="Szombathely"/>
    <s v="Vas"/>
    <s v="Varga Kornél"/>
    <s v="Magyarország"/>
    <d v="2000-11-12T00:00:00"/>
    <s v="T156092/FI80798"/>
    <x v="5"/>
    <s v="Állami ösztöndíjas"/>
    <s v="2019/20/1"/>
    <s v="Nappali"/>
    <n v="9"/>
    <n v="1"/>
    <s v="2021/22/2"/>
    <n v="10"/>
    <s v="77036122940"/>
    <n v="12"/>
    <x v="3"/>
    <m/>
    <m/>
    <m/>
    <m/>
    <s v="Képzésváltás intézményen belül"/>
    <d v="2019-09-14T00:00:00"/>
    <m/>
    <s v="BDPK-SEK"/>
    <s v="Eke Norbertné"/>
    <d v="2019-07-24T00:00:00"/>
    <d v="2025-07-15T00:00:00"/>
    <n v="500000"/>
    <m/>
    <n v="5"/>
    <s v="Férfi"/>
    <n v="500000"/>
    <s v="kokojunior10@gmail.com"/>
    <s v="Nagy Zsófia"/>
    <n v="6"/>
    <s v="Aktív"/>
    <n v="6"/>
    <n v="6"/>
    <s v="magyar"/>
    <m/>
  </r>
  <r>
    <s v="Szabó Bence"/>
    <s v="A3E260"/>
    <s v="Aktív"/>
    <s v="osztatlan tanári [12 félév [angol nyelv és kultúra tanára; testnevelő tanár]]"/>
    <x v="8"/>
    <s v="osztatlan tanárképzés"/>
    <s v="TKK-OTAK-NOHU"/>
    <s v="Sopron"/>
    <s v="Győr-Moson-Sopron"/>
    <s v="Szabó Bence"/>
    <s v="Magyarország"/>
    <d v="2001-02-09T00:00:00"/>
    <s v="T148570/FI80798"/>
    <x v="5"/>
    <s v="Állami ösztöndíjas"/>
    <s v="2019/20/1"/>
    <s v="Nappali"/>
    <n v="9"/>
    <n v="1"/>
    <s v="2021/22/2"/>
    <n v="10"/>
    <s v="79859379969"/>
    <n v="12"/>
    <x v="3"/>
    <m/>
    <m/>
    <m/>
    <m/>
    <s v="Képzésváltás intézményen belül"/>
    <d v="2019-09-14T00:00:00"/>
    <m/>
    <s v="BDPK-SEK"/>
    <s v="Eke Norbertné"/>
    <d v="2019-07-24T00:00:00"/>
    <d v="2025-07-15T00:00:00"/>
    <n v="500000"/>
    <m/>
    <n v="5"/>
    <s v="Férfi"/>
    <n v="500000"/>
    <s v="szaszqa@hotmail.hu"/>
    <s v="Rombai Andrea"/>
    <n v="6"/>
    <s v="Aktív"/>
    <n v="6"/>
    <n v="6"/>
    <s v="magyar"/>
    <m/>
  </r>
  <r>
    <s v="Tóth Márton"/>
    <s v="J8SCOG"/>
    <s v="Aktív"/>
    <s v="osztatlan tanári [12 félév [angol nyelv és kultúra tanára; testnevelő tanár]]"/>
    <x v="8"/>
    <s v="osztatlan tanárképzés"/>
    <s v="TKK-OTAK-NOHU"/>
    <s v="Szombathely"/>
    <s v="Vas"/>
    <s v="Tóth Márton"/>
    <s v="Magyarország"/>
    <d v="2000-01-19T00:00:00"/>
    <s v="T150425/FI80798"/>
    <x v="5"/>
    <s v="Állami ösztöndíjas"/>
    <s v="2019/20/1"/>
    <s v="Nappali"/>
    <n v="9"/>
    <n v="1"/>
    <s v="2021/22/2"/>
    <n v="10"/>
    <s v="71925985298"/>
    <n v="12"/>
    <x v="3"/>
    <m/>
    <m/>
    <m/>
    <m/>
    <s v="Képzésváltás intézményen belül"/>
    <d v="2019-09-14T00:00:00"/>
    <m/>
    <s v="BDPK-SEK"/>
    <s v="Eke Norbertné"/>
    <d v="2019-07-24T00:00:00"/>
    <d v="2025-07-15T00:00:00"/>
    <n v="500000"/>
    <m/>
    <n v="5"/>
    <s v="Férfi"/>
    <n v="500000"/>
    <s v="20marc00@gmail.com"/>
    <s v="Kiss Babett"/>
    <n v="6"/>
    <s v="Aktív"/>
    <n v="6"/>
    <n v="6"/>
    <s v="magyar"/>
    <m/>
  </r>
  <r>
    <s v="Marton Gabriella"/>
    <s v="S9P21R"/>
    <s v="Aktív"/>
    <s v="osztatlan tanári [12 félév [angol nyelv és kultúra tanára; testnevelő tanár]]"/>
    <x v="8"/>
    <s v="osztatlan tanárképzés"/>
    <s v="TKK-OTAK-NOHU"/>
    <s v="Tapolca"/>
    <s v="Veszprém"/>
    <s v="Marton Gabriella"/>
    <s v="Magyarország"/>
    <d v="2001-10-29T00:00:00"/>
    <s v="T188928/FI80798"/>
    <x v="5"/>
    <s v="Állami ösztöndíjas"/>
    <s v="2020/21/1"/>
    <s v="Nappali"/>
    <n v="11"/>
    <n v="1"/>
    <s v="2021/22/2"/>
    <n v="10"/>
    <s v="71638036050"/>
    <n v="12"/>
    <x v="3"/>
    <m/>
    <m/>
    <m/>
    <m/>
    <s v="Átvétel kérelemre más magyarországi intézményből"/>
    <d v="2021-09-01T00:00:00"/>
    <m/>
    <s v="BDPK-SEK"/>
    <s v="Eke Norbertné"/>
    <d v="2020-07-23T00:00:00"/>
    <d v="2027-07-15T00:00:00"/>
    <n v="500000"/>
    <m/>
    <n v="1"/>
    <s v="Nő"/>
    <n v="500000"/>
    <s v="marton.gabi1029@gmail.com"/>
    <s v="Tóth Tímea"/>
    <n v="2"/>
    <s v="Aktív"/>
    <n v="2"/>
    <n v="2"/>
    <s v="magyar"/>
    <m/>
  </r>
  <r>
    <s v="Molnár Patrik"/>
    <s v="PQL7CD"/>
    <s v="Aktív"/>
    <s v="osztatlan tanári [12 félév [angol nyelv és kultúra tanára; testnevelő tanár]]"/>
    <x v="8"/>
    <s v="osztatlan tanárképzés"/>
    <s v="TKK-OTAK-NOHU"/>
    <s v="Körmend"/>
    <s v="Vas"/>
    <s v="Molnár Patrik"/>
    <s v="Magyarország"/>
    <d v="2000-07-28T00:00:00"/>
    <s v="T164752/FI80798"/>
    <x v="5"/>
    <s v="Állami ösztöndíjas"/>
    <s v="2020/21/1"/>
    <s v="Nappali"/>
    <n v="11"/>
    <n v="1"/>
    <s v="2021/22/2"/>
    <n v="10"/>
    <s v="71904692392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Férfi"/>
    <n v="500000"/>
    <s v="molnarpatrik0728@gmail.com"/>
    <s v="Szarka Andrea"/>
    <n v="4"/>
    <s v="Aktív"/>
    <n v="4"/>
    <n v="4"/>
    <s v="magyar"/>
    <m/>
  </r>
  <r>
    <s v="Kiss Boglárka"/>
    <s v="P417IT"/>
    <s v="Aktív"/>
    <s v="osztatlan tanári [12 félév [angol nyelv és kultúra tanára; testnevelő tanár]]"/>
    <x v="8"/>
    <s v="osztatlan tanárképzés"/>
    <s v="TKK-OTAK-NOHU"/>
    <s v="Zalaegerszeg"/>
    <s v="Zala"/>
    <s v="Kiss Boglárka"/>
    <s v="Magyarország"/>
    <d v="2001-08-24T00:00:00"/>
    <s v="T182415/FI80798"/>
    <x v="5"/>
    <s v="Állami ösztöndíjas"/>
    <s v="2021/22/1"/>
    <s v="Nappali"/>
    <n v="13"/>
    <n v="1"/>
    <s v="2021/22/2"/>
    <n v="10"/>
    <s v="71466217070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Nő"/>
    <n v="500000"/>
    <s v="bogika0824@gmail.com"/>
    <s v="Szabó Dorottya"/>
    <n v="2"/>
    <s v="Aktív"/>
    <n v="2"/>
    <n v="2"/>
    <s v="magyar"/>
    <m/>
  </r>
  <r>
    <s v="Véha Petra"/>
    <s v="JAFA3Q"/>
    <s v="Aktív"/>
    <s v="osztatlan tanári [12 félév [angol nyelv és kultúra tanára; testnevelő tanár]]"/>
    <x v="8"/>
    <s v="osztatlan tanárképzés"/>
    <s v="TKK-OTAK-NOHU"/>
    <s v="Körmend"/>
    <s v="Vas"/>
    <s v="Véha Petra"/>
    <s v="Magyarország"/>
    <d v="2002-10-22T00:00:00"/>
    <s v="T180570/FI80798"/>
    <x v="5"/>
    <s v="Állami ösztöndíjas"/>
    <s v="2021/22/1"/>
    <s v="Nappali"/>
    <n v="13"/>
    <n v="1"/>
    <s v="2021/22/2"/>
    <n v="10"/>
    <s v="72153447934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Nő"/>
    <n v="500000"/>
    <s v="vehapetra5@gmail.com"/>
    <s v="Fodor Lívia"/>
    <n v="2"/>
    <s v="Aktív"/>
    <n v="2"/>
    <n v="2"/>
    <s v="magyar"/>
    <m/>
  </r>
  <r>
    <s v="Molnár Kristóf"/>
    <s v="IR8C6P"/>
    <s v="Aktív"/>
    <s v="osztatlan tanári [12 félév [angol nyelv és kultúra tanára; testnevelő tanár]]"/>
    <x v="8"/>
    <s v="osztatlan tanárképzés"/>
    <s v="TKK-OTAK-NOHU"/>
    <s v="Szombathely"/>
    <s v="Vas"/>
    <s v="Molnár Kristóf"/>
    <s v="Magyarország"/>
    <d v="2003-02-07T00:00:00"/>
    <s v="T186710/FI80798"/>
    <x v="5"/>
    <s v="Állami ösztöndíjas"/>
    <s v="2021/22/1"/>
    <s v="Nappali"/>
    <n v="13"/>
    <n v="1"/>
    <s v="2021/22/2"/>
    <n v="10"/>
    <s v="72165218890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Férfi"/>
    <n v="500000"/>
    <s v="kristofmolnar01@gmail.com"/>
    <s v="Süle Ágota Mária"/>
    <n v="2"/>
    <s v="Aktív"/>
    <n v="2"/>
    <n v="2"/>
    <s v="magyar"/>
    <m/>
  </r>
  <r>
    <s v="Huszár Ágoston László"/>
    <s v="C04EAW"/>
    <s v="Passzív"/>
    <s v="osztatlan tanári [12 félév [angol nyelv és kultúra tanára; testnevelő tanár]]"/>
    <x v="8"/>
    <s v="osztatlan tanárképzés"/>
    <s v="TKK-OTAK-NOHU"/>
    <s v="Zalaegerszeg"/>
    <s v="Zala"/>
    <s v="Huszár Ágoston László"/>
    <s v="Magyarország"/>
    <d v="2002-06-14T00:00:00"/>
    <s v="T185388/FI80798"/>
    <x v="5"/>
    <s v="Állami ösztöndíjas"/>
    <s v="2021/22/1"/>
    <s v="Nappali"/>
    <n v="14"/>
    <n v="1"/>
    <s v="2021/22/1"/>
    <n v="10"/>
    <s v="71760788947"/>
    <n v="12"/>
    <x v="3"/>
    <m/>
    <m/>
    <m/>
    <m/>
    <s v="Képzésváltás intézményen belül"/>
    <d v="2021-09-13T00:00:00"/>
    <m/>
    <s v="BDPK-SEK"/>
    <s v="Eke Norbertné"/>
    <d v="2021-07-23T00:00:00"/>
    <d v="2028-07-15T00:00:00"/>
    <n v="500000"/>
    <m/>
    <n v="1"/>
    <s v="Férfi"/>
    <n v="500000"/>
    <s v="huszaragoston@gmail.com"/>
    <s v="Lukács Zita Klára"/>
    <n v="1"/>
    <s v="Passzív"/>
    <m/>
    <n v="1"/>
    <s v="magyar"/>
    <m/>
  </r>
  <r>
    <s v="Makacsek-Molnár Márk"/>
    <s v="ZM9KVM"/>
    <s v="Aktív"/>
    <s v="osztatlan tanári [12 félév [angol nyelv és kultúra tanára; testnevelő tanár]]"/>
    <x v="8"/>
    <s v="osztatlan tanárképzés"/>
    <s v="TKK-OTAK-NOHU"/>
    <s v="Nagykanizsa"/>
    <s v="Zala"/>
    <s v="Makacsek-Molnár Márk"/>
    <s v="Magyarország"/>
    <d v="2002-02-22T00:00:00"/>
    <s v="T185402/FI80798"/>
    <x v="5"/>
    <s v="Állami ösztöndíjas"/>
    <s v="2021/22/1"/>
    <s v="Nappali"/>
    <n v="13"/>
    <n v="1"/>
    <s v="2021/22/2"/>
    <n v="10"/>
    <s v="71764861965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Férfi"/>
    <n v="500000"/>
    <s v="makacsekmark@hotmail.com"/>
    <s v="Makacsek Ágota Dr."/>
    <n v="2"/>
    <s v="Aktív"/>
    <n v="2"/>
    <n v="2"/>
    <s v="magyar"/>
    <m/>
  </r>
  <r>
    <s v="Gosztola Bettina"/>
    <s v="KE8EN3"/>
    <s v="Aktív"/>
    <s v="osztatlan tanári [12 félév [angol nyelv és kultúra tanára; testnevelő tanár]]"/>
    <x v="8"/>
    <s v="osztatlan tanárképzés"/>
    <s v="TKK-OTAK-NOHU"/>
    <s v="Sopron"/>
    <s v="Győr-Moson-Sopron"/>
    <s v="Gosztola Bettina"/>
    <s v="Magyarország"/>
    <d v="2002-02-12T00:00:00"/>
    <s v="T186034/FI80798"/>
    <x v="5"/>
    <s v="Állami ösztöndíjas"/>
    <s v="2021/22/1"/>
    <s v="Nappali"/>
    <n v="13"/>
    <n v="1"/>
    <s v="2021/22/2"/>
    <n v="10"/>
    <s v="72144034621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Nő"/>
    <n v="500000"/>
    <s v="gosztola.betti2002@gmail.com"/>
    <s v="Jagadics Csilla"/>
    <n v="2"/>
    <s v="Aktív"/>
    <n v="2"/>
    <n v="2"/>
    <s v="magyar"/>
    <m/>
  </r>
  <r>
    <s v="Gulyás Benedek"/>
    <s v="INHFDL"/>
    <s v="Aktív"/>
    <s v="osztatlan tanári [12 félév [angol nyelv és kultúra tanára; történelemtanár és állampolgári ismeretek tanára]]"/>
    <x v="9"/>
    <s v="osztatlan tanárképzés"/>
    <s v="TKK-OTAK-NOHU"/>
    <s v="Körmend"/>
    <s v="Vas"/>
    <s v="Gulyás Benedek"/>
    <s v="Magyarország"/>
    <d v="1999-02-01T00:00:00"/>
    <s v="T127746/FI80798"/>
    <x v="5"/>
    <s v="Állami ösztöndíjas"/>
    <s v="2017/18/1"/>
    <s v="Nappali"/>
    <n v="5"/>
    <n v="1"/>
    <s v="2021/22/2"/>
    <n v="10"/>
    <s v="74314685621"/>
    <n v="12"/>
    <x v="3"/>
    <m/>
    <m/>
    <m/>
    <m/>
    <s v="Képzésváltás intézményen belül"/>
    <d v="2019-09-14T00:00:00"/>
    <m/>
    <s v="BDPK-SEK"/>
    <s v="Eke Norbertné"/>
    <d v="2017-07-27T00:00:00"/>
    <d v="2023-07-15T00:00:00"/>
    <n v="500000"/>
    <m/>
    <n v="5"/>
    <s v="Férfi"/>
    <n v="500000"/>
    <s v="bene.gulyas99@gmail.com"/>
    <s v="Simon Szilvia"/>
    <n v="6"/>
    <s v="Aktív"/>
    <n v="6"/>
    <n v="10"/>
    <s v="magyar"/>
    <m/>
  </r>
  <r>
    <s v="Takács Tamás"/>
    <s v="S5TWRE"/>
    <s v="Aktív"/>
    <s v="osztatlan tanári [12 félév [angol nyelv és kultúra tanára; történelemtanár és állampolgári ismeretek tanára]]"/>
    <x v="9"/>
    <s v="osztatlan tanárképzés"/>
    <s v="TKK-OTAK-NOHU"/>
    <s v="Zalaegerszeg"/>
    <s v="Zala"/>
    <s v="Takács Tamás"/>
    <s v="Magyarország"/>
    <d v="1998-09-15T00:00:00"/>
    <s v="T131017/FI80798"/>
    <x v="5"/>
    <s v="Állami ösztöndíjas"/>
    <s v="2017/18/1"/>
    <s v="Nappali"/>
    <n v="5"/>
    <n v="1"/>
    <s v="2021/22/2"/>
    <n v="10"/>
    <s v="71864903075"/>
    <n v="12"/>
    <x v="3"/>
    <m/>
    <m/>
    <m/>
    <m/>
    <s v="Képzésváltás intézményen belül"/>
    <d v="2019-09-14T00:00:00"/>
    <m/>
    <s v="BDPK-SEK"/>
    <s v="Eke Norbertné"/>
    <d v="2017-07-27T00:00:00"/>
    <d v="2023-07-15T00:00:00"/>
    <n v="500000"/>
    <m/>
    <n v="5"/>
    <s v="Férfi"/>
    <n v="500000"/>
    <s v="tacsk980915@gmail.com"/>
    <s v="Ackerman Erzsébet"/>
    <n v="6"/>
    <s v="Aktív"/>
    <n v="6"/>
    <n v="10"/>
    <s v="magyar"/>
    <m/>
  </r>
  <r>
    <s v="Horváth Martin Alex"/>
    <s v="M0XA3W"/>
    <s v="Aktív"/>
    <s v="osztatlan tanári [12 félév [angol nyelv és kultúra tanára; történelemtanár és állampolgári ismeretek tanára]]"/>
    <x v="9"/>
    <s v="osztatlan tanárképzés"/>
    <s v="TKK-OTAK-NOHU"/>
    <s v="Szombathely"/>
    <s v="Vas"/>
    <s v="Horváth Martin Alex"/>
    <s v="Magyarország"/>
    <d v="1998-10-19T00:00:00"/>
    <s v="T130703/FI80798"/>
    <x v="5"/>
    <s v="Állami ösztöndíjas"/>
    <s v="2017/18/1"/>
    <s v="Nappali"/>
    <n v="5"/>
    <n v="1"/>
    <s v="2021/22/2"/>
    <n v="10"/>
    <s v="75212140918"/>
    <n v="12"/>
    <x v="3"/>
    <m/>
    <m/>
    <m/>
    <m/>
    <s v="Képzésváltás intézményen belül"/>
    <d v="2019-09-14T00:00:00"/>
    <m/>
    <s v="BDPK-SEK"/>
    <s v="Eke Norbertné"/>
    <d v="2017-07-27T00:00:00"/>
    <d v="2023-07-15T00:00:00"/>
    <n v="500000"/>
    <m/>
    <n v="5"/>
    <s v="Férfi"/>
    <n v="500000"/>
    <s v="h.mrtin9898@gmail.com"/>
    <s v="Kovács Tímea"/>
    <n v="6"/>
    <s v="Aktív"/>
    <n v="6"/>
    <n v="10"/>
    <s v="magyar"/>
    <m/>
  </r>
  <r>
    <s v="Vámos Nikoletta"/>
    <s v="NHC3WH"/>
    <s v="Aktív"/>
    <s v="osztatlan tanári [12 félév [angol nyelv és kultúra tanára; történelemtanár és állampolgári ismeretek tanára]]"/>
    <x v="9"/>
    <s v="osztatlan tanárképzés"/>
    <s v="TKK-OTAK-NOHU"/>
    <s v="Szombathely"/>
    <s v="Vas"/>
    <s v="Vámos Nikoletta"/>
    <s v="Magyarország"/>
    <d v="1998-07-17T00:00:00"/>
    <s v="T127852/FI80798"/>
    <x v="5"/>
    <s v="Állami ösztöndíjas"/>
    <s v="2017/18/1"/>
    <s v="Nappali"/>
    <n v="5"/>
    <n v="1"/>
    <s v="2021/22/2"/>
    <n v="10"/>
    <s v="75740610653"/>
    <n v="12"/>
    <x v="3"/>
    <m/>
    <m/>
    <m/>
    <m/>
    <s v="Képzésváltás intézményen belül"/>
    <d v="2019-09-14T00:00:00"/>
    <m/>
    <s v="BDPK-SEK"/>
    <s v="Eke Norbertné"/>
    <d v="2017-07-27T00:00:00"/>
    <d v="2023-07-15T00:00:00"/>
    <n v="500000"/>
    <m/>
    <n v="5"/>
    <s v="Nő"/>
    <n v="500000"/>
    <s v="nickyoletta@gmail.com"/>
    <s v="Pék Erika"/>
    <n v="6"/>
    <s v="Aktív"/>
    <n v="6"/>
    <n v="10"/>
    <s v="magyar"/>
    <m/>
  </r>
  <r>
    <s v="Sághegyi Erik"/>
    <s v="II7U75"/>
    <s v="Aktív"/>
    <s v="osztatlan tanári [12 félév [angol nyelv és kultúra tanára; történelemtanár és állampolgári ismeretek tanára]]"/>
    <x v="9"/>
    <s v="osztatlan tanárképzés"/>
    <s v="TKK-OTAK-NOHU"/>
    <s v="Celldömölk"/>
    <s v="Vas"/>
    <s v="Sághegyi Erik"/>
    <s v="Magyarország"/>
    <d v="1999-09-06T00:00:00"/>
    <s v="T136790/FI80798"/>
    <x v="5"/>
    <s v="Állami ösztöndíjas"/>
    <s v="2018/19/1"/>
    <s v="Nappali"/>
    <n v="7"/>
    <n v="1"/>
    <s v="2021/22/2"/>
    <n v="10"/>
    <s v="78537824961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Férfi"/>
    <n v="400000"/>
    <s v="saghegyi.erik@cellkabel.hu"/>
    <s v="Som Ágnes Katalin"/>
    <n v="8"/>
    <s v="Aktív"/>
    <n v="8"/>
    <n v="8"/>
    <s v="magyar"/>
    <m/>
  </r>
  <r>
    <s v="Bodorkós Bence"/>
    <s v="EC1XEF"/>
    <s v="Aktív"/>
    <s v="osztatlan tanári [12 félév [angol nyelv és kultúra tanára; történelemtanár és állampolgári ismeretek tanára]]"/>
    <x v="9"/>
    <s v="osztatlan tanárképzés"/>
    <s v="TKK-OTAK-NOHU"/>
    <s v="Szombathely"/>
    <s v="Vas"/>
    <s v="Bodorkós Bence"/>
    <s v="Magyarország"/>
    <d v="1998-10-02T00:00:00"/>
    <s v="T141941/FI80798"/>
    <x v="5"/>
    <s v="Állami ösztöndíjas"/>
    <s v="2018/19/1"/>
    <s v="Nappali"/>
    <n v="7"/>
    <n v="1"/>
    <s v="2021/22/2"/>
    <n v="10"/>
    <s v="79449366812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Férfi"/>
    <n v="400000"/>
    <s v="benceb981002@gmail.com"/>
    <s v="Tóth Gabriella"/>
    <n v="8"/>
    <s v="Aktív"/>
    <n v="8"/>
    <n v="8"/>
    <s v="magyar"/>
    <m/>
  </r>
  <r>
    <s v="Vincze Veronika"/>
    <s v="E54PS3"/>
    <s v="Aktív"/>
    <s v="osztatlan tanári [12 félév [angol nyelv és kultúra tanára; történelemtanár és állampolgári ismeretek tanára]]"/>
    <x v="9"/>
    <s v="osztatlan tanárképzés"/>
    <s v="TKK-OTAK-NOHU"/>
    <s v="Sárvár"/>
    <s v="Vas"/>
    <s v="Vincze Veronika"/>
    <s v="Magyarország"/>
    <d v="1998-07-01T00:00:00"/>
    <s v="T134298/FI80798"/>
    <x v="5"/>
    <s v="Állami ösztöndíjas"/>
    <s v="2018/19/1"/>
    <s v="Nappali"/>
    <n v="5"/>
    <n v="1"/>
    <s v="2021/22/2"/>
    <n v="10"/>
    <s v="78006632874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Nő"/>
    <n v="400000"/>
    <s v="veronikavincze1998@gmail.com"/>
    <s v="Róth Anna Mária"/>
    <n v="8"/>
    <s v="Aktív"/>
    <n v="8"/>
    <n v="8"/>
    <s v="magyar"/>
    <m/>
  </r>
  <r>
    <s v="Szabó Réka"/>
    <s v="GP9CVI"/>
    <s v="Aktív"/>
    <s v="osztatlan tanári [12 félév [angol nyelv és kultúra tanára; történelemtanár és állampolgári ismeretek tanára]]"/>
    <x v="9"/>
    <s v="osztatlan tanárképzés"/>
    <s v="TKK-OTAK-NOHU"/>
    <s v="Győr"/>
    <s v="Győr-Moson-Sopron"/>
    <s v="Szabó Réka"/>
    <s v="Magyarország"/>
    <d v="1999-10-29T00:00:00"/>
    <s v="T139152/FI80798"/>
    <x v="5"/>
    <s v="Állami ösztöndíjas"/>
    <s v="2018/19/1"/>
    <s v="Nappali"/>
    <n v="7"/>
    <n v="1"/>
    <s v="2021/22/2"/>
    <n v="10"/>
    <s v="74132924189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Nő"/>
    <n v="400000"/>
    <s v="reka9910@gmail.com"/>
    <s v="Czésinger Henriett"/>
    <n v="8"/>
    <s v="Aktív"/>
    <n v="8"/>
    <n v="8"/>
    <s v="magyar"/>
    <m/>
  </r>
  <r>
    <s v="Vincze Viktória"/>
    <s v="GB25RJ"/>
    <s v="Aktív"/>
    <s v="osztatlan tanári [12 félév [angol nyelv és kultúra tanára; történelemtanár és állampolgári ismeretek tanára]]"/>
    <x v="9"/>
    <s v="osztatlan tanárképzés"/>
    <s v="TKK-OTAK-NOHU"/>
    <s v="Zalaegerszeg"/>
    <s v="Zala"/>
    <s v="Vincze Viktória"/>
    <s v="Magyarország"/>
    <d v="1998-09-16T00:00:00"/>
    <s v="T141049/FI80798"/>
    <x v="5"/>
    <s v="Állami ösztöndíjas"/>
    <s v="2018/19/1"/>
    <s v="Nappali"/>
    <n v="7"/>
    <n v="1"/>
    <s v="2021/22/2"/>
    <n v="10"/>
    <s v="73443472183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Nő"/>
    <n v="400000"/>
    <s v="vnczviktoria98@gmail.com"/>
    <s v="Havasi Erika Erzsébet"/>
    <n v="8"/>
    <s v="Aktív"/>
    <n v="8"/>
    <n v="8"/>
    <s v="magyar"/>
    <m/>
  </r>
  <r>
    <s v="Garas Gergely"/>
    <s v="G8WFG6"/>
    <s v="Aktív"/>
    <s v="osztatlan tanári [12 félév [angol nyelv és kultúra tanára; történelemtanár és állampolgári ismeretek tanára]]"/>
    <x v="9"/>
    <s v="osztatlan tanárképzés"/>
    <s v="TKK-OTAK-NOHU"/>
    <s v="Szombathely"/>
    <s v="Vas"/>
    <s v="Garas Gergely"/>
    <s v="Magyarország"/>
    <d v="1998-04-14T00:00:00"/>
    <s v="T138194/FI80798"/>
    <x v="5"/>
    <s v="Állami ösztöndíjas"/>
    <s v="2018/19/1"/>
    <s v="Nappali"/>
    <n v="7"/>
    <n v="1"/>
    <s v="2021/22/2"/>
    <n v="10"/>
    <s v="75126992793"/>
    <n v="12"/>
    <x v="3"/>
    <m/>
    <m/>
    <m/>
    <m/>
    <s v="Képzésváltás intézményen belül"/>
    <d v="2020-09-14T00:00:00"/>
    <m/>
    <s v="BDPK-SEK"/>
    <s v="Eke Norbertné"/>
    <d v="2018-07-25T00:00:00"/>
    <d v="2024-07-15T00:00:00"/>
    <n v="500000"/>
    <m/>
    <n v="3"/>
    <s v="Férfi"/>
    <n v="500000"/>
    <s v="garasgergo@gmail.com"/>
    <s v="Fuksz Gabriella"/>
    <n v="4"/>
    <s v="Aktív"/>
    <n v="4"/>
    <n v="8"/>
    <s v="magyar"/>
    <m/>
  </r>
  <r>
    <s v="Schlecht Bence Attila"/>
    <s v="DPMRTB"/>
    <s v="Aktív"/>
    <s v="osztatlan tanári [12 félév [angol nyelv és kultúra tanára; történelemtanár és állampolgári ismeretek tanára]]"/>
    <x v="9"/>
    <s v="osztatlan tanárképzés"/>
    <s v="TKK-OTAK-NOHU"/>
    <s v="Pápa"/>
    <s v="Veszprém"/>
    <s v="Schlecht Bence Attila"/>
    <s v="Magyarország"/>
    <d v="2000-01-13T00:00:00"/>
    <s v="T154588/FI80798"/>
    <x v="5"/>
    <s v="Állami ösztöndíjas"/>
    <s v="2019/20/1"/>
    <s v="Nappali"/>
    <n v="9"/>
    <n v="1"/>
    <s v="2021/22/2"/>
    <n v="10"/>
    <s v="77494963637"/>
    <n v="12"/>
    <x v="3"/>
    <m/>
    <m/>
    <m/>
    <m/>
    <s v="Képzésváltás intézményen belül"/>
    <d v="2019-09-14T00:00:00"/>
    <m/>
    <s v="BDPK-SEK"/>
    <s v="Eke Norbertné"/>
    <d v="2019-07-24T00:00:00"/>
    <d v="2025-07-15T00:00:00"/>
    <n v="500000"/>
    <m/>
    <n v="5"/>
    <s v="Férfi"/>
    <n v="500000"/>
    <s v="schlechtbence7@gmail.com"/>
    <s v="Németh Ildikó"/>
    <n v="6"/>
    <s v="Aktív"/>
    <n v="6"/>
    <n v="6"/>
    <s v="magyar"/>
    <m/>
  </r>
  <r>
    <s v="Vugrinecz Réka"/>
    <s v="BPVAIU"/>
    <s v="Aktív"/>
    <s v="osztatlan tanári [12 félév [angol nyelv és kultúra tanára; történelemtanár és állampolgári ismeretek tanára]]"/>
    <x v="9"/>
    <s v="osztatlan tanárképzés"/>
    <s v="TKK-OTAK-NOHU"/>
    <s v="Zalaegerszeg"/>
    <s v="Zala"/>
    <s v="Vugrinecz Réka"/>
    <s v="Magyarország"/>
    <d v="2000-02-24T00:00:00"/>
    <s v="T151793/FI80798"/>
    <x v="5"/>
    <s v="Állami ösztöndíjas"/>
    <s v="2019/20/1"/>
    <s v="Nappali"/>
    <n v="9"/>
    <n v="1"/>
    <s v="2021/22/2"/>
    <n v="10"/>
    <s v="76130059475"/>
    <n v="12"/>
    <x v="3"/>
    <m/>
    <m/>
    <m/>
    <m/>
    <s v="Képzésváltás intézményen belül"/>
    <d v="2019-09-14T00:00:00"/>
    <m/>
    <s v="BDPK-SEK"/>
    <s v="Eke Norbertné"/>
    <d v="2019-07-24T00:00:00"/>
    <d v="2025-07-15T00:00:00"/>
    <n v="500000"/>
    <m/>
    <n v="5"/>
    <s v="Nő"/>
    <n v="500000"/>
    <s v="vugrineczreka@gmail.com"/>
    <s v="Pais Zita"/>
    <n v="6"/>
    <s v="Aktív"/>
    <n v="6"/>
    <n v="6"/>
    <s v="magyar"/>
    <m/>
  </r>
  <r>
    <s v="Bognár Lili"/>
    <s v="I60U4C"/>
    <s v="Passzív"/>
    <s v="osztatlan tanári [12 félév [angol nyelv és kultúra tanára; történelemtanár és állampolgári ismeretek tanára]]"/>
    <x v="9"/>
    <s v="osztatlan tanárképzés"/>
    <s v="TKK-OTAK-NOHU"/>
    <s v="Kapuvár"/>
    <s v="Győr-Moson-Sopron"/>
    <s v="Bognár Lili"/>
    <s v="Magyarország"/>
    <d v="2000-11-29T00:00:00"/>
    <s v="T150106/FI80798"/>
    <x v="5"/>
    <s v="Állami ösztöndíjas"/>
    <s v="2019/20/1"/>
    <s v="Nappali"/>
    <n v="10"/>
    <n v="1"/>
    <s v="2021/22/1"/>
    <n v="10"/>
    <s v="73680517568"/>
    <n v="12"/>
    <x v="3"/>
    <m/>
    <m/>
    <m/>
    <m/>
    <s v="Képzésváltás intézményen belül"/>
    <d v="2019-09-14T00:00:00"/>
    <m/>
    <s v="BDPK-SEK"/>
    <s v="Eke Norbertné"/>
    <d v="2019-07-24T00:00:00"/>
    <d v="2026-07-15T00:00:00"/>
    <n v="500000"/>
    <m/>
    <n v="5"/>
    <s v="Nő"/>
    <n v="500000"/>
    <s v="bognarlili0@gmail.com"/>
    <s v="Boros Márta"/>
    <n v="5"/>
    <s v="Passzív"/>
    <n v="5"/>
    <n v="5"/>
    <s v="magyar"/>
    <m/>
  </r>
  <r>
    <s v="Horváth Zsófia Petra"/>
    <s v="ZXAT26"/>
    <s v="Aktív"/>
    <s v="osztatlan tanári [12 félév [angol nyelv és kultúra tanára; történelemtanár és állampolgári ismeretek tanára]]"/>
    <x v="9"/>
    <s v="osztatlan tanárképzés"/>
    <s v="TKK-OTAK-NOHU"/>
    <s v="Körmend"/>
    <s v="Vas"/>
    <s v="Horváth Zsófia Petra"/>
    <s v="Magyarország"/>
    <d v="2000-09-14T00:00:00"/>
    <s v="T150038/FI80798"/>
    <x v="5"/>
    <s v="Állami ösztöndíjas"/>
    <s v="2019/20/1"/>
    <s v="Nappali"/>
    <n v="9"/>
    <n v="1"/>
    <s v="2021/22/2"/>
    <n v="10"/>
    <s v="73920145217"/>
    <n v="12"/>
    <x v="3"/>
    <m/>
    <m/>
    <m/>
    <m/>
    <s v="Képzésváltás intézményen belül"/>
    <d v="2019-09-14T00:00:00"/>
    <m/>
    <s v="BDPK-SEK"/>
    <s v="Eke Norbertné"/>
    <d v="2019-07-24T00:00:00"/>
    <d v="2025-07-15T00:00:00"/>
    <n v="500000"/>
    <m/>
    <n v="5"/>
    <s v="Nő"/>
    <n v="500000"/>
    <s v="zsofia914@gmail.com"/>
    <s v="Németh Andrea"/>
    <n v="6"/>
    <s v="Aktív"/>
    <n v="6"/>
    <n v="6"/>
    <s v="magyar"/>
    <m/>
  </r>
  <r>
    <s v="Kucska Vanessza"/>
    <s v="C2V0LF"/>
    <s v="Aktív"/>
    <s v="osztatlan tanári [12 félév [angol nyelv és kultúra tanára; történelemtanár és állampolgári ismeretek tanára]]"/>
    <x v="9"/>
    <s v="osztatlan tanárképzés"/>
    <s v="TKK-OTAK-NOHU"/>
    <s v="Ajka"/>
    <s v="Veszprém"/>
    <s v="Kucska Vanessza"/>
    <s v="Magyarország"/>
    <d v="1999-12-06T00:00:00"/>
    <s v="T148382/FI80798"/>
    <x v="5"/>
    <s v="Állami ösztöndíjas"/>
    <s v="2019/20/1"/>
    <s v="Nappali"/>
    <n v="9"/>
    <n v="1"/>
    <s v="2021/22/2"/>
    <n v="10"/>
    <s v="74984120971"/>
    <n v="12"/>
    <x v="3"/>
    <m/>
    <m/>
    <m/>
    <m/>
    <s v="Képzésváltás intézményen belül"/>
    <d v="2019-09-14T00:00:00"/>
    <m/>
    <s v="BDPK-SEK"/>
    <s v="Eke Norbertné"/>
    <d v="2019-07-24T00:00:00"/>
    <d v="2025-06-30T00:00:00"/>
    <n v="500000"/>
    <m/>
    <n v="5"/>
    <s v="Nő"/>
    <n v="500000"/>
    <s v="nessza199@gmail.com"/>
    <s v="Simon Bernadett"/>
    <n v="6"/>
    <s v="Aktív"/>
    <n v="6"/>
    <n v="6"/>
    <s v="magyar"/>
    <m/>
  </r>
  <r>
    <s v="Koppány Márk"/>
    <s v="AZWGGI"/>
    <s v="Aktív"/>
    <s v="osztatlan tanári [12 félév [angol nyelv és kultúra tanára; történelemtanár és állampolgári ismeretek tanára]]"/>
    <x v="9"/>
    <s v="osztatlan tanárképzés"/>
    <s v="TKK-OTAK-NOHU"/>
    <s v="Nagyatád"/>
    <s v="Somogy"/>
    <s v="Koppány Márk"/>
    <s v="Magyarország"/>
    <d v="2000-01-25T00:00:00"/>
    <s v="T152775/FI80798"/>
    <x v="5"/>
    <s v="Állami ösztöndíjas"/>
    <s v="2019/20/1"/>
    <s v="Nappali"/>
    <n v="9"/>
    <n v="1"/>
    <s v="2021/22/2"/>
    <n v="10"/>
    <s v="73964781030"/>
    <n v="12"/>
    <x v="3"/>
    <m/>
    <m/>
    <m/>
    <m/>
    <s v="Képzésváltás intézményen belül"/>
    <d v="2019-09-14T00:00:00"/>
    <m/>
    <s v="BDPK-SEK"/>
    <s v="Eke Norbertné"/>
    <d v="2019-07-24T00:00:00"/>
    <d v="2025-07-15T00:00:00"/>
    <n v="500000"/>
    <m/>
    <n v="5"/>
    <s v="Férfi"/>
    <n v="500000"/>
    <s v="mark0125km@gmail.com"/>
    <s v="Miklós Diána"/>
    <n v="6"/>
    <s v="Aktív"/>
    <n v="6"/>
    <n v="6"/>
    <s v="magyar"/>
    <m/>
  </r>
  <r>
    <s v="Nagy Gábor"/>
    <s v="D3RCKM"/>
    <s v="Aktív"/>
    <s v="osztatlan tanári [12 félév [angol nyelv és kultúra tanára; történelemtanár és állampolgári ismeretek tanára]]"/>
    <x v="9"/>
    <s v="osztatlan tanárképzés"/>
    <s v="TKK-OTAK-NOHU"/>
    <s v="Szombathely"/>
    <s v="Vas"/>
    <s v="Nagy Gábor"/>
    <s v="Magyarország"/>
    <d v="1999-11-06T00:00:00"/>
    <s v="T153022/FI80798"/>
    <x v="5"/>
    <s v="Állami ösztöndíjas"/>
    <s v="2019/20/1"/>
    <s v="Nappali"/>
    <n v="9"/>
    <n v="1"/>
    <s v="2021/22/2"/>
    <n v="10"/>
    <s v="77890709320"/>
    <n v="12"/>
    <x v="3"/>
    <m/>
    <m/>
    <m/>
    <m/>
    <s v="Képzésváltás intézményen belül"/>
    <d v="2019-09-14T00:00:00"/>
    <m/>
    <s v="BDPK-SEK"/>
    <s v="Eke Norbertné"/>
    <d v="2019-07-24T00:00:00"/>
    <d v="2025-07-15T00:00:00"/>
    <n v="500000"/>
    <m/>
    <n v="5"/>
    <s v="Férfi"/>
    <n v="500000"/>
    <s v="nagygabor991106@gmail.com"/>
    <s v="Burkon Andrea"/>
    <n v="6"/>
    <s v="Aktív"/>
    <n v="6"/>
    <n v="6"/>
    <s v="magyar"/>
    <m/>
  </r>
  <r>
    <s v="Takács Marcell"/>
    <s v="IJ744N"/>
    <s v="Aktív"/>
    <s v="osztatlan tanári [12 félév [angol nyelv és kultúra tanára; történelemtanár és állampolgári ismeretek tanára]]"/>
    <x v="9"/>
    <s v="osztatlan tanárképzés"/>
    <s v="TKK-OTAK-NOHU"/>
    <s v="Győr"/>
    <s v="Győr-Moson-Sopron"/>
    <s v="Takács Marcell"/>
    <s v="Magyarország"/>
    <d v="2001-04-11T00:00:00"/>
    <s v="T179759/FI80798"/>
    <x v="5"/>
    <s v="Állami ösztöndíjas"/>
    <s v="2021/22/1"/>
    <s v="Nappali"/>
    <n v="13"/>
    <n v="1"/>
    <s v="2021/22/2"/>
    <n v="10"/>
    <s v="71606808031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Férfi"/>
    <n v="500000"/>
    <s v="takacs.marcell.2001@gmail.com"/>
    <s v="Takács Bernadett"/>
    <n v="2"/>
    <s v="Aktív"/>
    <n v="2"/>
    <n v="2"/>
    <s v="magyar"/>
    <m/>
  </r>
  <r>
    <s v="Meskó Krisztián"/>
    <s v="FWEQAE"/>
    <s v="Aktív"/>
    <s v="osztatlan tanári [12 félév [angol nyelv és kultúra tanára; történelemtanár és állampolgári ismeretek tanára]]"/>
    <x v="9"/>
    <s v="osztatlan tanárképzés"/>
    <s v="TKK-OTAK-NOHU"/>
    <s v="Tapolca"/>
    <s v="Veszprém"/>
    <s v="Meskó Krisztián"/>
    <s v="Magyarország"/>
    <d v="2000-07-18T00:00:00"/>
    <s v="T163741/FI80798"/>
    <x v="5"/>
    <s v="Állami ösztöndíjas"/>
    <s v="2020/21/1"/>
    <s v="Nappali"/>
    <n v="11"/>
    <n v="1"/>
    <s v="2021/22/2"/>
    <n v="10"/>
    <s v="78141089627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Férfi"/>
    <n v="500000"/>
    <s v="kismesko031@gmail.com"/>
    <s v="Feiler Viktória"/>
    <n v="4"/>
    <s v="Aktív"/>
    <n v="4"/>
    <n v="4"/>
    <s v="magyar"/>
    <m/>
  </r>
  <r>
    <s v="Kovács Marcell János"/>
    <s v="EA2R41"/>
    <s v="Aktív"/>
    <s v="osztatlan tanári [12 félév [angol nyelv és kultúra tanára; történelemtanár és állampolgári ismeretek tanára]]"/>
    <x v="9"/>
    <s v="osztatlan tanárképzés"/>
    <s v="TKK-OTAK-NOHU"/>
    <s v="Győr"/>
    <s v="Győr-Moson-Sopron"/>
    <s v="Kovács Marcell János"/>
    <s v="Magyarország"/>
    <d v="2000-05-18T00:00:00"/>
    <s v="T162548/FI80798"/>
    <x v="5"/>
    <s v="Állami ösztöndíjas"/>
    <s v="2020/21/1"/>
    <s v="Nappali"/>
    <n v="11"/>
    <n v="1"/>
    <s v="2021/22/2"/>
    <n v="10"/>
    <s v="73832511328"/>
    <n v="12"/>
    <x v="3"/>
    <m/>
    <m/>
    <m/>
    <m/>
    <s v="Képzésváltás intézményen belül"/>
    <d v="2021-09-01T00:00:00"/>
    <m/>
    <s v="BDPK-SEK"/>
    <s v="Eke Norbertné"/>
    <d v="2020-07-23T00:00:00"/>
    <d v="2026-07-15T00:00:00"/>
    <n v="500000"/>
    <m/>
    <n v="1"/>
    <s v="Férfi"/>
    <n v="500000"/>
    <s v="kovacs.marcell05181@gmail.com"/>
    <s v="Elek Eszter"/>
    <n v="2"/>
    <s v="Aktív"/>
    <n v="2"/>
    <n v="4"/>
    <s v="magyar"/>
    <m/>
  </r>
  <r>
    <s v="Takács Viktória Mónika"/>
    <s v="ZYAGGE"/>
    <s v="Aktív"/>
    <s v="osztatlan tanári [12 félév [angol nyelv és kultúra tanára; történelemtanár és állampolgári ismeretek tanára]]"/>
    <x v="9"/>
    <s v="osztatlan tanárképzés"/>
    <s v="TKK-OTAK-NOHU"/>
    <s v="Szombathely"/>
    <s v="Vas"/>
    <s v="Takács Viktória Mónika"/>
    <s v="Magyarország"/>
    <d v="2000-03-26T00:00:00"/>
    <s v="T166021/FI80798"/>
    <x v="5"/>
    <s v="Állami ösztöndíjas"/>
    <s v="2020/21/1"/>
    <s v="Nappali"/>
    <n v="11"/>
    <n v="1"/>
    <s v="2021/22/2"/>
    <n v="10"/>
    <s v="72125099285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Nő"/>
    <n v="500000"/>
    <s v="vikitkcs@gmail.com"/>
    <s v="Csejtei Mónika Rita"/>
    <n v="4"/>
    <s v="Aktív"/>
    <n v="4"/>
    <n v="4"/>
    <s v="magyar"/>
    <m/>
  </r>
  <r>
    <s v="Kánai Csenge Anna"/>
    <s v="I32O51"/>
    <s v="Aktív"/>
    <s v="osztatlan tanári [12 félév [angol nyelv és kultúra tanára; történelemtanár és állampolgári ismeretek tanára]]"/>
    <x v="9"/>
    <s v="osztatlan tanárképzés"/>
    <s v="TKK-OTAK-NOHU"/>
    <s v="Győr"/>
    <s v="Győr-Moson-Sopron"/>
    <s v="Kánai Csenge Anna"/>
    <s v="Magyarország"/>
    <d v="2002-04-22T00:00:00"/>
    <s v="T161387/FI80798"/>
    <x v="5"/>
    <s v="Állami ösztöndíjas"/>
    <s v="2020/21/1"/>
    <s v="Nappali"/>
    <n v="11"/>
    <n v="1"/>
    <s v="2021/22/2"/>
    <n v="10"/>
    <s v="71620951127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Nő"/>
    <n v="500000"/>
    <s v="anna04022224@gmail.com"/>
    <s v="Futó Ágnes"/>
    <n v="4"/>
    <s v="Aktív"/>
    <n v="4"/>
    <n v="4"/>
    <s v="magyar"/>
    <m/>
  </r>
  <r>
    <s v="Tóth Krisztina"/>
    <s v="E2EZE8"/>
    <s v="Aktív"/>
    <s v="osztatlan tanári [12 félév [angol nyelv és kultúra tanára; történelemtanár és állampolgári ismeretek tanára]]"/>
    <x v="9"/>
    <s v="osztatlan tanárképzés"/>
    <s v="TKK-OTAK-NOHU"/>
    <s v="Ajka"/>
    <s v="Veszprém"/>
    <s v="Tóth Krisztina"/>
    <s v="Magyarország"/>
    <d v="2001-10-07T00:00:00"/>
    <s v="T162346/FI80798"/>
    <x v="5"/>
    <s v="Állami ösztöndíjas"/>
    <s v="2020/21/1"/>
    <s v="Nappali"/>
    <n v="11"/>
    <n v="1"/>
    <s v="2021/22/2"/>
    <n v="10"/>
    <s v="71638033246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Nő"/>
    <n v="500000"/>
    <s v="tothchristina69@gmail.com"/>
    <s v="Vad Eszter"/>
    <n v="4"/>
    <s v="Aktív"/>
    <n v="4"/>
    <n v="4"/>
    <s v="magyar"/>
    <m/>
  </r>
  <r>
    <s v="Mészáros Viktória Alexandra"/>
    <s v="CAAS54"/>
    <s v="Aktív"/>
    <s v="osztatlan tanári [12 félév [angol nyelv és kultúra tanára; történelemtanár és állampolgári ismeretek tanára]]"/>
    <x v="9"/>
    <s v="osztatlan tanárképzés"/>
    <s v="TKK-OTAK-NOHU"/>
    <s v="Szombathely"/>
    <s v="Vas"/>
    <s v="Mészáros Viktória Alexandra"/>
    <s v="Magyarország"/>
    <d v="2001-06-13T00:00:00"/>
    <s v="T168292/FI80798"/>
    <x v="5"/>
    <s v="Állami ösztöndíjas"/>
    <s v="2020/21/1"/>
    <s v="Nappali"/>
    <n v="11"/>
    <n v="1"/>
    <s v="2021/22/2"/>
    <n v="10"/>
    <s v="71518409645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Nő"/>
    <n v="500000"/>
    <s v="viki.gencs@freemail.hu"/>
    <s v="Szanyi Krisztina Éva"/>
    <n v="4"/>
    <s v="Aktív"/>
    <n v="4"/>
    <n v="4"/>
    <s v="magyar"/>
    <m/>
  </r>
  <r>
    <s v="Szabó Júlia"/>
    <s v="XB8Z43"/>
    <s v="Aktív"/>
    <s v="osztatlan tanári [12 félév [angol nyelv és kultúra tanára; történelemtanár és állampolgári ismeretek tanára]]"/>
    <x v="9"/>
    <s v="osztatlan tanárképzés"/>
    <s v="TKK-OTAK-NOHU"/>
    <s v="Szombathely"/>
    <s v="Vas"/>
    <s v="Szabó Júlia"/>
    <s v="Magyarország"/>
    <d v="2002-05-16T00:00:00"/>
    <s v="T163790/FI80798"/>
    <x v="5"/>
    <s v="Állami ösztöndíjas"/>
    <s v="2020/21/1"/>
    <s v="Nappali"/>
    <n v="11"/>
    <n v="1"/>
    <s v="2021/22/2"/>
    <n v="10"/>
    <s v="71465606655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Nő"/>
    <n v="500000"/>
    <s v="julcsi516@gmail.com"/>
    <s v="Vajda Erika"/>
    <n v="4"/>
    <s v="Aktív"/>
    <n v="4"/>
    <n v="4"/>
    <s v="magyar"/>
    <m/>
  </r>
  <r>
    <s v="Sas Eszter Brigitta"/>
    <s v="CJ0ZV3"/>
    <s v="Aktív"/>
    <s v="osztatlan tanári [12 félév [angol nyelv és kultúra tanára; történelemtanár és állampolgári ismeretek tanára]]"/>
    <x v="9"/>
    <s v="osztatlan tanárképzés"/>
    <s v="TKK-OTAK-NOHU"/>
    <s v="Kapuvár"/>
    <s v="Győr-Moson-Sopron"/>
    <s v="Sas Eszter Brigitta"/>
    <s v="Magyarország"/>
    <d v="2002-07-25T00:00:00"/>
    <s v="T163391/FI80798"/>
    <x v="5"/>
    <s v="Állami ösztöndíjas"/>
    <s v="2020/21/1"/>
    <s v="Nappali"/>
    <n v="11"/>
    <n v="1"/>
    <s v="2021/22/2"/>
    <n v="10"/>
    <s v="71589482690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Nő"/>
    <n v="500000"/>
    <s v="saseszti02@gmail.com"/>
    <s v="Bernát Márta"/>
    <n v="4"/>
    <s v="Aktív"/>
    <n v="4"/>
    <n v="4"/>
    <s v="magyar"/>
    <m/>
  </r>
  <r>
    <s v="Varga Vivien"/>
    <s v="Y9XW88"/>
    <s v="Aktív"/>
    <s v="osztatlan tanári [12 félév [angol nyelv és kultúra tanára; történelemtanár és állampolgári ismeretek tanára]]"/>
    <x v="9"/>
    <s v="osztatlan tanárképzés"/>
    <s v="TKK-OTAK-NOHU"/>
    <s v="Zalaegerszeg"/>
    <s v="Zala"/>
    <s v="Varga Vivien"/>
    <s v="Magyarország"/>
    <d v="2001-11-24T00:00:00"/>
    <s v="T164609/FI80798"/>
    <x v="5"/>
    <s v="Állami ösztöndíjas"/>
    <s v="2020/21/1"/>
    <s v="Nappali"/>
    <n v="11"/>
    <n v="1"/>
    <s v="2021/22/2"/>
    <n v="10"/>
    <s v="71466615040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Nő"/>
    <n v="500000"/>
    <s v="vargavivien1124@gmail.com"/>
    <s v="Ágh Judit"/>
    <n v="4"/>
    <s v="Aktív"/>
    <n v="4"/>
    <n v="4"/>
    <s v="magyar"/>
    <m/>
  </r>
  <r>
    <s v="Fekete Kata"/>
    <s v="QW1GZP"/>
    <s v="Aktív"/>
    <s v="osztatlan tanári [12 félév [angol nyelv és kultúra tanára; történelemtanár és állampolgári ismeretek tanára]]"/>
    <x v="9"/>
    <s v="osztatlan tanárképzés"/>
    <s v="TKK-OTAK-NOHU"/>
    <s v="Pápa"/>
    <s v="Veszprém"/>
    <s v="Fekete Kata"/>
    <s v="Magyarország"/>
    <d v="2001-06-16T00:00:00"/>
    <s v="T182660/FI80798"/>
    <x v="5"/>
    <s v="Állami ösztöndíjas"/>
    <s v="2021/22/1"/>
    <s v="Nappali"/>
    <n v="13"/>
    <n v="1"/>
    <s v="2021/22/2"/>
    <n v="10"/>
    <s v="71629768616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Nő"/>
    <n v="500000"/>
    <s v="fekete.kata16@gmail.com"/>
    <s v="Földi Judit"/>
    <n v="2"/>
    <s v="Aktív"/>
    <n v="2"/>
    <n v="2"/>
    <s v="magyar"/>
    <m/>
  </r>
  <r>
    <s v="Iván Kristóf"/>
    <s v="IENF7L"/>
    <s v="Aktív"/>
    <s v="osztatlan tanári [12 félév [angol nyelv és kultúra tanára; történelemtanár és állampolgári ismeretek tanára]]"/>
    <x v="9"/>
    <s v="osztatlan tanárképzés"/>
    <s v="TKK-OTAK-NOHU"/>
    <s v="Sopron"/>
    <s v="Győr-Moson-Sopron"/>
    <s v="Iván Kristóf"/>
    <s v="Magyarország"/>
    <d v="2002-01-16T00:00:00"/>
    <s v="T182132/FI80798"/>
    <x v="5"/>
    <s v="Állami ösztöndíjas"/>
    <s v="2021/22/1"/>
    <s v="Nappali"/>
    <n v="13"/>
    <n v="1"/>
    <s v="2021/22/2"/>
    <n v="10"/>
    <s v="71518348156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Férfi"/>
    <n v="500000"/>
    <s v="ivankristof25@gmail.com"/>
    <s v="Borsodi Éva"/>
    <n v="2"/>
    <s v="Aktív"/>
    <n v="2"/>
    <n v="2"/>
    <s v="magyar"/>
    <m/>
  </r>
  <r>
    <s v="Tóth Bettina Anna"/>
    <s v="C8YQ8H"/>
    <s v="Aktív"/>
    <s v="osztatlan tanári [12 félév [angol nyelv és kultúra tanára; történelemtanár és állampolgári ismeretek tanára]]"/>
    <x v="9"/>
    <s v="osztatlan tanárképzés"/>
    <s v="TKK-OTAK-NOHU"/>
    <s v="Győr"/>
    <s v="Győr-Moson-Sopron"/>
    <s v="Tóth Bettina Anna"/>
    <s v="Magyarország"/>
    <d v="2003-02-03T00:00:00"/>
    <s v="T181584/FI80798"/>
    <x v="5"/>
    <s v="Állami ösztöndíjas"/>
    <s v="2021/22/1"/>
    <s v="Nappali"/>
    <n v="13"/>
    <n v="1"/>
    <s v="2021/22/2"/>
    <n v="10"/>
    <s v="72148866162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Nő"/>
    <n v="500000"/>
    <s v="bettitoth0203@gmail.com"/>
    <s v="Nagy Judit"/>
    <n v="2"/>
    <s v="Aktív"/>
    <n v="2"/>
    <n v="2"/>
    <s v="magyar"/>
    <m/>
  </r>
  <r>
    <s v="Jandrasics Eszter"/>
    <s v="AF9DHC"/>
    <s v="Aktív"/>
    <s v="osztatlan tanári [12 félév [angol nyelv és kultúra tanára; történelemtanár és állampolgári ismeretek tanára]]"/>
    <x v="9"/>
    <s v="osztatlan tanárképzés"/>
    <s v="TKK-OTAK-NOHU"/>
    <s v="Körmend"/>
    <s v="Vas"/>
    <s v="Jandrasics Eszter"/>
    <s v="Magyarország"/>
    <d v="2002-06-28T00:00:00"/>
    <s v="T180343/FI80798"/>
    <x v="5"/>
    <s v="Állami ösztöndíjas"/>
    <s v="2021/22/1"/>
    <s v="Nappali"/>
    <n v="13"/>
    <n v="1"/>
    <s v="2021/22/2"/>
    <n v="10"/>
    <s v="72143918186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Nő"/>
    <n v="500000"/>
    <s v="jandrasicse@gmail.com"/>
    <s v="Németh Anita"/>
    <n v="2"/>
    <s v="Aktív"/>
    <n v="2"/>
    <n v="2"/>
    <s v="magyar"/>
    <m/>
  </r>
  <r>
    <s v="Unger Enikő Hedvig"/>
    <s v="EZ4XU7"/>
    <s v="Aktív"/>
    <s v="osztatlan tanári [12 félév [angol nyelv és kultúra tanára; történelemtanár és állampolgári ismeretek tanára]]"/>
    <x v="9"/>
    <s v="osztatlan tanárképzés"/>
    <s v="TKK-OTAK-NOHU"/>
    <s v="Szombathely"/>
    <s v="Vas"/>
    <s v="Unger Enikő Hedvig"/>
    <s v="Magyarország"/>
    <d v="2000-06-10T00:00:00"/>
    <s v="T181042/FI80798"/>
    <x v="5"/>
    <s v="Állami ösztöndíjas"/>
    <s v="2021/22/1"/>
    <s v="Nappali"/>
    <n v="13"/>
    <n v="1"/>
    <s v="2021/22/2"/>
    <n v="10"/>
    <s v="72583118740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Nő"/>
    <n v="500000"/>
    <s v="ungere10@gmail.com"/>
    <s v="Németh Hedvig"/>
    <n v="2"/>
    <s v="Aktív"/>
    <n v="2"/>
    <n v="2"/>
    <s v="magyar"/>
    <m/>
  </r>
  <r>
    <s v="Marton Vivien"/>
    <s v="QS2SHK"/>
    <s v="Aktív"/>
    <s v="osztatlan tanári [12 félév [angol nyelv és kultúra tanára; történelemtanár és állampolgári ismeretek tanára]]"/>
    <x v="9"/>
    <s v="osztatlan tanárképzés"/>
    <s v="TKK-OTAK-NOHU"/>
    <s v="Zalaegerszeg"/>
    <s v="Zala"/>
    <s v="Marton Vivien"/>
    <s v="Magyarország"/>
    <d v="2003-02-26T00:00:00"/>
    <s v="T179635/FI80798"/>
    <x v="5"/>
    <s v="Állami ösztöndíjas"/>
    <s v="2021/22/1"/>
    <s v="Nappali"/>
    <n v="13"/>
    <n v="1"/>
    <s v="2021/22/2"/>
    <n v="10"/>
    <s v="72144353561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Nő"/>
    <n v="500000"/>
    <s v="martonvivi26@gmail.com"/>
    <s v="Biczó Nóra"/>
    <n v="2"/>
    <s v="Aktív"/>
    <n v="2"/>
    <n v="2"/>
    <s v="magyar"/>
    <m/>
  </r>
  <r>
    <s v="Frühvirth Martin"/>
    <s v="F4YZTF"/>
    <s v="Aktív"/>
    <s v="osztatlan tanári [12 félév [angol nyelv és kultúra tanára; történelemtanár és állampolgári ismeretek tanára]]"/>
    <x v="9"/>
    <s v="osztatlan tanárképzés"/>
    <s v="TKK-OTAK-NOHU"/>
    <s v="Körmend"/>
    <s v="Vas"/>
    <s v="Frühvirth Martin"/>
    <s v="Magyarország"/>
    <d v="2003-01-25T00:00:00"/>
    <s v="T183939/FI80798"/>
    <x v="5"/>
    <s v="Állami ösztöndíjas"/>
    <s v="2021/22/1"/>
    <s v="Nappali"/>
    <n v="13"/>
    <n v="1"/>
    <s v="2021/22/2"/>
    <n v="10"/>
    <s v="72146966365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Férfi"/>
    <n v="500000"/>
    <s v="fruhmar1@gmail.com"/>
    <s v="Németi Orsolya"/>
    <n v="2"/>
    <s v="Aktív"/>
    <n v="2"/>
    <n v="2"/>
    <s v="magyar"/>
    <m/>
  </r>
  <r>
    <s v="Horváth Liliána Lilla"/>
    <s v="H010TM"/>
    <s v="Aktív"/>
    <s v="osztatlan tanári [12 félév [biológiatanár (egészségtan) (természettudományi gyakorlatok); német nyelv és kultúra tanára]]"/>
    <x v="4"/>
    <s v="osztatlan tanárképzés"/>
    <s v="TKK-OTAK-NOHU"/>
    <s v="Zalaegerszeg"/>
    <s v="Zala"/>
    <s v="Horváth Liliána Lilla"/>
    <s v="Magyarország"/>
    <d v="2001-12-18T00:00:00"/>
    <s v="T164761/FI80798"/>
    <x v="5"/>
    <s v="Állami ösztöndíjas"/>
    <s v="2020/21/1"/>
    <s v="Nappali"/>
    <n v="11"/>
    <n v="1"/>
    <s v="2021/22/2"/>
    <n v="10"/>
    <s v="71603030311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Nő"/>
    <n v="500000"/>
    <s v="misilyly01@gmail.com"/>
    <s v="Major Beáta"/>
    <n v="4"/>
    <s v="Aktív"/>
    <n v="4"/>
    <n v="4"/>
    <s v="magyar"/>
    <m/>
  </r>
  <r>
    <s v="Temesi Márton"/>
    <s v="VMN2IC"/>
    <s v="Aktív"/>
    <s v="osztatlan tanári [12 félév [biológiatanár (egészségtan) (természettudományi gyakorlatok); testnevelő tanár]]"/>
    <x v="8"/>
    <s v="osztatlan tanárképzés"/>
    <s v="TKK-OTAK-NOHU"/>
    <s v="Veszprém"/>
    <s v="Veszprém"/>
    <s v="Temesi Márton"/>
    <s v="Magyarország"/>
    <d v="2001-06-16T00:00:00"/>
    <s v="T168069/FI80798"/>
    <x v="5"/>
    <s v="Állami ösztöndíjas"/>
    <s v="2020/21/1"/>
    <s v="Nappali"/>
    <n v="11"/>
    <n v="1"/>
    <s v="2021/22/2"/>
    <n v="10"/>
    <s v="71592081503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Férfi"/>
    <n v="500000"/>
    <s v="temesi.marton@gmail.com"/>
    <s v="Kiss Marietta"/>
    <n v="4"/>
    <s v="Aktív"/>
    <n v="4"/>
    <n v="4"/>
    <s v="magyar"/>
    <m/>
  </r>
  <r>
    <s v="Nagy Amanda Kira"/>
    <s v="XS2DXR"/>
    <s v="Aktív"/>
    <s v="osztatlan tanári [12 félév [biológiatanár (egészségtan); matematikatanár]]"/>
    <x v="7"/>
    <s v="osztatlan tanárképzés"/>
    <s v="TKK-OTAK-NOHU"/>
    <s v="Debrecen"/>
    <s v="Hajdú-Bihar"/>
    <s v="Nagy Amanda Kira"/>
    <s v="Magyarország"/>
    <d v="1995-04-12T00:00:00"/>
    <s v="T143984/FI80798"/>
    <x v="5"/>
    <s v="Állami ösztöndíjas"/>
    <s v="2018/19/1"/>
    <s v="Nappali"/>
    <n v="6"/>
    <n v="1"/>
    <s v="2021/22/2"/>
    <n v="10"/>
    <s v="76955662045"/>
    <n v="12"/>
    <x v="3"/>
    <m/>
    <m/>
    <m/>
    <m/>
    <s v="Képzésváltás intézményen belül"/>
    <d v="2021-02-03T00:00:00"/>
    <m/>
    <s v="BDPK-SEK"/>
    <s v="Eke Norbertné"/>
    <d v="2018-07-25T00:00:00"/>
    <d v="2024-07-15T00:00:00"/>
    <m/>
    <m/>
    <n v="2"/>
    <s v="Nő"/>
    <n v="300000"/>
    <s v="amandanagy@citromail.hu"/>
    <s v="Győrösi Viktória"/>
    <n v="3"/>
    <s v="Aktív"/>
    <n v="3"/>
    <n v="8"/>
    <s v="magyar"/>
    <m/>
  </r>
  <r>
    <s v="Pintér Gréta Anna"/>
    <s v="I20O2H"/>
    <s v="Aktív"/>
    <s v="osztatlan tanári [12 félév [biológiatanár (egészségtan); matematikatanár]]"/>
    <x v="7"/>
    <s v="osztatlan tanárképzés"/>
    <s v="TKK-OTAK-NOHU"/>
    <s v="Szombathely"/>
    <s v="Vas"/>
    <s v="Pintér Gréta Anna"/>
    <s v="Magyarország"/>
    <d v="1999-06-25T00:00:00"/>
    <s v="T135499/FI80798"/>
    <x v="5"/>
    <s v="Állami ösztöndíjas"/>
    <s v="2018/19/1"/>
    <s v="Nappali"/>
    <n v="7"/>
    <n v="1"/>
    <s v="2021/22/2"/>
    <n v="10"/>
    <s v="78958296610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Nő"/>
    <n v="400000"/>
    <s v="gretosz9@gmail.com"/>
    <s v="Sági Anita"/>
    <n v="8"/>
    <s v="Aktív"/>
    <n v="8"/>
    <n v="8"/>
    <s v="magyar"/>
    <m/>
  </r>
  <r>
    <s v="Imre Nadin Luca"/>
    <s v="SCL0QP"/>
    <s v="Aktív"/>
    <s v="osztatlan tanári [12 félév [biológiatanár (egészségtan); matematikatanár]]"/>
    <x v="7"/>
    <s v="osztatlan tanárképzés"/>
    <s v="TKK-OTAK-NOHU"/>
    <s v="Wien"/>
    <m/>
    <s v="Imre Nadin Luca"/>
    <s v="Ausztria"/>
    <d v="1999-01-01T00:00:00"/>
    <s v="T148562/FI80798"/>
    <x v="5"/>
    <s v="Állami ösztöndíjas"/>
    <s v="2019/20/1"/>
    <s v="Nappali"/>
    <n v="9"/>
    <n v="1"/>
    <s v="2021/22/2"/>
    <n v="10"/>
    <s v="79638566679"/>
    <n v="12"/>
    <x v="3"/>
    <m/>
    <m/>
    <m/>
    <m/>
    <s v="Képzésváltás intézményen belül"/>
    <d v="2019-09-14T00:00:00"/>
    <m/>
    <s v="BDPK-SEK"/>
    <s v="Eke Norbertné"/>
    <d v="2019-07-24T00:00:00"/>
    <d v="2025-06-30T00:00:00"/>
    <n v="500000"/>
    <m/>
    <n v="5"/>
    <s v="Nő"/>
    <n v="500000"/>
    <s v="nadin.luca@gmail.com"/>
    <s v="Bokor Edina Judit"/>
    <n v="6"/>
    <s v="Aktív"/>
    <n v="6"/>
    <n v="6"/>
    <s v="magyar"/>
    <m/>
  </r>
  <r>
    <s v="Hegyi Aliz"/>
    <s v="T748NC"/>
    <s v="Aktív"/>
    <s v="osztatlan tanári [12 félév [biológiatanár (egészségtan); matematikatanár]]"/>
    <x v="7"/>
    <s v="osztatlan tanárképzés"/>
    <s v="TKK-OTAK-NOHU"/>
    <s v="Győr"/>
    <s v="Győr-Moson-Sopron"/>
    <s v="Hegyi Aliz"/>
    <s v="Magyarország"/>
    <d v="2001-06-20T00:00:00"/>
    <s v="T180655/FI80798"/>
    <x v="5"/>
    <s v="Állami ösztöndíjas"/>
    <s v="2021/22/1"/>
    <s v="Nappali"/>
    <n v="13"/>
    <n v="1"/>
    <s v="2021/22/2"/>
    <n v="10"/>
    <s v="71598510032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Nő"/>
    <n v="500000"/>
    <s v="haliz54321@gmail.com"/>
    <s v="Friedmann Edina"/>
    <n v="2"/>
    <s v="Aktív"/>
    <n v="2"/>
    <n v="2"/>
    <s v="magyar"/>
    <m/>
  </r>
  <r>
    <s v="Szeleczky Vivien"/>
    <s v="H7S0M1"/>
    <s v="Passzív"/>
    <s v="osztatlan tanári [12 félév [biológiatanár (egészségtan); német nyelv és kultúra tanára]]"/>
    <x v="4"/>
    <s v="osztatlan tanárképzés"/>
    <s v="TKK-OTAK-NOHU"/>
    <s v="Mosonmagyaróvár"/>
    <s v="Győr-Moson-Sopron"/>
    <s v="Szeleczky Vivien"/>
    <s v="Magyarország"/>
    <d v="2002-07-03T00:00:00"/>
    <s v="T186119/FI80798"/>
    <x v="5"/>
    <s v="Állami ösztöndíjas"/>
    <s v="2021/22/1"/>
    <s v="Nappali"/>
    <n v="14"/>
    <n v="1"/>
    <s v="2021/22/1"/>
    <n v="10"/>
    <s v="72159794301"/>
    <n v="12"/>
    <x v="3"/>
    <m/>
    <m/>
    <m/>
    <m/>
    <s v="Képzésváltás intézményen belül"/>
    <d v="2021-09-13T00:00:00"/>
    <m/>
    <s v="BDPK-SEK"/>
    <s v="Eke Norbertné"/>
    <d v="2021-07-23T00:00:00"/>
    <d v="2028-07-15T00:00:00"/>
    <n v="500000"/>
    <m/>
    <n v="1"/>
    <s v="Nő"/>
    <n v="500000"/>
    <s v="sz.vivi0703@gmail.com"/>
    <s v="Horváth Ivetta"/>
    <n v="1"/>
    <s v="Passzív"/>
    <n v="1"/>
    <n v="1"/>
    <s v="magyar"/>
    <m/>
  </r>
  <r>
    <s v="Papp Richárd"/>
    <s v="BXHU22"/>
    <s v="Aktív"/>
    <s v="osztatlan tanári [12 félév [biológiatanár (egészségtan); testnevelő tanár]]"/>
    <x v="8"/>
    <s v="osztatlan tanárképzés"/>
    <s v="TKK-OTAK-NOHU"/>
    <s v="Győr"/>
    <s v="Győr-Moson-Sopron"/>
    <s v="Papp Richárd"/>
    <s v="Magyarország"/>
    <d v="1996-11-07T00:00:00"/>
    <s v="T138983/FI80798"/>
    <x v="5"/>
    <s v="Állami ösztöndíjas"/>
    <s v="2018/19/1"/>
    <s v="Nappali"/>
    <n v="5"/>
    <n v="1"/>
    <s v="2021/22/2"/>
    <n v="10"/>
    <s v="71771803792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Férfi"/>
    <n v="400000"/>
    <s v="pappricsi96@hotmail.com"/>
    <s v="Hárfás Edina"/>
    <n v="8"/>
    <s v="Aktív"/>
    <n v="8"/>
    <n v="8"/>
    <s v="magyar"/>
    <m/>
  </r>
  <r>
    <s v="Németh Péter Ernő"/>
    <s v="S6SC5A"/>
    <s v="Aktív"/>
    <s v="osztatlan tanári [12 félév [biológiatanár (egészségtan); történelemtanár és állampolgári ismeretek tanára]]"/>
    <x v="9"/>
    <s v="osztatlan tanárképzés"/>
    <s v="TKK-OTAK-NOHU"/>
    <s v="Celldömölk"/>
    <s v="Vas"/>
    <s v="Németh Péter Ernő"/>
    <s v="Magyarország"/>
    <d v="2000-02-17T00:00:00"/>
    <s v="T149208/FI80798"/>
    <x v="5"/>
    <s v="Állami ösztöndíjas"/>
    <s v="2019/20/1"/>
    <s v="Nappali"/>
    <n v="9"/>
    <n v="1"/>
    <s v="2021/22/2"/>
    <n v="10"/>
    <s v="72494621767"/>
    <n v="12"/>
    <x v="3"/>
    <m/>
    <m/>
    <m/>
    <m/>
    <s v="Képzésváltás intézményen belül"/>
    <d v="2019-09-14T00:00:00"/>
    <m/>
    <s v="BDPK-SEK"/>
    <s v="Eke Norbertné"/>
    <d v="2019-07-24T00:00:00"/>
    <d v="2025-06-30T00:00:00"/>
    <n v="500000"/>
    <m/>
    <n v="5"/>
    <s v="Férfi"/>
    <n v="500000"/>
    <s v="nemeth3peter@gmail.com"/>
    <s v="Varga Magdolna"/>
    <n v="6"/>
    <s v="Aktív"/>
    <n v="6"/>
    <n v="6"/>
    <s v="magyar"/>
    <m/>
  </r>
  <r>
    <s v="Bati Ágota"/>
    <s v="FI5V7N"/>
    <s v="Aktív"/>
    <s v="osztatlan tanári [12 félév [biológiatanár (egészségtan); történelemtanár és állampolgári ismeretek tanára]]"/>
    <x v="9"/>
    <s v="osztatlan tanárképzés"/>
    <s v="TKK-OTAK-NOHU"/>
    <s v="Tapolca"/>
    <s v="Veszprém"/>
    <s v="Bati Ágota"/>
    <s v="Magyarország"/>
    <d v="2001-07-26T00:00:00"/>
    <s v="T184101/FI80798"/>
    <x v="5"/>
    <s v="Állami ösztöndíjas"/>
    <s v="2021/22/1"/>
    <s v="Nappali"/>
    <n v="13"/>
    <n v="1"/>
    <s v="2021/22/2"/>
    <n v="10"/>
    <s v="75409191017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Nő"/>
    <n v="500000"/>
    <s v="agotabativeronika@gmail.com"/>
    <s v="Gerics Márta"/>
    <n v="2"/>
    <s v="Aktív"/>
    <n v="2"/>
    <n v="2"/>
    <s v="magyar"/>
    <m/>
  </r>
  <r>
    <s v="Papp Laura Kinga"/>
    <s v="A45OML"/>
    <s v="Aktív"/>
    <s v="osztatlan tanári [12 félév [fizikatanár (természettudományi gyakorlatok); matematikatanár]]"/>
    <x v="7"/>
    <s v="osztatlan tanárképzés"/>
    <s v="TKK-OTAK-NOHU"/>
    <s v="Szombathely"/>
    <s v="Vas"/>
    <s v="Papp Laura Kinga"/>
    <s v="Magyarország"/>
    <d v="1999-09-11T00:00:00"/>
    <s v="T166794/FI80798"/>
    <x v="5"/>
    <s v="Állami ösztöndíjas"/>
    <s v="2020/21/1"/>
    <s v="Nappali"/>
    <n v="7"/>
    <n v="2"/>
    <s v="2021/22/2"/>
    <n v="10"/>
    <s v="76014772348"/>
    <n v="12"/>
    <x v="3"/>
    <m/>
    <m/>
    <m/>
    <m/>
    <s v="Képzésváltás intézményen belül"/>
    <d v="2020-09-14T00:00:00"/>
    <m/>
    <s v="BDPK-SEK"/>
    <s v="Eke Norbertné"/>
    <d v="2020-07-23T00:00:00"/>
    <d v="2027-07-15T00:00:00"/>
    <n v="500000"/>
    <m/>
    <n v="1"/>
    <s v="Nő"/>
    <n v="500000"/>
    <s v="laurakingap37@gmail.com"/>
    <s v="Füzes Bernadett Edina"/>
    <n v="2"/>
    <s v="Aktív"/>
    <n v="2"/>
    <n v="2"/>
    <s v="magyar"/>
    <m/>
  </r>
  <r>
    <s v="Szabó Bálint"/>
    <s v="ZEKZRG"/>
    <s v="Aktív"/>
    <s v="osztatlan tanári [12 félév [fizikatanár (természettudományos gyakorlatok); matematikatanár]]"/>
    <x v="7"/>
    <s v="osztatlan tanárképzés"/>
    <s v="TKK-OTAK-NOHU"/>
    <s v="Pápa"/>
    <s v="Veszprém"/>
    <s v="Szabó Bálint"/>
    <s v="Magyarország"/>
    <d v="1997-07-11T00:00:00"/>
    <s v="T123583/FI80798"/>
    <x v="5"/>
    <s v="Állami ösztöndíjas"/>
    <s v="2017/18/1"/>
    <s v="Nappali"/>
    <n v="5"/>
    <n v="1"/>
    <s v="2021/22/2"/>
    <n v="10"/>
    <s v="75860353411"/>
    <n v="12"/>
    <x v="3"/>
    <m/>
    <m/>
    <m/>
    <m/>
    <s v="Képzésváltás intézményen belül"/>
    <d v="2019-09-14T00:00:00"/>
    <m/>
    <s v="BDPK-SEK"/>
    <s v="Eke Norbertné"/>
    <d v="2017-07-27T00:00:00"/>
    <d v="2023-06-30T00:00:00"/>
    <n v="500000"/>
    <m/>
    <n v="5"/>
    <s v="Férfi"/>
    <n v="500000"/>
    <s v="szabobalintELTESEK@gmail.com"/>
    <s v="Németh Csilla"/>
    <n v="6"/>
    <s v="Aktív"/>
    <n v="6"/>
    <n v="10"/>
    <s v="magyar"/>
    <m/>
  </r>
  <r>
    <s v="Pipics János István"/>
    <s v="E5VX3S"/>
    <s v="Aktív"/>
    <s v="osztatlan tanári [12 félév [fizikatanár (természettudományos gyakorlatok); történelemtanár és állampolgári ismeretek tanára]]"/>
    <x v="9"/>
    <s v="osztatlan tanárképzés"/>
    <s v="TKK-OTAK-NOHU"/>
    <s v="Szombathely"/>
    <s v="Vas"/>
    <s v="Pipics János István"/>
    <s v="Magyarország"/>
    <d v="1998-04-03T00:00:00"/>
    <s v="T125366/FI80798"/>
    <x v="5"/>
    <s v="Állami ösztöndíjas"/>
    <s v="2017/18/1"/>
    <s v="Nappali"/>
    <n v="5"/>
    <n v="1"/>
    <s v="2021/22/2"/>
    <n v="10"/>
    <s v="77649485305"/>
    <n v="12"/>
    <x v="3"/>
    <m/>
    <m/>
    <m/>
    <m/>
    <s v="Képzésváltás intézményen belül"/>
    <d v="2019-09-14T00:00:00"/>
    <m/>
    <s v="BDPK-SEK"/>
    <s v="Eke Norbertné"/>
    <d v="2017-07-27T00:00:00"/>
    <d v="2023-06-30T00:00:00"/>
    <n v="500000"/>
    <m/>
    <n v="5"/>
    <s v="Férfi"/>
    <n v="500000"/>
    <s v="pipics34@citromail.hu"/>
    <s v="Kiss Beáta Mária"/>
    <n v="6"/>
    <s v="Aktív"/>
    <n v="6"/>
    <n v="10"/>
    <s v="magyar"/>
    <m/>
  </r>
  <r>
    <s v="Szabó Gergely"/>
    <s v="IYO5I5"/>
    <s v="Aktív"/>
    <s v="osztatlan tanári [12 félév [földrajztanár; matematikatanár]]"/>
    <x v="7"/>
    <s v="osztatlan tanárképzés"/>
    <s v="TKK-OTAK-NOHU"/>
    <s v="Tatabánya"/>
    <s v="Komárom-Esztergom"/>
    <s v="Szabó Gergely"/>
    <s v="Magyarország"/>
    <d v="2000-01-23T00:00:00"/>
    <s v="T135743/FI80798"/>
    <x v="5"/>
    <s v="Állami ösztöndíjas"/>
    <s v="2018/19/1"/>
    <s v="Nappali"/>
    <n v="7"/>
    <n v="1"/>
    <s v="2021/22/2"/>
    <n v="10"/>
    <s v="74518906539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Férfi"/>
    <n v="400000"/>
    <s v="szabo.gery0305@gmail.com"/>
    <s v="Dobos Anita"/>
    <n v="8"/>
    <s v="Aktív"/>
    <n v="8"/>
    <n v="8"/>
    <s v="magyar"/>
    <m/>
  </r>
  <r>
    <s v="Kalamár Milán"/>
    <s v="D89VLN"/>
    <s v="Aktív"/>
    <s v="osztatlan tanári [12 félév [földrajztanár; testnevelő tanár]]"/>
    <x v="8"/>
    <s v="osztatlan tanárképzés"/>
    <s v="TKK-OTAK-NOHU"/>
    <s v="Zalaegerszeg"/>
    <s v="Zala"/>
    <s v="Kalamár Milán"/>
    <s v="Magyarország"/>
    <d v="1995-06-11T00:00:00"/>
    <s v="T125744/FI80798"/>
    <x v="5"/>
    <s v="Állami ösztöndíjas"/>
    <s v="2017/18/1"/>
    <s v="Nappali"/>
    <n v="1"/>
    <n v="1"/>
    <s v="2021/22/2"/>
    <n v="10"/>
    <s v="74726842899"/>
    <n v="12"/>
    <x v="3"/>
    <m/>
    <m/>
    <m/>
    <m/>
    <s v="Képzésváltás intézményen belül"/>
    <d v="2019-09-14T00:00:00"/>
    <m/>
    <s v="BDPK-SEK"/>
    <s v="Eke Norbertné"/>
    <d v="2017-07-27T00:00:00"/>
    <d v="2024-07-15T00:00:00"/>
    <n v="500000"/>
    <m/>
    <n v="3"/>
    <s v="Férfi"/>
    <n v="500000"/>
    <s v="midzso21@gmail.com"/>
    <s v="Pete Erzsébet"/>
    <n v="4"/>
    <s v="Aktív"/>
    <n v="4"/>
    <n v="8"/>
    <s v="magyar"/>
    <m/>
  </r>
  <r>
    <s v="Vécsey Balázs"/>
    <s v="EFI6FP"/>
    <s v="Aktív"/>
    <s v="osztatlan tanári [12 félév [földrajztanár; testnevelő tanár]]"/>
    <x v="8"/>
    <s v="osztatlan tanárképzés"/>
    <s v="TKK-OTAK-NOHU"/>
    <s v="Szekszárd"/>
    <s v="Tolna"/>
    <s v="Vécsey Balázs"/>
    <s v="Magyarország"/>
    <d v="1999-01-27T00:00:00"/>
    <s v="T138221/FI80798"/>
    <x v="5"/>
    <s v="Állami ösztöndíjas"/>
    <s v="2018/19/1"/>
    <s v="Nappali"/>
    <n v="7"/>
    <n v="1"/>
    <s v="2021/22/2"/>
    <n v="10"/>
    <s v="72032811652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Férfi"/>
    <n v="400000"/>
    <s v="vbazsi33@gmail.com"/>
    <s v="Kis-Tóth Ilona"/>
    <n v="8"/>
    <s v="Aktív"/>
    <n v="8"/>
    <n v="8"/>
    <s v="magyar"/>
    <m/>
  </r>
  <r>
    <s v="Juranits Richárd"/>
    <s v="EECQO6"/>
    <s v="Aktív"/>
    <s v="osztatlan tanári [12 félév [földrajztanár; testnevelő tanár]]"/>
    <x v="8"/>
    <s v="osztatlan tanárképzés"/>
    <s v="TKK-OTAK-NOHU"/>
    <s v="Sárvár"/>
    <s v="Vas"/>
    <s v="Juranits Richárd"/>
    <s v="Magyarország"/>
    <d v="2001-02-13T00:00:00"/>
    <s v="T148790/FI80798"/>
    <x v="5"/>
    <s v="Állami ösztöndíjas"/>
    <s v="2019/20/1"/>
    <s v="Nappali"/>
    <n v="9"/>
    <n v="1"/>
    <s v="2021/22/2"/>
    <n v="10"/>
    <s v="72692422895"/>
    <n v="12"/>
    <x v="3"/>
    <m/>
    <m/>
    <m/>
    <m/>
    <s v="Képzésváltás intézményen belül"/>
    <d v="2019-09-14T00:00:00"/>
    <m/>
    <s v="BDPK-SEK"/>
    <s v="Eke Norbertné"/>
    <d v="2019-07-24T00:00:00"/>
    <d v="2025-07-15T00:00:00"/>
    <n v="500000"/>
    <m/>
    <n v="5"/>
    <s v="Férfi"/>
    <n v="500000"/>
    <s v="jricsi2001@gmail.com"/>
    <s v="Németh Beatrix Éva"/>
    <n v="6"/>
    <s v="Aktív"/>
    <n v="6"/>
    <n v="6"/>
    <s v="magyar"/>
    <m/>
  </r>
  <r>
    <s v="Varga Máté"/>
    <s v="ZWQN5A"/>
    <s v="Aktív"/>
    <s v="osztatlan tanári [12 félév [földrajztanár; testnevelő tanár]]"/>
    <x v="8"/>
    <s v="osztatlan tanárképzés"/>
    <s v="TKK-OTAK-NOHU"/>
    <s v="Sopron"/>
    <s v="Győr-Moson-Sopron"/>
    <s v="Varga Máté"/>
    <s v="Magyarország"/>
    <d v="2000-11-17T00:00:00"/>
    <s v="T147756/FI80798"/>
    <x v="5"/>
    <s v="Állami ösztöndíjas"/>
    <s v="2019/20/1"/>
    <s v="Nappali"/>
    <n v="9"/>
    <n v="1"/>
    <s v="2021/22/2"/>
    <n v="10"/>
    <s v="77504601852"/>
    <n v="12"/>
    <x v="3"/>
    <m/>
    <m/>
    <m/>
    <m/>
    <s v="Képzésváltás intézményen belül"/>
    <d v="2019-09-14T00:00:00"/>
    <m/>
    <s v="BDPK-SEK"/>
    <s v="Eke Norbertné"/>
    <d v="2019-07-24T00:00:00"/>
    <d v="2025-06-30T00:00:00"/>
    <n v="500000"/>
    <m/>
    <n v="5"/>
    <s v="Férfi"/>
    <n v="500000"/>
    <s v="varga.mate07@gmail.com"/>
    <s v="Horváth Andrea"/>
    <n v="6"/>
    <s v="Aktív"/>
    <n v="6"/>
    <n v="6"/>
    <s v="magyar"/>
    <m/>
  </r>
  <r>
    <s v="Putz Gergő"/>
    <s v="O2AMLE"/>
    <s v="Aktív"/>
    <s v="osztatlan tanári [12 félév [földrajztanár; testnevelő tanár]]"/>
    <x v="8"/>
    <s v="osztatlan tanárképzés"/>
    <s v="TKK-OTAK-NOHU"/>
    <s v="Szombathely"/>
    <s v="Vas"/>
    <s v="Putz Gergő"/>
    <s v="Magyarország"/>
    <d v="2000-07-21T00:00:00"/>
    <s v="T153481/FI80798"/>
    <x v="5"/>
    <s v="Állami ösztöndíjas"/>
    <s v="2019/20/1"/>
    <s v="Nappali"/>
    <n v="9"/>
    <n v="1"/>
    <s v="2021/22/2"/>
    <n v="10"/>
    <s v="76597006298"/>
    <n v="12"/>
    <x v="3"/>
    <m/>
    <m/>
    <m/>
    <m/>
    <s v="Képzésváltás intézményen belül"/>
    <d v="2019-09-14T00:00:00"/>
    <m/>
    <s v="BDPK-SEK"/>
    <s v="Eke Norbertné"/>
    <d v="2019-07-24T00:00:00"/>
    <d v="2025-07-15T00:00:00"/>
    <n v="500000"/>
    <m/>
    <n v="5"/>
    <s v="Férfi"/>
    <n v="500000"/>
    <s v="putzgeri123@gmail.com"/>
    <s v="Kovács Zsuzsanna"/>
    <n v="6"/>
    <s v="Aktív"/>
    <n v="6"/>
    <n v="6"/>
    <s v="magyar"/>
    <m/>
  </r>
  <r>
    <s v="Novák Róbert"/>
    <s v="KDV650"/>
    <s v="Aktív"/>
    <s v="osztatlan tanári [12 félév [földrajztanár; történelemtanár és állampolgári ismeretek tanára]]"/>
    <x v="9"/>
    <s v="osztatlan tanárképzés"/>
    <s v="TKK-OTAK-NOHU"/>
    <s v="Szombathely"/>
    <s v="Vas"/>
    <s v="Novák Róbert"/>
    <s v="Magyarország"/>
    <d v="1991-01-29T00:00:00"/>
    <s v="T130082/FI80798"/>
    <x v="5"/>
    <s v="Önköltséges"/>
    <s v="2017/18/1"/>
    <s v="Nappali"/>
    <n v="1"/>
    <n v="1"/>
    <s v="2020/21/1"/>
    <n v="10"/>
    <s v="76846244212"/>
    <n v="12"/>
    <x v="3"/>
    <m/>
    <m/>
    <m/>
    <m/>
    <s v="Képzésváltás intézményen belül"/>
    <d v="2019-09-14T00:00:00"/>
    <m/>
    <s v="BDPK-SEK"/>
    <s v="Eke Norbertné"/>
    <d v="2017-07-27T00:00:00"/>
    <d v="2023-06-30T00:00:00"/>
    <n v="500000"/>
    <m/>
    <n v="3"/>
    <s v="Férfi"/>
    <n v="500000"/>
    <s v="novak.robert00@gmail.com"/>
    <s v="Németh Bernadett"/>
    <n v="6"/>
    <s v="Aktív"/>
    <n v="3"/>
    <n v="10"/>
    <s v="magyar"/>
    <n v="400000"/>
  </r>
  <r>
    <s v="Hajgató Kristóf"/>
    <s v="CH5CHY"/>
    <s v="Aktív"/>
    <s v="osztatlan tanári [12 félév [földrajztanár; történelemtanár és állampolgári ismeretek tanára]]"/>
    <x v="9"/>
    <s v="osztatlan tanárképzés"/>
    <s v="TKK-OTAK-NOHU"/>
    <s v="Zalaegerszeg"/>
    <s v="Zala"/>
    <s v="Hajgató Kristóf"/>
    <s v="Magyarország"/>
    <d v="1995-02-02T00:00:00"/>
    <s v="T125959/FI80798"/>
    <x v="5"/>
    <s v="Állami ösztöndíjas"/>
    <s v="2017/18/1"/>
    <s v="Nappali"/>
    <n v="5"/>
    <n v="1"/>
    <s v="2021/22/2"/>
    <n v="10"/>
    <s v="75273762422"/>
    <n v="12"/>
    <x v="3"/>
    <m/>
    <m/>
    <m/>
    <m/>
    <s v="Képzésváltás intézményen belül"/>
    <d v="2019-09-14T00:00:00"/>
    <m/>
    <s v="BDPK-SEK"/>
    <s v="Eke Norbertné"/>
    <d v="2017-07-27T00:00:00"/>
    <d v="2023-06-30T00:00:00"/>
    <n v="500000"/>
    <m/>
    <n v="5"/>
    <s v="Férfi"/>
    <n v="500000"/>
    <s v="hajgatokristof95@freemail.hu"/>
    <s v="Igazi Andrea"/>
    <n v="6"/>
    <s v="Aktív"/>
    <n v="6"/>
    <n v="10"/>
    <s v="magyar"/>
    <m/>
  </r>
  <r>
    <s v="Brunner Balázs"/>
    <s v="X8TANY"/>
    <s v="Aktív"/>
    <s v="osztatlan tanári [12 félév [földrajztanár; történelemtanár és állampolgári ismeretek tanára]]"/>
    <x v="9"/>
    <s v="osztatlan tanárképzés"/>
    <s v="TKK-OTAK-NOHU"/>
    <s v="Székesfehérvár"/>
    <s v="Fejér"/>
    <s v="Brunner Balázs"/>
    <s v="Magyarország"/>
    <d v="2000-05-09T00:00:00"/>
    <s v="T136980/FI80798"/>
    <x v="5"/>
    <s v="Állami ösztöndíjas"/>
    <s v="2018/19/1"/>
    <s v="Nappali"/>
    <n v="7"/>
    <n v="1"/>
    <s v="2021/22/2"/>
    <n v="10"/>
    <s v="74447522472"/>
    <n v="12"/>
    <x v="3"/>
    <m/>
    <m/>
    <m/>
    <m/>
    <s v="Képzésváltás intézményen belül"/>
    <d v="2020-09-01T00:00:00"/>
    <m/>
    <s v="BDPK-SEK"/>
    <s v="Eke Norbertné"/>
    <d v="2018-07-25T00:00:00"/>
    <d v="2026-07-15T00:00:00"/>
    <n v="500000"/>
    <m/>
    <n v="3"/>
    <s v="Férfi"/>
    <n v="500000"/>
    <s v="bundyy20@gmail.com"/>
    <s v="Brunner Marianna"/>
    <n v="4"/>
    <s v="Aktív"/>
    <n v="4"/>
    <n v="8"/>
    <s v="magyar"/>
    <m/>
  </r>
  <r>
    <s v="Szabó Bálint"/>
    <s v="TV3YJD"/>
    <s v="Aktív"/>
    <s v="osztatlan tanári [12 félév [földrajztanár; történelemtanár és állampolgári ismeretek tanára]]"/>
    <x v="9"/>
    <s v="osztatlan tanárképzés"/>
    <s v="TKK-OTAK-NOHU"/>
    <s v="Kapuvár"/>
    <s v="Győr-Moson-Sopron"/>
    <s v="Szabó Bálint"/>
    <s v="Magyarország"/>
    <d v="1999-12-26T00:00:00"/>
    <s v="T137956/FI80798"/>
    <x v="5"/>
    <s v="Állami ösztöndíjas"/>
    <s v="2018/19/1"/>
    <s v="Nappali"/>
    <n v="7"/>
    <n v="1"/>
    <s v="2021/22/2"/>
    <n v="10"/>
    <s v="72480512896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Férfi"/>
    <n v="400000"/>
    <s v="balint.sz1999@gmail.com"/>
    <s v="Varga Anasztázia"/>
    <n v="8"/>
    <s v="Aktív"/>
    <n v="8"/>
    <n v="8"/>
    <s v="magyar"/>
    <m/>
  </r>
  <r>
    <s v="Gulyás Bálint"/>
    <s v="V9W5C5"/>
    <s v="Aktív"/>
    <s v="osztatlan tanári [12 félév [földrajztanár; történelemtanár és állampolgári ismeretek tanára]]"/>
    <x v="9"/>
    <s v="osztatlan tanárképzés"/>
    <s v="TKK-OTAK-NOHU"/>
    <s v="Kapuvár"/>
    <s v="Győr-Moson-Sopron"/>
    <s v="Gulyás Bálint"/>
    <s v="Magyarország"/>
    <d v="1997-03-17T00:00:00"/>
    <s v="T137621/FI80798"/>
    <x v="5"/>
    <s v="Állami ösztöndíjas"/>
    <s v="2018/19/1"/>
    <s v="Nappali"/>
    <n v="6"/>
    <n v="1"/>
    <s v="2021/22/2"/>
    <n v="10"/>
    <s v="73613683084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Férfi"/>
    <n v="400000"/>
    <s v="gulyasbalint21@gmail.com"/>
    <s v="Szücs Andrea"/>
    <n v="8"/>
    <s v="Aktív"/>
    <n v="8"/>
    <n v="8"/>
    <s v="magyar"/>
    <m/>
  </r>
  <r>
    <s v="Kovács Regina"/>
    <s v="GXR0U4"/>
    <s v="Aktív"/>
    <s v="osztatlan tanári [12 félév [földrajztanár; történelemtanár és állampolgári ismeretek tanára]]"/>
    <x v="9"/>
    <s v="osztatlan tanárképzés"/>
    <s v="TKK-OTAK-NOHU"/>
    <s v="Kaposvár"/>
    <s v="Somogy"/>
    <s v="Kovács Regina"/>
    <s v="Magyarország"/>
    <d v="2000-07-30T00:00:00"/>
    <s v="T149741/FI80798"/>
    <x v="5"/>
    <s v="Állami ösztöndíjas"/>
    <s v="2019/20/1"/>
    <s v="Nappali"/>
    <n v="9"/>
    <n v="1"/>
    <s v="2021/22/2"/>
    <n v="10"/>
    <s v="73168439716"/>
    <n v="12"/>
    <x v="3"/>
    <m/>
    <m/>
    <m/>
    <m/>
    <s v="Képzésváltás intézményen belül"/>
    <d v="2019-09-14T00:00:00"/>
    <m/>
    <s v="BDPK-SEK"/>
    <s v="Eke Norbertné"/>
    <d v="2019-07-24T00:00:00"/>
    <d v="2025-06-30T00:00:00"/>
    <n v="500000"/>
    <m/>
    <n v="5"/>
    <s v="Nő"/>
    <n v="500000"/>
    <s v="regi0730@gmail.com"/>
    <s v="Vida Anita"/>
    <n v="6"/>
    <s v="Aktív"/>
    <n v="6"/>
    <n v="6"/>
    <s v="magyar"/>
    <m/>
  </r>
  <r>
    <s v="Horváth Martin"/>
    <s v="ELW17Z"/>
    <s v="Aktív"/>
    <s v="osztatlan tanári [12 félév [földrajztanár; történelemtanár és állampolgári ismeretek tanára]]"/>
    <x v="9"/>
    <s v="osztatlan tanárképzés"/>
    <s v="TKK-OTAK-NOHU"/>
    <s v="Mosonmagyaróvár"/>
    <s v="Győr-Moson-Sopron"/>
    <s v="Horváth Martin"/>
    <s v="Magyarország"/>
    <d v="1997-12-02T00:00:00"/>
    <s v="T152406/FI80798"/>
    <x v="5"/>
    <s v="Állami ösztöndíjas"/>
    <s v="2019/20/1"/>
    <s v="Nappali"/>
    <n v="4"/>
    <n v="1"/>
    <s v="2021/22/2"/>
    <n v="10"/>
    <s v="75637816143"/>
    <n v="12"/>
    <x v="3"/>
    <m/>
    <m/>
    <m/>
    <m/>
    <s v="Képzésváltás intézményen belül"/>
    <d v="2019-09-14T00:00:00"/>
    <m/>
    <s v="BDPK-SEK"/>
    <s v="Eke Norbertné"/>
    <d v="2019-07-24T00:00:00"/>
    <d v="2025-07-15T00:00:00"/>
    <n v="500000"/>
    <m/>
    <n v="5"/>
    <s v="Férfi"/>
    <n v="500000"/>
    <s v="nova97palermo@gmail.com"/>
    <s v="Orbán Viktória"/>
    <n v="6"/>
    <s v="Aktív"/>
    <n v="6"/>
    <n v="6"/>
    <s v="magyar"/>
    <m/>
  </r>
  <r>
    <s v="Ujvári Lili"/>
    <s v="SLDKVP"/>
    <s v="Aktív"/>
    <s v="osztatlan tanári [12 félév [földrajztanár; történelemtanár és állampolgári ismeretek tanára]]"/>
    <x v="9"/>
    <s v="osztatlan tanárképzés"/>
    <s v="TKK-OTAK-NOHU"/>
    <s v="Tapolca"/>
    <s v="Veszprém"/>
    <s v="Ujvári Lili"/>
    <s v="Magyarország"/>
    <d v="1999-06-22T00:00:00"/>
    <s v="T148372/FI80798"/>
    <x v="5"/>
    <s v="Állami ösztöndíjas"/>
    <s v="2019/20/1"/>
    <s v="Nappali"/>
    <n v="9"/>
    <n v="1"/>
    <s v="2021/22/2"/>
    <n v="10"/>
    <s v="74615835928"/>
    <n v="12"/>
    <x v="3"/>
    <m/>
    <m/>
    <m/>
    <m/>
    <s v="Képzésváltás intézményen belül"/>
    <d v="2019-09-14T00:00:00"/>
    <m/>
    <s v="BDPK-SEK"/>
    <s v="Eke Norbertné"/>
    <d v="2019-07-24T00:00:00"/>
    <d v="2025-06-30T00:00:00"/>
    <n v="500000"/>
    <m/>
    <n v="5"/>
    <s v="Nő"/>
    <n v="500000"/>
    <s v="ulilien99@gmail.com"/>
    <s v="Szabó Mónika Erzsébet"/>
    <n v="6"/>
    <s v="Aktív"/>
    <n v="6"/>
    <n v="6"/>
    <s v="magyar"/>
    <m/>
  </r>
  <r>
    <s v="Takács Dániel"/>
    <s v="E91RV5"/>
    <s v="Aktív"/>
    <s v="osztatlan tanári [12 félév [földrajztanár; történelemtanár és állampolgári ismeretek tanára]]"/>
    <x v="9"/>
    <s v="osztatlan tanárképzés"/>
    <s v="TKK-OTAK-NOHU"/>
    <s v="Sárvár"/>
    <s v="Vas"/>
    <s v="Takács Dániel"/>
    <s v="Magyarország"/>
    <d v="2000-09-15T00:00:00"/>
    <s v="T153311/FI80798"/>
    <x v="5"/>
    <s v="Állami ösztöndíjas"/>
    <s v="2019/20/1"/>
    <s v="Nappali"/>
    <n v="9"/>
    <n v="1"/>
    <s v="2021/22/2"/>
    <n v="10"/>
    <s v="79070772730"/>
    <n v="12"/>
    <x v="3"/>
    <m/>
    <m/>
    <m/>
    <m/>
    <s v="Képzésváltás intézményen belül"/>
    <d v="2019-09-14T00:00:00"/>
    <m/>
    <s v="BDPK-SEK"/>
    <s v="Eke Norbertné"/>
    <d v="2019-07-24T00:00:00"/>
    <d v="2025-07-15T00:00:00"/>
    <n v="500000"/>
    <m/>
    <n v="5"/>
    <s v="Férfi"/>
    <n v="500000"/>
    <s v="danieltakacs09@gmail.com"/>
    <s v="Szabó Ibolya"/>
    <n v="6"/>
    <s v="Aktív"/>
    <n v="6"/>
    <n v="6"/>
    <s v="magyar"/>
    <m/>
  </r>
  <r>
    <s v="Makrai Csaba"/>
    <s v="ORGD1P"/>
    <s v="Aktív"/>
    <s v="osztatlan tanári [12 félév [földrajztanár; történelemtanár és állampolgári ismeretek tanára]]"/>
    <x v="9"/>
    <s v="osztatlan tanárképzés"/>
    <s v="TKK-OTAK-NOHU"/>
    <s v="Győr"/>
    <s v="Győr-Moson-Sopron"/>
    <s v="Makrai Csaba"/>
    <s v="Magyarország"/>
    <d v="2001-06-15T00:00:00"/>
    <s v="T162749/FI80798"/>
    <x v="5"/>
    <s v="Állami ösztöndíjas"/>
    <s v="2020/21/1"/>
    <s v="Nappali"/>
    <n v="15"/>
    <n v="1"/>
    <s v="2021/22/2"/>
    <n v="10"/>
    <s v="71629107574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Férfi"/>
    <n v="500000"/>
    <s v="m.cs0615@gmail.com"/>
    <s v="Stanyó Anita"/>
    <n v="4"/>
    <s v="Aktív"/>
    <n v="4"/>
    <n v="4"/>
    <s v="magyar"/>
    <m/>
  </r>
  <r>
    <s v="Hetyei Péter"/>
    <s v="PDA1N9"/>
    <s v="Aktív"/>
    <s v="osztatlan tanári [12 félév [földrajztanár; történelemtanár és állampolgári ismeretek tanára]]"/>
    <x v="9"/>
    <s v="osztatlan tanárképzés"/>
    <s v="TKK-OTAK-NOHU"/>
    <s v="Győr"/>
    <s v="Győr-Moson-Sopron"/>
    <s v="Hetyei Péter"/>
    <s v="Magyarország"/>
    <d v="2001-11-18T00:00:00"/>
    <s v="T163628/FI80798"/>
    <x v="5"/>
    <s v="Állami ösztöndíjas"/>
    <s v="2020/21/1"/>
    <s v="Nappali"/>
    <n v="15"/>
    <n v="1"/>
    <s v="2021/22/2"/>
    <n v="10"/>
    <s v="71626257827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Férfi"/>
    <n v="500000"/>
    <s v="hungariapistike@gmail.com"/>
    <s v="Lugosi Johanna"/>
    <n v="4"/>
    <s v="Aktív"/>
    <n v="4"/>
    <n v="4"/>
    <s v="magyar"/>
    <m/>
  </r>
  <r>
    <s v="Funtek Valter Tamás"/>
    <s v="UB9S47"/>
    <s v="Aktív"/>
    <s v="osztatlan tanári [12 félév [földrajztanár; történelemtanár és állampolgári ismeretek tanára]]"/>
    <x v="9"/>
    <s v="osztatlan tanárképzés"/>
    <s v="TKK-OTAK-NOHU"/>
    <s v="Győr"/>
    <s v="Győr-Moson-Sopron"/>
    <s v="Funtek Valter Tamás"/>
    <s v="Magyarország"/>
    <d v="2001-09-11T00:00:00"/>
    <s v="T165863/FI80798"/>
    <x v="5"/>
    <s v="Állami ösztöndíjas"/>
    <s v="2020/21/1"/>
    <s v="Nappali"/>
    <n v="11"/>
    <n v="1"/>
    <s v="2021/22/2"/>
    <n v="10"/>
    <s v="71637013721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Férfi"/>
    <n v="500000"/>
    <s v="walter.funtek@gmail.com"/>
    <s v="Babella Katalin"/>
    <n v="4"/>
    <s v="Aktív"/>
    <n v="4"/>
    <n v="4"/>
    <s v="magyar"/>
    <m/>
  </r>
  <r>
    <s v="Mór Máté"/>
    <s v="TFXDM3"/>
    <s v="Aktív"/>
    <s v="osztatlan tanári [12 félév [földrajztanár; történelemtanár és állampolgári ismeretek tanára]]"/>
    <x v="9"/>
    <s v="osztatlan tanárképzés"/>
    <s v="TKK-OTAK-NOHU"/>
    <s v="Zalaegerszeg"/>
    <s v="Zala"/>
    <s v="Mór Máté"/>
    <s v="Magyarország"/>
    <d v="2001-10-21T00:00:00"/>
    <s v="T162152/FI80798"/>
    <x v="5"/>
    <s v="Állami ösztöndíjas"/>
    <s v="2020/21/1"/>
    <s v="Nappali"/>
    <n v="11"/>
    <n v="1"/>
    <s v="2021/22/2"/>
    <n v="10"/>
    <s v="72025030770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Férfi"/>
    <n v="500000"/>
    <s v="mormate1@gmail.com"/>
    <s v="Varga Ibolya Erzsébet"/>
    <n v="4"/>
    <s v="Aktív"/>
    <n v="4"/>
    <n v="4"/>
    <s v="magyar"/>
    <m/>
  </r>
  <r>
    <s v="Sélley Regina Anna"/>
    <s v="DCZG2S"/>
    <s v="Aktív"/>
    <s v="osztatlan tanári [12 félév [földrajztanár; történelemtanár és állampolgári ismeretek tanára]]"/>
    <x v="9"/>
    <s v="osztatlan tanárképzés"/>
    <s v="TKK-OTAK-NOHU"/>
    <s v="Győr"/>
    <s v="Győr-Moson-Sopron"/>
    <s v="Sélley Regina Anna"/>
    <s v="Magyarország"/>
    <d v="2002-12-12T00:00:00"/>
    <s v="T184229/FI80798"/>
    <x v="5"/>
    <s v="Állami ösztöndíjas"/>
    <s v="2021/22/1"/>
    <s v="Nappali"/>
    <n v="13"/>
    <n v="1"/>
    <s v="2021/22/2"/>
    <n v="10"/>
    <s v="72148892369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Nő"/>
    <n v="500000"/>
    <s v="reginaanna.selley@gmail.com"/>
    <s v="Csordás Eszter"/>
    <n v="2"/>
    <s v="Aktív"/>
    <n v="2"/>
    <n v="2"/>
    <s v="magyar"/>
    <m/>
  </r>
  <r>
    <s v="Máriás Máté"/>
    <s v="X1GJ2H"/>
    <s v="Aktív"/>
    <s v="osztatlan tanári [12 félév [magyartanár; matematikatanár]]"/>
    <x v="7"/>
    <s v="osztatlan tanárképzés"/>
    <s v="TKK-OTAK-NOHU"/>
    <s v="Szombathely"/>
    <s v="Vas"/>
    <s v="Máriás Máté"/>
    <s v="Magyarország"/>
    <d v="2002-08-28T00:00:00"/>
    <s v="T190760/FI80798"/>
    <x v="5"/>
    <s v="Állami ösztöndíjas"/>
    <s v="2021/22/1"/>
    <s v="Nappali"/>
    <n v="13"/>
    <n v="1"/>
    <s v="2021/22/2"/>
    <n v="10"/>
    <s v="72252954237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Férfi"/>
    <n v="500000"/>
    <s v="marias.mate.cos@gmail.com"/>
    <s v="Vincze Anikó"/>
    <n v="2"/>
    <s v="Aktív"/>
    <n v="2"/>
    <n v="2"/>
    <s v="magyar"/>
    <m/>
  </r>
  <r>
    <s v="Németh Vanessza"/>
    <s v="QIDJDV"/>
    <s v="Aktív"/>
    <s v="osztatlan tanári [12 félév [magyartanár; német nyelv és kultúra tanára]]"/>
    <x v="4"/>
    <s v="osztatlan tanárképzés"/>
    <s v="TKK-OTAK-NOHU"/>
    <s v="Szombathely"/>
    <s v="Vas"/>
    <s v="Németh Vanessza"/>
    <s v="Magyarország"/>
    <d v="1999-08-31T00:00:00"/>
    <s v="T157312/FI80798"/>
    <x v="5"/>
    <s v="Állami ösztöndíjas"/>
    <s v="2019/20/1"/>
    <s v="Nappali"/>
    <n v="9"/>
    <n v="1"/>
    <s v="2021/22/2"/>
    <n v="10"/>
    <s v="71560519175"/>
    <n v="12"/>
    <x v="3"/>
    <m/>
    <m/>
    <m/>
    <m/>
    <s v="Képzésváltás intézményen belül"/>
    <d v="2021-09-01T00:00:00"/>
    <m/>
    <s v="BDPK-SEK"/>
    <s v="Eke Norbertné"/>
    <d v="2019-07-24T00:00:00"/>
    <d v="2027-07-15T00:00:00"/>
    <n v="500000"/>
    <m/>
    <n v="1"/>
    <s v="Nő"/>
    <n v="500000"/>
    <s v="n.vanessza08@gmail.com"/>
    <s v="Németh Tünde"/>
    <n v="2"/>
    <s v="Aktív"/>
    <n v="2"/>
    <n v="6"/>
    <s v="magyar"/>
    <m/>
  </r>
  <r>
    <s v="Szabó Dorina"/>
    <s v="SQTSEU"/>
    <s v="Aktív"/>
    <s v="osztatlan tanári [12 félév [magyartanár; történelemtanár és állampolgári ismeretek tanára]]"/>
    <x v="9"/>
    <s v="osztatlan tanárképzés"/>
    <s v="TKK-OTAK-NOHU"/>
    <s v="Zalaegerszeg"/>
    <s v="Zala"/>
    <s v="Szabó Dorina"/>
    <s v="Magyarország"/>
    <d v="1998-10-11T00:00:00"/>
    <s v="T125171/FI80798"/>
    <x v="5"/>
    <s v="Állami ösztöndíjas"/>
    <s v="2017/18/1"/>
    <s v="Nappali"/>
    <n v="5"/>
    <n v="1"/>
    <s v="2021/22/2"/>
    <n v="10"/>
    <s v="74537539049"/>
    <n v="12"/>
    <x v="3"/>
    <m/>
    <m/>
    <m/>
    <m/>
    <s v="Képzésváltás intézményen belül"/>
    <d v="2019-09-14T00:00:00"/>
    <m/>
    <s v="BDPK-SEK"/>
    <s v="Eke Norbertné"/>
    <d v="2017-07-27T00:00:00"/>
    <d v="2023-07-15T00:00:00"/>
    <n v="500000"/>
    <m/>
    <n v="5"/>
    <s v="Nő"/>
    <n v="500000"/>
    <s v="felvi.szabodorina1998@gmail.com"/>
    <s v="Torma Mária"/>
    <n v="6"/>
    <s v="Aktív"/>
    <n v="6"/>
    <n v="10"/>
    <s v="magyar"/>
    <m/>
  </r>
  <r>
    <s v="Hengszter Norbert Márk"/>
    <s v="QBYYPR"/>
    <s v="Aktív"/>
    <s v="osztatlan tanári [12 félév [magyartanár; történelemtanár és állampolgári ismeretek tanára]]"/>
    <x v="9"/>
    <s v="osztatlan tanárképzés"/>
    <s v="TKK-OTAK-NOHU"/>
    <s v="Győr"/>
    <s v="Győr-Moson-Sopron"/>
    <s v="Hengszter Norbert Márk"/>
    <s v="Magyarország"/>
    <d v="1997-06-08T00:00:00"/>
    <s v="T123573/FI80798"/>
    <x v="5"/>
    <s v="Állami ösztöndíjas"/>
    <s v="2017/18/1"/>
    <s v="Nappali"/>
    <n v="5"/>
    <n v="1"/>
    <s v="2021/22/2"/>
    <n v="10"/>
    <s v="77621935746"/>
    <n v="12"/>
    <x v="3"/>
    <m/>
    <m/>
    <m/>
    <m/>
    <s v="Képzésváltás intézményen belül"/>
    <d v="2019-09-14T00:00:00"/>
    <m/>
    <s v="BDPK-SEK"/>
    <s v="Eke Norbertné"/>
    <d v="2017-07-27T00:00:00"/>
    <d v="2023-07-15T00:00:00"/>
    <n v="500000"/>
    <m/>
    <n v="5"/>
    <s v="Férfi"/>
    <n v="500000"/>
    <s v="hengszter.n@vipmail.hu"/>
    <s v="Széles Ildikó"/>
    <n v="6"/>
    <s v="Aktív"/>
    <n v="6"/>
    <n v="10"/>
    <s v="magyar"/>
    <m/>
  </r>
  <r>
    <s v="Varga Mercédesz Kata"/>
    <s v="QF28C4"/>
    <s v="Aktív"/>
    <s v="osztatlan tanári [12 félév [magyartanár; történelemtanár és állampolgári ismeretek tanára]]"/>
    <x v="9"/>
    <s v="osztatlan tanárképzés"/>
    <s v="TKK-OTAK-NOHU"/>
    <s v="Körmend"/>
    <s v="Vas"/>
    <s v="Varga Mercédesz Kata"/>
    <s v="Magyarország"/>
    <d v="1998-09-07T00:00:00"/>
    <s v="T140379/FI80798"/>
    <x v="5"/>
    <s v="Állami ösztöndíjas"/>
    <s v="2018/19/1"/>
    <s v="Nappali"/>
    <n v="7"/>
    <n v="1"/>
    <s v="2021/22/2"/>
    <n v="10"/>
    <s v="76361019819"/>
    <n v="12"/>
    <x v="3"/>
    <m/>
    <m/>
    <m/>
    <m/>
    <s v="Képzésváltás intézményen belül"/>
    <d v="2019-09-14T00:00:00"/>
    <m/>
    <s v="BDPK-SEK"/>
    <s v="Eke Norbertné"/>
    <d v="2018-08-24T00:00:00"/>
    <d v="2024-06-30T00:00:00"/>
    <n v="500000"/>
    <m/>
    <n v="5"/>
    <s v="Nő"/>
    <n v="500000"/>
    <s v="vargakatamercedesz98@gmail.com"/>
    <s v="Pölcz Anita Katalin"/>
    <n v="6"/>
    <s v="Aktív"/>
    <n v="6"/>
    <n v="8"/>
    <s v="magyar"/>
    <m/>
  </r>
  <r>
    <s v="Szabó Miklós Dániel"/>
    <s v="GW3Z9P"/>
    <s v="Aktív"/>
    <s v="osztatlan tanári [12 félév [magyartanár; történelemtanár és állampolgári ismeretek tanára]]"/>
    <x v="9"/>
    <s v="osztatlan tanárképzés"/>
    <s v="TKK-OTAK-NOHU"/>
    <s v="Nagyatád"/>
    <s v="Somogy"/>
    <s v="Szabó Miklós Dániel"/>
    <s v="Magyarország"/>
    <d v="1999-04-02T00:00:00"/>
    <s v="T144241/FI80798"/>
    <x v="5"/>
    <s v="Állami ösztöndíjas"/>
    <s v="2018/19/1"/>
    <s v="Nappali"/>
    <n v="5"/>
    <n v="1"/>
    <s v="2021/22/2"/>
    <n v="10"/>
    <s v="76023436139"/>
    <n v="12"/>
    <x v="3"/>
    <m/>
    <m/>
    <m/>
    <m/>
    <s v="Képzésváltás intézményen belül"/>
    <d v="2019-09-14T00:00:00"/>
    <m/>
    <s v="BDPK-SEK"/>
    <s v="Eke Norbertné"/>
    <d v="2018-07-25T00:00:00"/>
    <d v="2024-07-15T00:00:00"/>
    <n v="500000"/>
    <m/>
    <n v="5"/>
    <s v="Férfi"/>
    <n v="500000"/>
    <s v="smdsu02@gmail.com"/>
    <s v="Andik Anikó"/>
    <n v="6"/>
    <s v="Aktív"/>
    <n v="6"/>
    <n v="8"/>
    <s v="magyar"/>
    <m/>
  </r>
  <r>
    <s v="Sárközi Réka"/>
    <s v="AQS09R"/>
    <s v="Aktív"/>
    <s v="osztatlan tanári [12 félév [magyartanár; történelemtanár és állampolgári ismeretek tanára]]"/>
    <x v="9"/>
    <s v="osztatlan tanárképzés"/>
    <s v="TKK-OTAK-NOHU"/>
    <s v="Sopron"/>
    <s v="Győr-Moson-Sopron"/>
    <s v="Sárközi Réka"/>
    <s v="Magyarország"/>
    <d v="1999-06-16T00:00:00"/>
    <s v="T135618/FI80798"/>
    <x v="5"/>
    <s v="Állami ösztöndíjas"/>
    <s v="2018/19/1"/>
    <s v="Nappali"/>
    <n v="7"/>
    <n v="1"/>
    <s v="2021/22/2"/>
    <n v="10"/>
    <s v="77773625888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Nő"/>
    <n v="400000"/>
    <s v="reka990616@gmail.com"/>
    <s v="Fábiánkovits Ágnes"/>
    <n v="8"/>
    <s v="Aktív"/>
    <n v="8"/>
    <n v="8"/>
    <s v="magyar"/>
    <m/>
  </r>
  <r>
    <s v="Czita Virág"/>
    <s v="LR40B2"/>
    <s v="Aktív"/>
    <s v="osztatlan tanári [12 félév [magyartanár; történelemtanár és állampolgári ismeretek tanára]]"/>
    <x v="9"/>
    <s v="osztatlan tanárképzés"/>
    <s v="TKK-OTAK-NOHU"/>
    <s v="Komárom"/>
    <s v="Komárom-Esztergom"/>
    <s v="Czita Virág"/>
    <s v="Magyarország"/>
    <d v="1999-05-29T00:00:00"/>
    <s v="T139097/FI80798"/>
    <x v="5"/>
    <s v="Állami ösztöndíjas"/>
    <s v="2018/19/1"/>
    <s v="Nappali"/>
    <n v="7"/>
    <n v="1"/>
    <s v="2021/22/2"/>
    <n v="10"/>
    <s v="77319462357"/>
    <n v="12"/>
    <x v="3"/>
    <m/>
    <m/>
    <m/>
    <m/>
    <s v="Képzésváltás intézményen belül"/>
    <d v="2021-02-03T00:00:00"/>
    <m/>
    <s v="BDPK-SEK"/>
    <s v="Eke Norbertné"/>
    <d v="2018-07-25T00:00:00"/>
    <d v="2024-07-15T00:00:00"/>
    <m/>
    <m/>
    <n v="2"/>
    <s v="Nő"/>
    <n v="300000"/>
    <s v="viragcz99@gmail.com"/>
    <s v="Bibók Melinda"/>
    <n v="3"/>
    <s v="Aktív"/>
    <n v="3"/>
    <n v="8"/>
    <s v="magyar"/>
    <m/>
  </r>
  <r>
    <s v="Gaál Flóra"/>
    <s v="CD4BPQ"/>
    <s v="Aktív"/>
    <s v="osztatlan tanári [12 félév [magyartanár; történelemtanár és állampolgári ismeretek tanára]]"/>
    <x v="9"/>
    <s v="osztatlan tanárképzés"/>
    <s v="TKK-OTAK-NOHU"/>
    <s v="Szombathely"/>
    <s v="Vas"/>
    <s v="Gaál Flóra"/>
    <s v="Magyarország"/>
    <d v="1999-04-20T00:00:00"/>
    <s v="T135548/FI80798"/>
    <x v="5"/>
    <s v="Állami ösztöndíjas"/>
    <s v="2018/19/1"/>
    <s v="Nappali"/>
    <n v="7"/>
    <n v="1"/>
    <s v="2021/22/2"/>
    <n v="10"/>
    <s v="74431150080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Nő"/>
    <n v="400000"/>
    <s v="gaalflora@gmail.com"/>
    <s v="Kovács Beatrix"/>
    <n v="8"/>
    <s v="Aktív"/>
    <n v="8"/>
    <n v="8"/>
    <s v="magyar"/>
    <m/>
  </r>
  <r>
    <s v="Katavics Fruzsina"/>
    <s v="IWPV79"/>
    <s v="Aktív"/>
    <s v="osztatlan tanári [12 félév [magyartanár; történelemtanár és állampolgári ismeretek tanára]]"/>
    <x v="9"/>
    <s v="osztatlan tanárképzés"/>
    <s v="TKK-OTAK-NOHU"/>
    <s v="Szombathely"/>
    <s v="Vas"/>
    <s v="Katavics Fruzsina"/>
    <s v="Magyarország"/>
    <d v="1998-11-05T00:00:00"/>
    <s v="T138153/FI80798"/>
    <x v="5"/>
    <s v="Állami ösztöndíjas"/>
    <s v="2018/19/1"/>
    <s v="Nappali"/>
    <n v="5"/>
    <n v="1"/>
    <s v="2021/22/2"/>
    <n v="10"/>
    <s v="77278514055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Nő"/>
    <n v="400000"/>
    <s v="fruzsi9819@freemail.hu"/>
    <s v="Kovács Ildikó"/>
    <n v="8"/>
    <s v="Aktív"/>
    <n v="8"/>
    <n v="8"/>
    <s v="magyar"/>
    <m/>
  </r>
  <r>
    <s v="Pados Benjámin János"/>
    <s v="TQPM2F"/>
    <s v="Aktív"/>
    <s v="osztatlan tanári [12 félév [magyartanár; történelemtanár és állampolgári ismeretek tanára]]"/>
    <x v="9"/>
    <s v="osztatlan tanárképzés"/>
    <s v="TKK-OTAK-NOHU"/>
    <s v="Szombathely"/>
    <s v="Vas"/>
    <s v="Pados Benjámin János"/>
    <s v="Magyarország"/>
    <d v="2000-01-07T00:00:00"/>
    <s v="T143455/FI80798"/>
    <x v="5"/>
    <s v="Állami ösztöndíjas"/>
    <s v="2018/19/1"/>
    <s v="Nappali"/>
    <n v="7"/>
    <n v="1"/>
    <s v="2021/22/2"/>
    <n v="10"/>
    <s v="78954643559"/>
    <n v="12"/>
    <x v="3"/>
    <m/>
    <m/>
    <m/>
    <m/>
    <s v="Képzésváltás intézményen belül"/>
    <d v="2019-09-14T00:00:00"/>
    <m/>
    <s v="BDPK-SEK"/>
    <s v="Eke Norbertné"/>
    <d v="2018-07-25T00:00:00"/>
    <d v="2024-06-30T00:00:00"/>
    <n v="500000"/>
    <m/>
    <n v="5"/>
    <s v="Férfi"/>
    <n v="500000"/>
    <s v="pados.benike@gmail.com"/>
    <s v="Erdődi Mária"/>
    <n v="6"/>
    <s v="Aktív"/>
    <n v="6"/>
    <n v="8"/>
    <s v="magyar"/>
    <m/>
  </r>
  <r>
    <s v="Pálfi Áron"/>
    <s v="HHPY1F"/>
    <s v="Aktív"/>
    <s v="osztatlan tanári [12 félév [magyartanár; történelemtanár és állampolgári ismeretek tanára]]"/>
    <x v="9"/>
    <s v="osztatlan tanárképzés"/>
    <s v="TKK-OTAK-NOHU"/>
    <s v="Kapuvár"/>
    <s v="Győr-Moson-Sopron"/>
    <s v="Pálfi Áron"/>
    <s v="Magyarország"/>
    <d v="1998-10-19T00:00:00"/>
    <s v="T136068/FI80798"/>
    <x v="5"/>
    <s v="Állami ösztöndíjas"/>
    <s v="2018/19/1"/>
    <s v="Nappali"/>
    <n v="7"/>
    <n v="1"/>
    <s v="2021/22/2"/>
    <n v="10"/>
    <s v="79611693411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Férfi"/>
    <n v="400000"/>
    <s v="palfi2012@gmail.com"/>
    <s v="Horváth Márta"/>
    <n v="8"/>
    <s v="Aktív"/>
    <n v="8"/>
    <n v="8"/>
    <s v="magyar"/>
    <m/>
  </r>
  <r>
    <s v="Szimandel Eszter"/>
    <s v="CLW4SK"/>
    <s v="Aktív"/>
    <s v="osztatlan tanári [12 félév [magyartanár; történelemtanár és állampolgári ismeretek tanára]]"/>
    <x v="9"/>
    <s v="osztatlan tanárképzés"/>
    <s v="TKK-OTAK-NOHU"/>
    <s v="Szombathely"/>
    <s v="Vas"/>
    <s v="Szimandel Eszter"/>
    <s v="Magyarország"/>
    <d v="1999-05-25T00:00:00"/>
    <s v="T137718/FI80798"/>
    <x v="5"/>
    <s v="Állami ösztöndíjas"/>
    <s v="2018/19/1"/>
    <s v="Nappali"/>
    <n v="7"/>
    <n v="1"/>
    <s v="2021/22/2"/>
    <n v="10"/>
    <s v="75929256248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Nő"/>
    <n v="400000"/>
    <s v="szimandel.eszter@gmail.com"/>
    <s v="Frei Zsuzsanna"/>
    <n v="8"/>
    <s v="Aktív"/>
    <n v="8"/>
    <n v="8"/>
    <s v="magyar"/>
    <m/>
  </r>
  <r>
    <s v="Görög Alexandra"/>
    <s v="LBGN0X"/>
    <s v="Aktív"/>
    <s v="osztatlan tanári [12 félév [magyartanár; történelemtanár és állampolgári ismeretek tanára]]"/>
    <x v="9"/>
    <s v="osztatlan tanárképzés"/>
    <s v="TKK-OTAK-NOHU"/>
    <s v="Sopron"/>
    <s v="Győr-Moson-Sopron"/>
    <s v="Görög Alexandra"/>
    <s v="Magyarország"/>
    <d v="1999-05-30T00:00:00"/>
    <s v="T142662/FI80798"/>
    <x v="5"/>
    <s v="Állami ösztöndíjas"/>
    <s v="2018/19/1"/>
    <s v="Nappali"/>
    <n v="7"/>
    <n v="1"/>
    <s v="2021/22/2"/>
    <n v="10"/>
    <s v="79797166837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Nő"/>
    <n v="400000"/>
    <s v="gorog.alexaa@gmail.com"/>
    <s v="Goger Judit"/>
    <n v="8"/>
    <s v="Aktív"/>
    <n v="8"/>
    <n v="8"/>
    <s v="magyar"/>
    <m/>
  </r>
  <r>
    <s v="Szabó Kitti Viktória"/>
    <s v="Z0PUMW"/>
    <s v="Aktív"/>
    <s v="osztatlan tanári [12 félév [magyartanár; történelemtanár és állampolgári ismeretek tanára]]"/>
    <x v="9"/>
    <s v="osztatlan tanárképzés"/>
    <s v="TKK-OTAK-NOHU"/>
    <s v="Körmend"/>
    <s v="Vas"/>
    <s v="Szabó Kitti Viktória"/>
    <s v="Magyarország"/>
    <d v="1999-09-11T00:00:00"/>
    <s v="T135568/FI80798"/>
    <x v="5"/>
    <s v="Állami ösztöndíjas"/>
    <s v="2018/19/1"/>
    <s v="Nappali"/>
    <n v="7"/>
    <n v="1"/>
    <s v="2021/22/2"/>
    <n v="10"/>
    <s v="72443460369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Nő"/>
    <n v="400000"/>
    <s v="szkitti99@gmail.com"/>
    <s v="Marosits Beáta"/>
    <n v="8"/>
    <s v="Aktív"/>
    <n v="8"/>
    <n v="8"/>
    <s v="magyar"/>
    <m/>
  </r>
  <r>
    <s v="Szemerics András"/>
    <s v="DGKIY6"/>
    <s v="Aktív"/>
    <s v="osztatlan tanári [12 félév [magyartanár; történelemtanár és állampolgári ismeretek tanára]]"/>
    <x v="9"/>
    <s v="osztatlan tanárképzés"/>
    <s v="TKK-OTAK-NOHU"/>
    <s v="Szombathely"/>
    <s v="Vas"/>
    <s v="Szemerics András"/>
    <s v="Magyarország"/>
    <d v="1998-04-25T00:00:00"/>
    <s v="T136356/FI80798"/>
    <x v="5"/>
    <s v="Állami ösztöndíjas"/>
    <s v="2018/19/1"/>
    <s v="Nappali"/>
    <n v="7"/>
    <n v="1"/>
    <s v="2021/22/2"/>
    <n v="10"/>
    <s v="79146086906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Férfi"/>
    <n v="400000"/>
    <s v="bandras9898@gmail.com"/>
    <s v="Szemerics Ildikó"/>
    <n v="8"/>
    <s v="Aktív"/>
    <n v="8"/>
    <n v="8"/>
    <s v="magyar"/>
    <m/>
  </r>
  <r>
    <s v="Lang Márk"/>
    <s v="CIRE9O"/>
    <s v="Aktív"/>
    <s v="osztatlan tanári [12 félév [magyartanár; történelemtanár és állampolgári ismeretek tanára]]"/>
    <x v="9"/>
    <s v="osztatlan tanárképzés"/>
    <s v="TKK-OTAK-NOHU"/>
    <s v="Körmend"/>
    <s v="Vas"/>
    <s v="Lang Márk"/>
    <s v="Magyarország"/>
    <d v="2000-03-28T00:00:00"/>
    <s v="T140189/FI80798"/>
    <x v="5"/>
    <s v="Állami ösztöndíjas"/>
    <s v="2018/19/1"/>
    <s v="Nappali"/>
    <n v="7"/>
    <n v="1"/>
    <s v="2021/22/2"/>
    <n v="10"/>
    <s v="79649269609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Férfi"/>
    <n v="400000"/>
    <s v="marklang00@gmail.com"/>
    <s v="Varga Magdolna"/>
    <n v="8"/>
    <s v="Aktív"/>
    <n v="8"/>
    <n v="8"/>
    <s v="magyar"/>
    <m/>
  </r>
  <r>
    <s v="Molnár Rebeka"/>
    <s v="D5ZIAL"/>
    <s v="Aktív"/>
    <s v="osztatlan tanári [12 félév [magyartanár; történelemtanár és állampolgári ismeretek tanára]]"/>
    <x v="9"/>
    <s v="osztatlan tanárképzés"/>
    <s v="TKK-OTAK-NOHU"/>
    <s v="Nagykanizsa"/>
    <s v="Zala"/>
    <s v="Molnár Rebeka"/>
    <s v="Magyarország"/>
    <d v="1999-07-09T00:00:00"/>
    <s v="T138173/FI80798"/>
    <x v="5"/>
    <s v="Állami ösztöndíjas"/>
    <s v="2018/19/1"/>
    <s v="Nappali"/>
    <n v="7"/>
    <n v="1"/>
    <s v="2021/22/2"/>
    <n v="10"/>
    <s v="78287146951"/>
    <n v="12"/>
    <x v="3"/>
    <m/>
    <m/>
    <m/>
    <m/>
    <s v="Képzésváltás intézményen belül"/>
    <d v="2021-02-03T00:00:00"/>
    <m/>
    <s v="BDPK-SEK"/>
    <s v="Eke Norbertné"/>
    <d v="2018-07-25T00:00:00"/>
    <d v="2024-07-15T00:00:00"/>
    <m/>
    <m/>
    <n v="2"/>
    <s v="Nő"/>
    <n v="300000"/>
    <s v="molnar.rebeka0709@gmail.com"/>
    <s v="Szlávecz Tímea Viktória"/>
    <n v="3"/>
    <s v="Aktív"/>
    <n v="3"/>
    <n v="8"/>
    <s v="magyar"/>
    <m/>
  </r>
  <r>
    <s v="Kazinczki Dóra"/>
    <s v="XFRPYE"/>
    <s v="Aktív"/>
    <s v="osztatlan tanári [12 félév [magyartanár; történelemtanár és állampolgári ismeretek tanára]]"/>
    <x v="9"/>
    <s v="osztatlan tanárképzés"/>
    <s v="TKK-OTAK-NOHU"/>
    <s v="Körmend"/>
    <s v="Vas"/>
    <s v="Kazinczki Dóra"/>
    <s v="Magyarország"/>
    <d v="2000-08-25T00:00:00"/>
    <s v="T148701/FI80798"/>
    <x v="5"/>
    <s v="Állami ösztöndíjas"/>
    <s v="2019/20/1"/>
    <s v="Nappali"/>
    <n v="9"/>
    <n v="1"/>
    <s v="2021/22/2"/>
    <n v="10"/>
    <s v="72921775946"/>
    <n v="12"/>
    <x v="3"/>
    <m/>
    <m/>
    <m/>
    <m/>
    <s v="Képzésváltás intézményen belül"/>
    <d v="2019-09-14T00:00:00"/>
    <m/>
    <s v="BDPK-SEK"/>
    <s v="Eke Norbertné"/>
    <d v="2019-07-24T00:00:00"/>
    <d v="2025-07-15T00:00:00"/>
    <n v="500000"/>
    <m/>
    <n v="5"/>
    <s v="Nő"/>
    <n v="500000"/>
    <s v="dodocska2000@gmail.com"/>
    <s v="Trencséni Orsolya Judit"/>
    <n v="6"/>
    <s v="Aktív"/>
    <n v="6"/>
    <n v="6"/>
    <s v="magyar"/>
    <m/>
  </r>
  <r>
    <s v="Bán-Farkas Bernadett"/>
    <s v="E4MRQ2"/>
    <s v="Aktív"/>
    <s v="osztatlan tanári [12 félév [magyartanár; történelemtanár és állampolgári ismeretek tanára]]"/>
    <x v="9"/>
    <s v="osztatlan tanárképzés"/>
    <s v="TKK-OTAK-NOHU"/>
    <s v="Marcali"/>
    <s v="Somogy"/>
    <s v="Bán-Farkas Bernadett"/>
    <s v="Magyarország"/>
    <d v="2001-03-30T00:00:00"/>
    <s v="T155561/FI80798"/>
    <x v="5"/>
    <s v="Állami ösztöndíjas"/>
    <s v="2019/20/1"/>
    <s v="Nappali"/>
    <n v="9"/>
    <n v="1"/>
    <s v="2021/22/2"/>
    <n v="10"/>
    <s v="73190394664"/>
    <n v="12"/>
    <x v="3"/>
    <m/>
    <m/>
    <m/>
    <m/>
    <s v="Képzésváltás intézményen belül"/>
    <d v="2019-09-14T00:00:00"/>
    <m/>
    <s v="BDPK-SEK"/>
    <s v="Eke Norbertné"/>
    <d v="2019-07-24T00:00:00"/>
    <d v="2025-07-15T00:00:00"/>
    <n v="500000"/>
    <m/>
    <n v="5"/>
    <s v="Nő"/>
    <n v="500000"/>
    <s v="banfarkasberni@gmail.com"/>
    <s v="Horváth Tímea"/>
    <n v="6"/>
    <s v="Aktív"/>
    <n v="6"/>
    <n v="6"/>
    <s v="magyar"/>
    <m/>
  </r>
  <r>
    <s v="Pintér Patrik"/>
    <s v="YIBFQ8"/>
    <s v="Aktív"/>
    <s v="osztatlan tanári [12 félév [magyartanár; történelemtanár és állampolgári ismeretek tanára]]"/>
    <x v="9"/>
    <s v="osztatlan tanárképzés"/>
    <s v="TKK-OTAK-NOHU"/>
    <s v="Sopron"/>
    <s v="Győr-Moson-Sopron"/>
    <s v="Pintér Patrik"/>
    <s v="Magyarország"/>
    <d v="1997-07-26T00:00:00"/>
    <s v="T151258/FI80798"/>
    <x v="5"/>
    <s v="Állami ösztöndíjas"/>
    <s v="2019/20/1"/>
    <s v="Nappali"/>
    <n v="9"/>
    <n v="1"/>
    <s v="2021/22/2"/>
    <n v="10"/>
    <s v="73918748976"/>
    <n v="12"/>
    <x v="3"/>
    <m/>
    <m/>
    <m/>
    <m/>
    <s v="Képzésváltás intézményen belül"/>
    <d v="2019-09-14T00:00:00"/>
    <m/>
    <s v="BDPK-SEK"/>
    <s v="Eke Norbertné"/>
    <d v="2019-07-24T00:00:00"/>
    <d v="2025-07-15T00:00:00"/>
    <n v="500000"/>
    <m/>
    <n v="5"/>
    <s v="Férfi"/>
    <n v="500000"/>
    <s v="pinpat97@gmail.com"/>
    <s v="Vissi Natália"/>
    <n v="6"/>
    <s v="Aktív"/>
    <n v="6"/>
    <n v="6"/>
    <s v="magyar"/>
    <m/>
  </r>
  <r>
    <s v="Weinhoffer Ramóna"/>
    <s v="I033G2"/>
    <s v="Aktív"/>
    <s v="osztatlan tanári [12 félév [magyartanár; történelemtanár és állampolgári ismeretek tanára]]"/>
    <x v="9"/>
    <s v="osztatlan tanárképzés"/>
    <s v="TKK-OTAK-NOHU"/>
    <s v="Szombathely"/>
    <s v="Vas"/>
    <s v="Weinhoffer Ramóna"/>
    <s v="Magyarország"/>
    <d v="1999-10-26T00:00:00"/>
    <s v="T155839/FI80798"/>
    <x v="5"/>
    <s v="Állami ösztöndíjas"/>
    <s v="2019/20/1"/>
    <s v="Nappali"/>
    <n v="9"/>
    <n v="1"/>
    <s v="2021/22/2"/>
    <n v="10"/>
    <s v="77785661027"/>
    <n v="12"/>
    <x v="3"/>
    <m/>
    <m/>
    <m/>
    <m/>
    <s v="Képzésváltás intézményen belül"/>
    <d v="2019-09-14T00:00:00"/>
    <m/>
    <s v="BDPK-SEK"/>
    <s v="Eke Norbertné"/>
    <d v="2019-07-24T00:00:00"/>
    <d v="2025-07-15T00:00:00"/>
    <n v="500000"/>
    <m/>
    <n v="5"/>
    <s v="Nő"/>
    <n v="500000"/>
    <s v="ramona.weinhoffer@gmail.com"/>
    <s v="Szalai Katalin"/>
    <n v="6"/>
    <s v="Aktív"/>
    <n v="6"/>
    <n v="6"/>
    <s v="magyar"/>
    <m/>
  </r>
  <r>
    <s v="Kiss Barnabás"/>
    <s v="CLL9FR"/>
    <s v="Aktív"/>
    <s v="osztatlan tanári [12 félév [magyartanár; történelemtanár és állampolgári ismeretek tanára]]"/>
    <x v="9"/>
    <s v="osztatlan tanárképzés"/>
    <s v="TKK-OTAK-NOHU"/>
    <s v="Csorna"/>
    <s v="Győr-Moson-Sopron"/>
    <s v="Kiss Barnabás"/>
    <s v="Magyarország"/>
    <d v="2000-04-07T00:00:00"/>
    <s v="T154372/FI80798"/>
    <x v="5"/>
    <s v="Állami ösztöndíjas"/>
    <s v="2019/20/1"/>
    <s v="Nappali"/>
    <n v="9"/>
    <n v="1"/>
    <s v="2021/22/2"/>
    <n v="10"/>
    <s v="73799739222"/>
    <n v="12"/>
    <x v="3"/>
    <m/>
    <m/>
    <m/>
    <m/>
    <s v="Képzésváltás intézményen belül"/>
    <d v="2019-09-14T00:00:00"/>
    <m/>
    <s v="BDPK-SEK"/>
    <s v="Eke Norbertné"/>
    <d v="2019-07-24T00:00:00"/>
    <d v="2025-07-15T00:00:00"/>
    <n v="500000"/>
    <m/>
    <n v="5"/>
    <s v="Férfi"/>
    <n v="500000"/>
    <s v="barni20@icloud.com"/>
    <s v="Szabó Ildikó"/>
    <n v="6"/>
    <s v="Aktív"/>
    <n v="6"/>
    <n v="6"/>
    <s v="magyar"/>
    <m/>
  </r>
  <r>
    <s v="Koller Adél Antónia"/>
    <s v="GNA7WN"/>
    <s v="Aktív"/>
    <s v="osztatlan tanári [12 félév [magyartanár; történelemtanár és állampolgári ismeretek tanára]]"/>
    <x v="9"/>
    <s v="osztatlan tanárképzés"/>
    <s v="TKK-OTAK-NOHU"/>
    <s v="Sárvár"/>
    <s v="Vas"/>
    <s v="Koller Adél Antónia"/>
    <s v="Magyarország"/>
    <d v="2000-09-17T00:00:00"/>
    <s v="T150450/FI80798"/>
    <x v="5"/>
    <s v="Állami ösztöndíjas"/>
    <s v="2019/20/1"/>
    <s v="Nappali"/>
    <n v="9"/>
    <n v="1"/>
    <s v="2021/22/2"/>
    <n v="10"/>
    <s v="76893406208"/>
    <n v="12"/>
    <x v="3"/>
    <m/>
    <m/>
    <m/>
    <m/>
    <s v="Képzésváltás intézményen belül"/>
    <d v="2022-02-01T00:00:00"/>
    <m/>
    <s v="BDPK-SEK"/>
    <s v="Eke Norbertné"/>
    <d v="2019-07-24T00:00:00"/>
    <d v="2028-01-31T00:00:00"/>
    <m/>
    <m/>
    <n v="1"/>
    <s v="Nő"/>
    <n v="300000"/>
    <s v="kollernetti@gmail.com"/>
    <s v="Loós Zsuzsanna"/>
    <n v="1"/>
    <s v="Aktív"/>
    <n v="1"/>
    <n v="6"/>
    <s v="magyar"/>
    <m/>
  </r>
  <r>
    <s v="Szomi Tamás Ifj."/>
    <s v="V83VYB"/>
    <s v="Aktív"/>
    <s v="osztatlan tanári [12 félév [magyartanár; történelemtanár és állampolgári ismeretek tanára]]"/>
    <x v="9"/>
    <s v="osztatlan tanárképzés"/>
    <s v="TKK-OTAK-NOHU"/>
    <s v="Nagykanizsa"/>
    <s v="Zala"/>
    <s v="Szomi Tamás"/>
    <s v="Magyarország"/>
    <d v="1999-07-08T00:00:00"/>
    <s v="T150892/FI80798"/>
    <x v="5"/>
    <s v="Állami ösztöndíjas"/>
    <s v="2019/20/1"/>
    <s v="Nappali"/>
    <n v="9"/>
    <n v="1"/>
    <s v="2021/22/2"/>
    <n v="10"/>
    <s v="78235363713"/>
    <n v="12"/>
    <x v="3"/>
    <m/>
    <m/>
    <m/>
    <m/>
    <s v="Képzésváltás intézményen belül"/>
    <d v="2019-09-14T00:00:00"/>
    <m/>
    <s v="BDPK-SEK"/>
    <s v="Eke Norbertné"/>
    <d v="2019-07-24T00:00:00"/>
    <d v="2025-07-15T00:00:00"/>
    <n v="500000"/>
    <m/>
    <n v="5"/>
    <s v="Férfi"/>
    <n v="500000"/>
    <s v="tomiszomi@gmail.com"/>
    <s v="Kropf Szilvia"/>
    <n v="6"/>
    <s v="Aktív"/>
    <n v="6"/>
    <n v="6"/>
    <s v="magyar"/>
    <m/>
  </r>
  <r>
    <s v="Málics Viktória"/>
    <s v="U1ZW7Q"/>
    <s v="Aktív"/>
    <s v="osztatlan tanári [12 félév [magyartanár; történelemtanár és állampolgári ismeretek tanára]]"/>
    <x v="9"/>
    <s v="osztatlan tanárképzés"/>
    <s v="TKK-OTAK-NOHU"/>
    <s v="Zalaegerszeg"/>
    <s v="Zala"/>
    <s v="Málics Viktória"/>
    <s v="Magyarország"/>
    <d v="2001-11-19T00:00:00"/>
    <s v="T164795/FI80798"/>
    <x v="5"/>
    <s v="Állami ösztöndíjas"/>
    <s v="2020/21/1"/>
    <s v="Nappali"/>
    <n v="11"/>
    <n v="1"/>
    <s v="2021/22/2"/>
    <n v="10"/>
    <s v="71607464697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Nő"/>
    <n v="500000"/>
    <s v="viktoriamalics11@gmail.com"/>
    <s v="Lascsik Edina"/>
    <n v="4"/>
    <s v="Aktív"/>
    <n v="4"/>
    <n v="4"/>
    <s v="magyar"/>
    <m/>
  </r>
  <r>
    <s v="Farkas Mihály Tamás"/>
    <s v="J5Y7ES"/>
    <s v="Passzív"/>
    <s v="osztatlan tanári [12 félév [magyartanár; történelemtanár és állampolgári ismeretek tanára]]"/>
    <x v="9"/>
    <s v="osztatlan tanárképzés"/>
    <s v="TKK-OTAK-NOHU"/>
    <s v="Szeged"/>
    <s v="Csongrád"/>
    <s v="Farkas Mihály Tamás"/>
    <s v="Magyarország"/>
    <d v="1995-07-18T00:00:00"/>
    <s v="T189826/FI80798"/>
    <x v="5"/>
    <s v="Állami ösztöndíjas"/>
    <s v="2021/22/1"/>
    <s v="Nappali"/>
    <n v="2"/>
    <n v="1"/>
    <s v="2021/22/1"/>
    <n v="10"/>
    <s v="76940436478"/>
    <n v="12"/>
    <x v="3"/>
    <m/>
    <m/>
    <m/>
    <m/>
    <s v="Képzésváltás intézményen belül"/>
    <d v="2021-09-13T00:00:00"/>
    <m/>
    <s v="BDPK-SEK"/>
    <s v="Eke Norbertné"/>
    <d v="2021-07-23T00:00:00"/>
    <d v="2028-07-15T00:00:00"/>
    <n v="500000"/>
    <m/>
    <n v="1"/>
    <s v="Férfi"/>
    <n v="500000"/>
    <s v="farkasmihalytamas@freemail.hu"/>
    <s v="Gyuris Katalin"/>
    <n v="1"/>
    <s v="Passzív"/>
    <m/>
    <n v="1"/>
    <s v="magyar"/>
    <m/>
  </r>
  <r>
    <s v="Keresztes Anna"/>
    <s v="DYEQMS"/>
    <s v="Aktív"/>
    <s v="osztatlan tanári [12 félév [magyartanár; történelemtanár és állampolgári ismeretek tanára]]"/>
    <x v="9"/>
    <s v="osztatlan tanárképzés"/>
    <s v="TKK-OTAK-NOHU"/>
    <s v="Sopron"/>
    <s v="Győr-Moson-Sopron"/>
    <s v="Keresztes Anna"/>
    <s v="Magyarország"/>
    <d v="2001-11-20T00:00:00"/>
    <s v="T183887/FI80798"/>
    <x v="5"/>
    <s v="Állami ösztöndíjas"/>
    <s v="2021/22/1"/>
    <s v="Nappali"/>
    <n v="13"/>
    <n v="1"/>
    <s v="2021/22/2"/>
    <n v="10"/>
    <s v="71587376053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Nő"/>
    <n v="500000"/>
    <s v="ankakeresztes@gmail.com"/>
    <s v="Horváth Judit"/>
    <n v="2"/>
    <s v="Aktív"/>
    <n v="2"/>
    <n v="2"/>
    <s v="magyar"/>
    <m/>
  </r>
  <r>
    <s v="Gyarmati Flóra"/>
    <s v="ECFI1M"/>
    <s v="Aktív"/>
    <s v="osztatlan tanári [12 félév [magyartanár; történelemtanár és állampolgári ismeretek tanára]]"/>
    <x v="9"/>
    <s v="osztatlan tanárképzés"/>
    <s v="TKK-OTAK-NOHU"/>
    <s v="Körmend"/>
    <s v="Vas"/>
    <s v="Gyarmati Flóra"/>
    <s v="Magyarország"/>
    <d v="2002-03-17T00:00:00"/>
    <s v="T163711/FI80798"/>
    <x v="5"/>
    <s v="Állami ösztöndíjas"/>
    <s v="2020/21/1"/>
    <s v="Nappali"/>
    <n v="11"/>
    <n v="1"/>
    <s v="2021/22/2"/>
    <n v="10"/>
    <s v="71646059677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Nő"/>
    <n v="500000"/>
    <s v="gyaflo@gmail.com"/>
    <s v="Szabó Eszter"/>
    <n v="4"/>
    <s v="Aktív"/>
    <n v="4"/>
    <n v="4"/>
    <s v="magyar"/>
    <m/>
  </r>
  <r>
    <s v="Nagy Henrietta"/>
    <s v="CO1DRJ"/>
    <s v="Aktív"/>
    <s v="osztatlan tanári [12 félév [magyartanár; történelemtanár és állampolgári ismeretek tanára]]"/>
    <x v="9"/>
    <s v="osztatlan tanárképzés"/>
    <s v="TKK-OTAK-NOHU"/>
    <s v="Zalaegerszeg"/>
    <s v="Zala"/>
    <s v="Nagy Henrietta"/>
    <s v="Magyarország"/>
    <d v="2000-09-30T00:00:00"/>
    <s v="T168938/FI80798"/>
    <x v="5"/>
    <s v="Állami ösztöndíjas"/>
    <s v="2020/21/1"/>
    <s v="Nappali"/>
    <n v="11"/>
    <n v="1"/>
    <s v="2021/22/2"/>
    <n v="10"/>
    <s v="75225061301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Nő"/>
    <n v="500000"/>
    <s v="heni0930@gmail.com"/>
    <s v="Németh Mónika"/>
    <n v="4"/>
    <s v="Aktív"/>
    <n v="4"/>
    <n v="4"/>
    <s v="magyar"/>
    <m/>
  </r>
  <r>
    <s v="Polócz Patrícia"/>
    <s v="I4H9IJ"/>
    <s v="Aktív"/>
    <s v="osztatlan tanári [12 félév [magyartanár; történelemtanár és állampolgári ismeretek tanára]]"/>
    <x v="9"/>
    <s v="osztatlan tanárképzés"/>
    <s v="TKK-OTAK-NOHU"/>
    <s v="Győr"/>
    <s v="Győr-Moson-Sopron"/>
    <s v="Polócz Patrícia"/>
    <s v="Magyarország"/>
    <d v="2001-07-22T00:00:00"/>
    <s v="T162963/FI80798"/>
    <x v="5"/>
    <s v="Állami ösztöndíjas"/>
    <s v="2020/21/1"/>
    <s v="Nappali"/>
    <n v="11"/>
    <n v="1"/>
    <s v="2021/22/2"/>
    <n v="10"/>
    <s v="71622021440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Nő"/>
    <n v="500000"/>
    <s v="poloczpatti@gmail.com"/>
    <s v="Lamperth Renáta"/>
    <n v="4"/>
    <s v="Aktív"/>
    <n v="4"/>
    <n v="4"/>
    <s v="magyar"/>
    <m/>
  </r>
  <r>
    <s v="Balogh Zsófia"/>
    <s v="RMIG1G"/>
    <s v="Aktív"/>
    <s v="osztatlan tanári [12 félév [magyartanár; történelemtanár és állampolgári ismeretek tanára]]"/>
    <x v="9"/>
    <s v="osztatlan tanárképzés"/>
    <s v="TKK-OTAK-NOHU"/>
    <s v="Szombathely"/>
    <s v="Vas"/>
    <s v="Balogh Zsófia"/>
    <s v="Magyarország"/>
    <d v="2001-08-26T00:00:00"/>
    <s v="T168011/FI80798"/>
    <x v="5"/>
    <s v="Állami ösztöndíjas"/>
    <s v="2020/21/1"/>
    <s v="Nappali"/>
    <n v="11"/>
    <n v="1"/>
    <s v="2021/22/2"/>
    <n v="10"/>
    <s v="71613388400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Nő"/>
    <n v="500000"/>
    <s v="baloghzsofi1208@gmail.com"/>
    <s v="Markovits Tímea"/>
    <n v="4"/>
    <s v="Aktív"/>
    <n v="4"/>
    <n v="4"/>
    <s v="magyar"/>
    <m/>
  </r>
  <r>
    <s v="Goda Máté"/>
    <s v="K9J5EA"/>
    <s v="Aktív"/>
    <s v="osztatlan tanári [12 félév [magyartanár; történelemtanár és állampolgári ismeretek tanára]]"/>
    <x v="9"/>
    <s v="osztatlan tanárképzés"/>
    <s v="TKK-OTAK-NOHU"/>
    <s v="Pápa"/>
    <s v="Veszprém"/>
    <s v="Goda Máté"/>
    <s v="Magyarország"/>
    <d v="2001-10-29T00:00:00"/>
    <s v="T182775/FI80798"/>
    <x v="5"/>
    <s v="Állami ösztöndíjas"/>
    <s v="2021/22/1"/>
    <s v="Nappali"/>
    <n v="13"/>
    <n v="1"/>
    <s v="2021/22/2"/>
    <n v="10"/>
    <s v="71621299646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Férfi"/>
    <n v="500000"/>
    <s v="mategodus@gmail.com"/>
    <s v="Domján Ágnes Csilla"/>
    <n v="2"/>
    <s v="Aktív"/>
    <n v="2"/>
    <n v="2"/>
    <s v="magyar"/>
    <m/>
  </r>
  <r>
    <s v="Háberl Márk"/>
    <s v="NC6NMY"/>
    <s v="Aktív"/>
    <s v="osztatlan tanári [12 félév [magyartanár; történelemtanár és állampolgári ismeretek tanára]]"/>
    <x v="9"/>
    <s v="osztatlan tanárképzés"/>
    <s v="TKK-OTAK-NOHU"/>
    <s v="Nagykanizsa"/>
    <s v="Zala"/>
    <s v="Háberl Márk"/>
    <s v="Magyarország"/>
    <d v="2002-07-10T00:00:00"/>
    <s v="T184709/FI80798"/>
    <x v="5"/>
    <s v="Állami ösztöndíjas"/>
    <s v="2021/22/1"/>
    <s v="Nappali"/>
    <n v="13"/>
    <n v="1"/>
    <s v="2021/22/2"/>
    <n v="10"/>
    <s v="71763453359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Férfi"/>
    <n v="500000"/>
    <s v="haberl.mark2002@gmail.com"/>
    <s v="Somfalvi Beáta"/>
    <n v="2"/>
    <s v="Aktív"/>
    <n v="2"/>
    <n v="2"/>
    <s v="magyar"/>
    <m/>
  </r>
  <r>
    <s v="Labritz Regina"/>
    <s v="EYOTG4"/>
    <s v="Aktív"/>
    <s v="osztatlan tanári [12 félév [matematikatanár; szlovén és nemzetiségi szlovén nyelv és kultúra tanára]]"/>
    <x v="11"/>
    <s v="osztatlan tanárképzés"/>
    <s v="TKK-OTAK-NOHU"/>
    <s v="Körmend"/>
    <s v="Vas"/>
    <s v="Labritz Regina"/>
    <s v="Magyarország"/>
    <d v="1999-11-29T00:00:00"/>
    <s v="T141994/FI80798"/>
    <x v="5"/>
    <s v="Állami ösztöndíjas"/>
    <s v="2018/19/1"/>
    <s v="Nappali"/>
    <n v="7"/>
    <n v="1"/>
    <s v="2021/22/2"/>
    <n v="10"/>
    <s v="76264480024"/>
    <n v="12"/>
    <x v="3"/>
    <m/>
    <m/>
    <m/>
    <m/>
    <s v="Képzésváltás intézményen belül"/>
    <d v="2019-09-14T00:00:00"/>
    <m/>
    <s v="BDPK-SEK"/>
    <s v="Eke Norbertné"/>
    <d v="2018-07-25T00:00:00"/>
    <d v="2024-06-30T00:00:00"/>
    <n v="500000"/>
    <m/>
    <n v="5"/>
    <s v="Nő"/>
    <n v="500000"/>
    <s v="labritzregina@gmail.com"/>
    <s v="Korpics Andrea"/>
    <n v="6"/>
    <s v="Aktív"/>
    <n v="6"/>
    <n v="8"/>
    <s v="magyar"/>
    <m/>
  </r>
  <r>
    <s v="Horváth Rita"/>
    <s v="GXK6PK"/>
    <s v="Aktív"/>
    <s v="osztatlan tanári [12 félév [matematikatanár; testnevelő tanár]]"/>
    <x v="8"/>
    <s v="osztatlan tanárképzés"/>
    <s v="TKK-OTAK-NOHU"/>
    <s v="Keszthely"/>
    <s v="Zala"/>
    <s v="Horváth Rita"/>
    <s v="Magyarország"/>
    <d v="1995-02-20T00:00:00"/>
    <s v="T130397/FI80798"/>
    <x v="5"/>
    <s v="Állami ösztöndíjas"/>
    <s v="2017/18/1"/>
    <s v="Nappali"/>
    <n v="5"/>
    <n v="1"/>
    <s v="2021/22/2"/>
    <n v="10"/>
    <s v="72063385019"/>
    <n v="12"/>
    <x v="3"/>
    <m/>
    <m/>
    <m/>
    <m/>
    <s v="Képzésváltás intézményen belül"/>
    <d v="2020-02-14T00:00:00"/>
    <m/>
    <s v="BDPK-SEK"/>
    <s v="Eke Norbertné"/>
    <d v="2017-07-27T00:00:00"/>
    <d v="2023-07-15T00:00:00"/>
    <m/>
    <m/>
    <n v="4"/>
    <s v="Nő"/>
    <n v="300000"/>
    <s v="horirita20@gmail.com"/>
    <s v="Bors Jolán"/>
    <n v="5"/>
    <s v="Aktív"/>
    <n v="5"/>
    <n v="10"/>
    <s v="magyar"/>
    <m/>
  </r>
  <r>
    <s v="Balogh Viktória"/>
    <s v="B6ZD6R"/>
    <s v="Aktív"/>
    <s v="osztatlan tanári [12 félév [matematikatanár; testnevelő tanár]]"/>
    <x v="8"/>
    <s v="osztatlan tanárképzés"/>
    <s v="TKK-OTAK-NOHU"/>
    <s v="Sopron"/>
    <s v="Győr-Moson-Sopron"/>
    <s v="Balogh Viktória"/>
    <s v="Magyarország"/>
    <d v="1997-06-25T00:00:00"/>
    <s v="T123591/FI80798"/>
    <x v="5"/>
    <s v="Állami ösztöndíjas"/>
    <s v="2017/18/1"/>
    <s v="Nappali"/>
    <n v="5"/>
    <n v="1"/>
    <s v="2021/22/2"/>
    <n v="10"/>
    <s v="73833358346"/>
    <n v="12"/>
    <x v="3"/>
    <m/>
    <m/>
    <m/>
    <m/>
    <s v="Képzésváltás intézményen belül"/>
    <d v="2019-09-14T00:00:00"/>
    <m/>
    <s v="BDPK-SEK"/>
    <s v="Eke Norbertné"/>
    <d v="2017-07-27T00:00:00"/>
    <d v="2023-06-30T00:00:00"/>
    <n v="500000"/>
    <m/>
    <n v="5"/>
    <s v="Nő"/>
    <n v="500000"/>
    <s v="balogh.viki.bv@gmail.com"/>
    <s v="Tóth Judit"/>
    <n v="6"/>
    <s v="Aktív"/>
    <n v="6"/>
    <n v="10"/>
    <s v="magyar"/>
    <m/>
  </r>
  <r>
    <s v="Krivácsy Zoltán"/>
    <s v="LJ3NVZ"/>
    <s v="Aktív"/>
    <s v="osztatlan tanári [12 félév [matematikatanár; testnevelő tanár]]"/>
    <x v="8"/>
    <s v="osztatlan tanárképzés"/>
    <s v="TKK-OTAK-NOHU"/>
    <s v="Pápa"/>
    <s v="Veszprém"/>
    <s v="Krivácsy Zoltán"/>
    <s v="Magyarország"/>
    <d v="1999-11-01T00:00:00"/>
    <s v="T138635/FI80798"/>
    <x v="5"/>
    <s v="Állami ösztöndíjas"/>
    <s v="2018/19/1"/>
    <s v="Nappali"/>
    <n v="7"/>
    <n v="1"/>
    <s v="2021/22/2"/>
    <n v="10"/>
    <s v="76295414730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Férfi"/>
    <n v="400000"/>
    <s v="zkrivacsy@gmail.com"/>
    <s v="Farkas Zsuzsanna"/>
    <n v="8"/>
    <s v="Aktív"/>
    <n v="8"/>
    <n v="8"/>
    <s v="magyar"/>
    <m/>
  </r>
  <r>
    <s v="Németh Tamás Zsolt"/>
    <s v="DAXET1"/>
    <s v="Aktív"/>
    <s v="osztatlan tanári [12 félév [matematikatanár; testnevelő tanár]]"/>
    <x v="8"/>
    <s v="osztatlan tanárképzés"/>
    <s v="TKK-OTAK-NOHU"/>
    <s v="Zalaegerszeg"/>
    <s v="Zala"/>
    <s v="Németh Tamás Zsolt"/>
    <s v="Magyarország"/>
    <d v="2001-02-20T00:00:00"/>
    <s v="T149524/FI80798"/>
    <x v="5"/>
    <s v="Állami ösztöndíjas"/>
    <s v="2019/20/1"/>
    <s v="Nappali"/>
    <n v="9"/>
    <n v="1"/>
    <s v="2021/22/2"/>
    <n v="10"/>
    <s v="77739898879"/>
    <n v="12"/>
    <x v="3"/>
    <m/>
    <m/>
    <m/>
    <m/>
    <s v="Képzésváltás intézményen belül"/>
    <d v="2019-09-14T00:00:00"/>
    <m/>
    <s v="BDPK-SEK"/>
    <s v="Eke Norbertné"/>
    <d v="2019-07-24T00:00:00"/>
    <d v="2025-07-15T00:00:00"/>
    <n v="500000"/>
    <m/>
    <n v="5"/>
    <s v="Férfi"/>
    <n v="500000"/>
    <s v="nemethtamasmindszenty@gmail.com"/>
    <s v="Lóránt Krisztina"/>
    <n v="6"/>
    <s v="Aktív"/>
    <n v="6"/>
    <n v="6"/>
    <s v="magyar"/>
    <m/>
  </r>
  <r>
    <s v="Fehér Bálint Csaba"/>
    <s v="ILGA4V"/>
    <s v="Aktív"/>
    <s v="osztatlan tanári [12 félév [matematikatanár; testnevelő tanár]]"/>
    <x v="8"/>
    <s v="osztatlan tanárképzés"/>
    <s v="TKK-OTAK-NOHU"/>
    <s v="Keszthely"/>
    <s v="Zala"/>
    <s v="Fehér Bálint Csaba"/>
    <s v="Magyarország"/>
    <d v="1999-08-06T00:00:00"/>
    <s v="T141150/FI80798"/>
    <x v="5"/>
    <s v="Állami ösztöndíjas"/>
    <s v="2018/19/1"/>
    <s v="Nappali"/>
    <n v="7"/>
    <n v="1"/>
    <s v="2021/22/2"/>
    <n v="10"/>
    <s v="74347782512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Férfi"/>
    <n v="400000"/>
    <s v="balu990806@gmail.com"/>
    <s v="Kelemen Nóra"/>
    <n v="8"/>
    <s v="Aktív"/>
    <n v="8"/>
    <n v="8"/>
    <s v="magyar"/>
    <m/>
  </r>
  <r>
    <s v="Orbán Petra"/>
    <s v="EB28U1"/>
    <s v="Aktív"/>
    <s v="osztatlan tanári [12 félév [matematikatanár; történelemtanár és állampolgári ismeretek tanára]]"/>
    <x v="9"/>
    <s v="osztatlan tanárképzés"/>
    <s v="TKK-OTAK-NOHU"/>
    <s v="Csorna"/>
    <s v="Győr-Moson-Sopron"/>
    <s v="Orbán Petra"/>
    <s v="Magyarország"/>
    <d v="1999-10-24T00:00:00"/>
    <s v="T138379/FI80798"/>
    <x v="5"/>
    <s v="Állami ösztöndíjas"/>
    <s v="2018/19/1"/>
    <s v="Nappali"/>
    <n v="7"/>
    <n v="1"/>
    <s v="2021/22/2"/>
    <n v="10"/>
    <s v="75891794879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Nő"/>
    <n v="400000"/>
    <s v="petrus99100@gmail.com"/>
    <s v="Németh Ildikó"/>
    <n v="8"/>
    <s v="Aktív"/>
    <n v="8"/>
    <n v="8"/>
    <s v="magyar"/>
    <m/>
  </r>
  <r>
    <s v="Novák Marcell"/>
    <s v="P984C4"/>
    <s v="Aktív"/>
    <s v="osztatlan tanári [12 félév [matematikatanár; történelemtanár és állampolgári ismeretek tanára]]"/>
    <x v="9"/>
    <s v="osztatlan tanárképzés"/>
    <s v="TKK-OTAK-NOHU"/>
    <s v="Zalaegerszeg"/>
    <s v="Zala"/>
    <s v="Novák Marcell"/>
    <s v="Magyarország"/>
    <d v="2001-09-13T00:00:00"/>
    <s v="T150483/FI80798"/>
    <x v="5"/>
    <s v="Állami ösztöndíjas"/>
    <s v="2019/20/1"/>
    <s v="Nappali"/>
    <n v="9"/>
    <n v="1"/>
    <s v="2021/22/2"/>
    <n v="10"/>
    <s v="77619610672"/>
    <n v="12"/>
    <x v="3"/>
    <m/>
    <m/>
    <m/>
    <m/>
    <s v="Képzésváltás intézményen belül"/>
    <d v="2019-09-14T00:00:00"/>
    <m/>
    <s v="BDPK-SEK"/>
    <s v="Eke Norbertné"/>
    <d v="2019-07-24T00:00:00"/>
    <d v="2025-07-15T00:00:00"/>
    <n v="500000"/>
    <m/>
    <n v="5"/>
    <s v="Férfi"/>
    <n v="500000"/>
    <s v="novimarci20010913@gmail.com"/>
    <s v="Bosits Csilla"/>
    <n v="6"/>
    <s v="Aktív"/>
    <n v="6"/>
    <n v="6"/>
    <s v="magyar"/>
    <m/>
  </r>
  <r>
    <s v="Horváth Anna"/>
    <s v="ROI8W5"/>
    <s v="Aktív"/>
    <s v="osztatlan tanári [12 félév [matematikatanár; történelemtanár és állampolgári ismeretek tanára]]"/>
    <x v="9"/>
    <s v="osztatlan tanárképzés"/>
    <s v="TKK-OTAK-NOHU"/>
    <s v="Szombathely"/>
    <s v="Vas"/>
    <s v="Horváth Anna"/>
    <s v="Magyarország"/>
    <d v="2001-08-30T00:00:00"/>
    <s v="T163641/FI80798"/>
    <x v="5"/>
    <s v="Állami ösztöndíjas"/>
    <s v="2020/21/1"/>
    <s v="Nappali"/>
    <n v="11"/>
    <n v="1"/>
    <s v="2021/22/2"/>
    <n v="10"/>
    <s v="71630380587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Nő"/>
    <n v="500000"/>
    <s v="annahorvath42@gmail.com"/>
    <s v="Tóth Judit"/>
    <n v="4"/>
    <s v="Aktív"/>
    <n v="4"/>
    <n v="4"/>
    <s v="magyar"/>
    <m/>
  </r>
  <r>
    <s v="Kovács Balázs"/>
    <s v="NOZH3I"/>
    <s v="Aktív"/>
    <s v="osztatlan tanári [12 félév [német nyelv és kultúra tanára; testnevelő tanár]]"/>
    <x v="8"/>
    <s v="osztatlan tanárképzés"/>
    <s v="TKK-OTAK-NOHU"/>
    <s v="Szombathely"/>
    <s v="Vas"/>
    <s v="Kovács Balázs"/>
    <s v="Magyarország"/>
    <d v="2001-01-20T00:00:00"/>
    <s v="T164372/FI80798"/>
    <x v="5"/>
    <s v="Állami ösztöndíjas"/>
    <s v="2020/21/1"/>
    <s v="Nappali"/>
    <m/>
    <m/>
    <m/>
    <n v="10"/>
    <s v="76420080713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Férfi"/>
    <n v="500000"/>
    <s v="balazs.kovacs2001@gmail.com"/>
    <s v="Nagy Zsuzsanna"/>
    <n v="4"/>
    <s v="Aktív"/>
    <n v="4"/>
    <n v="4"/>
    <s v="magyar"/>
    <m/>
  </r>
  <r>
    <s v="Kürti Regina"/>
    <s v="ENF6YS"/>
    <s v="Aktív"/>
    <s v="osztatlan tanári [12 félév [német nyelv és kultúra tanára; testnevelő tanár]]"/>
    <x v="8"/>
    <s v="osztatlan tanárképzés"/>
    <s v="TKK-OTAK-NOHU"/>
    <s v="Kapuvár"/>
    <s v="Győr-Moson-Sopron"/>
    <s v="Kürti Regina"/>
    <s v="Magyarország"/>
    <d v="2002-02-14T00:00:00"/>
    <s v="T167350/FI80798"/>
    <x v="5"/>
    <s v="Állami ösztöndíjas"/>
    <s v="2020/21/1"/>
    <s v="Nappali"/>
    <n v="11"/>
    <n v="1"/>
    <s v="2021/22/2"/>
    <n v="10"/>
    <s v="71595977666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Nő"/>
    <n v="500000"/>
    <s v="redzsi2010@gmail.com"/>
    <s v="Cseh Emőke"/>
    <n v="4"/>
    <s v="Aktív"/>
    <n v="4"/>
    <n v="4"/>
    <s v="magyar"/>
    <m/>
  </r>
  <r>
    <s v="Menyhárt Dorka"/>
    <s v="DJDWOJ"/>
    <s v="Aktív"/>
    <s v="osztatlan tanári [12 félév [német nyelv és kultúra tanára; testnevelő tanár]]"/>
    <x v="8"/>
    <s v="osztatlan tanárképzés"/>
    <s v="TKK-OTAK-NOHU"/>
    <s v="Győr"/>
    <s v="Győr-Moson-Sopron"/>
    <s v="Menyhárt Dorka"/>
    <s v="Magyarország"/>
    <d v="2001-07-21T00:00:00"/>
    <s v="T162775/FI80798"/>
    <x v="5"/>
    <s v="Állami ösztöndíjas"/>
    <s v="2020/21/1"/>
    <s v="Nappali"/>
    <n v="11"/>
    <n v="1"/>
    <s v="2021/22/2"/>
    <n v="10"/>
    <s v="71978633804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Nő"/>
    <n v="500000"/>
    <s v="menyhartdorka@yahoo.hu"/>
    <s v="Magyari Tünde"/>
    <n v="4"/>
    <s v="Aktív"/>
    <n v="4"/>
    <n v="4"/>
    <s v="magyar"/>
    <m/>
  </r>
  <r>
    <s v="Szánthó Dóra"/>
    <s v="EN0IIK"/>
    <s v="Aktív"/>
    <s v="osztatlan tanári [12 félév [német nyelv és kultúra tanára; testnevelő tanár]]"/>
    <x v="8"/>
    <s v="osztatlan tanárképzés"/>
    <s v="TKK-OTAK-NOHU"/>
    <s v="Körmend"/>
    <s v="Vas"/>
    <s v="Szánthó Dóra"/>
    <s v="Magyarország"/>
    <d v="2002-09-04T00:00:00"/>
    <s v="T185188/FI80798"/>
    <x v="5"/>
    <s v="Állami ösztöndíjas"/>
    <s v="2021/22/1"/>
    <s v="Nappali"/>
    <n v="13"/>
    <n v="1"/>
    <s v="2021/22/2"/>
    <n v="10"/>
    <s v="71768097505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Nő"/>
    <n v="500000"/>
    <s v="szanthodora9422@gmail.com"/>
    <s v="Bérdi Andrea"/>
    <n v="2"/>
    <s v="Aktív"/>
    <n v="2"/>
    <n v="2"/>
    <s v="magyar"/>
    <m/>
  </r>
  <r>
    <s v="Táncos Dominika"/>
    <s v="GWJOIY"/>
    <s v="Aktív"/>
    <s v="osztatlan tanári [12 félév [német nyelv és kultúra tanára; történelemtanár és állampolgári ismeretek tanára]]"/>
    <x v="9"/>
    <s v="osztatlan tanárképzés"/>
    <s v="TKK-OTAK-NOHU"/>
    <s v="Nagykanizsa"/>
    <s v="Zala"/>
    <s v="Táncos Dominika"/>
    <s v="Magyarország"/>
    <d v="1997-12-05T00:00:00"/>
    <s v="T170215/FI80798"/>
    <x v="5"/>
    <s v="Állami ösztöndíjas"/>
    <s v="2020/21/1"/>
    <s v="Nappali"/>
    <n v="5"/>
    <n v="1"/>
    <s v="2021/22/2"/>
    <n v="10"/>
    <s v="73128736538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Nő"/>
    <n v="500000"/>
    <s v="domcsii234@gmail.com"/>
    <s v="Lakos Katalin"/>
    <n v="4"/>
    <s v="Aktív"/>
    <n v="4"/>
    <n v="4"/>
    <s v="magyar"/>
    <m/>
  </r>
  <r>
    <s v="Sábler Péter"/>
    <s v="TV0OVB"/>
    <s v="Aktív"/>
    <s v="osztatlan tanári [12 félév [német nyelv és kultúra tanára; történelemtanár és állampolgári ismeretek tanára]]"/>
    <x v="9"/>
    <s v="osztatlan tanárképzés"/>
    <s v="TKK-OTAK-NOHU"/>
    <s v="Szombathely"/>
    <s v="Vas"/>
    <s v="Sábler Péter"/>
    <s v="Magyarország"/>
    <d v="2001-11-01T00:00:00"/>
    <s v="T164822/FI80798"/>
    <x v="5"/>
    <s v="Állami ösztöndíjas"/>
    <s v="2020/21/1"/>
    <s v="Nappali"/>
    <n v="11"/>
    <n v="1"/>
    <s v="2021/22/2"/>
    <n v="10"/>
    <s v="71628236399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Férfi"/>
    <n v="500000"/>
    <s v="sabler.peti@gmail.com"/>
    <s v="Molnár Hajnalka"/>
    <n v="4"/>
    <s v="Aktív"/>
    <n v="4"/>
    <n v="4"/>
    <s v="magyar"/>
    <m/>
  </r>
  <r>
    <s v="Horváth Dániel"/>
    <s v="U1YVU6"/>
    <s v="Aktív"/>
    <s v="osztatlan tanári [12 félév [német nyelv és kultúra tanára; történelemtanár és állampolgári ismeretek tanára]]"/>
    <x v="9"/>
    <s v="osztatlan tanárképzés"/>
    <s v="TKK-OTAK-NOHU"/>
    <s v="Győr"/>
    <s v="Győr-Moson-Sopron"/>
    <s v="Horváth Dániel"/>
    <s v="Magyarország"/>
    <d v="2000-04-29T00:00:00"/>
    <s v="T162964/FI80798"/>
    <x v="5"/>
    <s v="Állami ösztöndíjas"/>
    <s v="2020/21/1"/>
    <s v="Nappali"/>
    <n v="11"/>
    <n v="1"/>
    <s v="2021/22/2"/>
    <n v="10"/>
    <s v="74156104965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Férfi"/>
    <n v="500000"/>
    <s v="nsoaif@gmail.com"/>
    <s v="Kosuth Krisztina"/>
    <n v="4"/>
    <s v="Aktív"/>
    <n v="4"/>
    <n v="4"/>
    <s v="magyar"/>
    <m/>
  </r>
  <r>
    <s v="Sipos Nikolett"/>
    <s v="ZHAQG2"/>
    <s v="Aktív"/>
    <s v="osztatlan tanári [12 félév [német nyelv és kultúra tanára; történelemtanár és állampolgári ismeretek tanára]]"/>
    <x v="9"/>
    <s v="osztatlan tanárképzés"/>
    <s v="TKK-OTAK-NOHU"/>
    <s v="Nagykanizsa"/>
    <s v="Zala"/>
    <s v="Sipos Nikolett"/>
    <s v="Magyarország"/>
    <d v="2002-12-02T00:00:00"/>
    <s v="T184412/FI80798"/>
    <x v="5"/>
    <s v="Állami ösztöndíjas"/>
    <s v="2021/22/1"/>
    <s v="Nappali"/>
    <n v="13"/>
    <n v="1"/>
    <s v="2021/22/2"/>
    <n v="10"/>
    <s v="71761201808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Nő"/>
    <n v="500000"/>
    <s v="siposniki02@gmail.com"/>
    <s v="Póka Ildikó"/>
    <n v="2"/>
    <s v="Aktív"/>
    <n v="2"/>
    <n v="2"/>
    <s v="magyar"/>
    <m/>
  </r>
  <r>
    <s v="Sipos Cintia Panna"/>
    <s v="IOIL3L"/>
    <s v="Aktív"/>
    <s v="osztatlan tanári [12 félév [német nyelv és kultúra tanára; történelemtanár és állampolgári ismeretek tanára]]"/>
    <x v="9"/>
    <s v="osztatlan tanárképzés"/>
    <s v="TKK-OTAK-NOHU"/>
    <s v="Körmend"/>
    <s v="Vas"/>
    <s v="Sipos Cintia Panna"/>
    <s v="Magyarország"/>
    <d v="2002-07-20T00:00:00"/>
    <s v="T182352/FI80798"/>
    <x v="5"/>
    <s v="Állami ösztöndíjas"/>
    <s v="2021/22/1"/>
    <s v="Nappali"/>
    <n v="13"/>
    <n v="1"/>
    <s v="2021/22/2"/>
    <n v="10"/>
    <s v="72144360127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Nő"/>
    <n v="500000"/>
    <s v="sipos200210@gmail.com"/>
    <s v="Varga Piroska"/>
    <n v="2"/>
    <s v="Aktív"/>
    <n v="2"/>
    <n v="2"/>
    <s v="magyar"/>
    <m/>
  </r>
  <r>
    <s v="Nagy Csenger Gyula"/>
    <s v="XFI7FC"/>
    <s v="Aktív"/>
    <s v="osztatlan tanári [12 félév [testnevelő tanár; történelemtanár és állampolgári ismeretek tanára]]"/>
    <x v="9"/>
    <s v="osztatlan tanárképzés"/>
    <s v="TKK-OTAK-NOHU"/>
    <s v="Celldömölk"/>
    <s v="Vas"/>
    <s v="Nagy Csenger Gyula"/>
    <s v="Magyarország"/>
    <d v="1999-12-23T00:00:00"/>
    <s v="T138575/FI80798"/>
    <x v="5"/>
    <s v="Állami ösztöndíjas"/>
    <s v="2018/19/1"/>
    <s v="Nappali"/>
    <n v="7"/>
    <n v="1"/>
    <s v="2021/22/2"/>
    <n v="10"/>
    <s v="79830296198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Férfi"/>
    <n v="400000"/>
    <s v="nagycsenger1999@freemail.hu"/>
    <s v="Ferencz Mirtill Veronika"/>
    <n v="8"/>
    <s v="Aktív"/>
    <n v="8"/>
    <n v="8"/>
    <s v="magyar"/>
    <m/>
  </r>
  <r>
    <s v="Klujber Kristóf"/>
    <s v="G1693E"/>
    <s v="Aktív"/>
    <s v="osztatlan tanári [12 félév [testnevelő tanár; történelemtanár és állampolgári ismeretek tanára]]"/>
    <x v="9"/>
    <s v="osztatlan tanárképzés"/>
    <s v="TKK-OTAK-NOHU"/>
    <s v="Székesfehérvár"/>
    <s v="Fejér"/>
    <s v="Klujber Kristóf"/>
    <s v="Magyarország"/>
    <d v="2000-11-30T00:00:00"/>
    <s v="T149629/FI80798"/>
    <x v="5"/>
    <s v="Állami ösztöndíjas"/>
    <s v="2019/20/1"/>
    <s v="Nappali"/>
    <n v="9"/>
    <n v="1"/>
    <s v="2021/22/2"/>
    <n v="10"/>
    <s v="74350816701"/>
    <n v="12"/>
    <x v="3"/>
    <m/>
    <m/>
    <m/>
    <m/>
    <s v="Képzésváltás intézményen belül"/>
    <d v="2019-09-14T00:00:00"/>
    <m/>
    <s v="BDPK-SEK"/>
    <s v="Eke Norbertné"/>
    <d v="2019-07-24T00:00:00"/>
    <d v="2025-07-15T00:00:00"/>
    <n v="500000"/>
    <m/>
    <n v="5"/>
    <s v="Férfi"/>
    <n v="500000"/>
    <s v="Kriannoka@gmail.com"/>
    <s v="Krausz Annamária"/>
    <n v="6"/>
    <s v="Aktív"/>
    <n v="6"/>
    <n v="6"/>
    <s v="magyar"/>
    <m/>
  </r>
  <r>
    <s v="Bolfán Ákos"/>
    <s v="R902ZU"/>
    <s v="Aktív"/>
    <s v="osztatlan tanári [12 félév [testnevelő tanár; történelemtanár és állampolgári ismeretek tanára]]"/>
    <x v="9"/>
    <s v="osztatlan tanárképzés"/>
    <s v="TKK-OTAK-NOHU"/>
    <s v="Szombathely"/>
    <s v="Vas"/>
    <s v="Bolfán Ákos"/>
    <s v="Magyarország"/>
    <d v="2001-10-08T00:00:00"/>
    <s v="T166286/FI80798"/>
    <x v="5"/>
    <s v="Állami ösztöndíjas"/>
    <s v="2020/21/1"/>
    <s v="Nappali"/>
    <n v="11"/>
    <n v="1"/>
    <s v="2021/22/2"/>
    <n v="10"/>
    <s v="71466274747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Férfi"/>
    <n v="500000"/>
    <s v="bolfiaki2001@gmail.com"/>
    <s v="Zarka Ildikó"/>
    <n v="4"/>
    <s v="Aktív"/>
    <n v="4"/>
    <n v="4"/>
    <s v="magyar"/>
    <m/>
  </r>
  <r>
    <s v="Gyallai Martin"/>
    <s v="GIOE35"/>
    <s v="Aktív"/>
    <s v="osztatlan tanári [12 félév [testnevelő tanár; történelemtanár és állampolgári ismeretek tanára]]"/>
    <x v="9"/>
    <s v="osztatlan tanárképzés"/>
    <s v="TKK-OTAK-NOHU"/>
    <s v="Szombathely"/>
    <s v="Vas"/>
    <s v="Gyallai Martin"/>
    <s v="Magyarország"/>
    <d v="2001-01-29T00:00:00"/>
    <s v="T168217/FI80798"/>
    <x v="5"/>
    <s v="Állami ösztöndíjas"/>
    <s v="2020/21/1"/>
    <s v="Nappali"/>
    <n v="11"/>
    <n v="1"/>
    <s v="2021/22/2"/>
    <n v="10"/>
    <s v="71466277014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Férfi"/>
    <n v="500000"/>
    <s v="gyallai01@gmail.com"/>
    <s v="Nádasdy Beatrix"/>
    <n v="4"/>
    <s v="Aktív"/>
    <n v="4"/>
    <n v="4"/>
    <s v="magyar"/>
    <m/>
  </r>
  <r>
    <s v="Pataki Botond"/>
    <s v="FNC3BL"/>
    <s v="Aktív"/>
    <s v="osztatlan tanári [12 félév [testnevelő tanár; történelemtanár és állampolgári ismeretek tanára]]"/>
    <x v="9"/>
    <s v="osztatlan tanárképzés"/>
    <s v="TKK-OTAK-NOHU"/>
    <s v="Marcali"/>
    <s v="Somogy"/>
    <s v="Pataki Botond"/>
    <s v="Magyarország"/>
    <d v="2000-09-07T00:00:00"/>
    <s v="T166409/FI80798"/>
    <x v="5"/>
    <s v="Állami ösztöndíjas"/>
    <s v="2020/21/1"/>
    <s v="Nappali"/>
    <n v="11"/>
    <n v="1"/>
    <s v="2021/22/2"/>
    <n v="10"/>
    <s v="77391112244"/>
    <n v="12"/>
    <x v="3"/>
    <m/>
    <m/>
    <m/>
    <m/>
    <s v="Képzésváltás intézményen belül"/>
    <d v="2020-09-14T00:00:00"/>
    <m/>
    <s v="BDPK-SEK"/>
    <s v="Eke Norbertné"/>
    <d v="2020-07-23T00:00:00"/>
    <d v="2026-07-15T00:00:00"/>
    <n v="500000"/>
    <m/>
    <n v="3"/>
    <s v="Férfi"/>
    <n v="500000"/>
    <s v="patakibotond99@gmail.com"/>
    <s v="Jandzsó Mónika"/>
    <n v="4"/>
    <s v="Aktív"/>
    <n v="4"/>
    <n v="4"/>
    <s v="magyar"/>
    <m/>
  </r>
  <r>
    <s v="Répás Soma"/>
    <s v="LV33P5"/>
    <s v="Aktív"/>
    <s v="osztatlan tanári [12 félév [testnevelő tanár; történelemtanár és állampolgári ismeretek tanára]]"/>
    <x v="9"/>
    <s v="osztatlan tanárképzés"/>
    <s v="TKK-OTAK-NOHU"/>
    <s v="Győr"/>
    <s v="Győr-Moson-Sopron"/>
    <s v="Répás Soma"/>
    <s v="Magyarország"/>
    <d v="2002-11-18T00:00:00"/>
    <s v="T181663/FI80798"/>
    <x v="5"/>
    <s v="Állami ösztöndíjas"/>
    <s v="2021/22/1"/>
    <s v="Nappali"/>
    <n v="13"/>
    <n v="1"/>
    <s v="2021/22/2"/>
    <n v="10"/>
    <s v="72311738737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Férfi"/>
    <n v="500000"/>
    <s v="r.s.wes.m@gmail.com"/>
    <s v="Vági Szilvia"/>
    <n v="2"/>
    <s v="Aktív"/>
    <n v="2"/>
    <n v="2"/>
    <s v="magyar"/>
    <m/>
  </r>
  <r>
    <s v="Varga Enikő"/>
    <s v="OKCMAM"/>
    <s v="Aktív"/>
    <s v="osztatlan tanári [12 félév [testnevelő tanár; történelemtanár és állampolgári ismeretek tanára]]"/>
    <x v="9"/>
    <s v="osztatlan tanárképzés"/>
    <s v="TKK-OTAK-NOHU"/>
    <s v="Keszthely"/>
    <s v="Zala"/>
    <s v="Varga Enikő"/>
    <s v="Magyarország"/>
    <d v="2000-09-13T00:00:00"/>
    <s v="T181845/FI80798"/>
    <x v="5"/>
    <s v="Állami ösztöndíjas"/>
    <s v="2021/22/1"/>
    <s v="Nappali"/>
    <n v="11"/>
    <n v="1"/>
    <s v="2021/22/2"/>
    <n v="10"/>
    <s v="71980068911"/>
    <n v="12"/>
    <x v="3"/>
    <m/>
    <m/>
    <m/>
    <m/>
    <s v="Képzésváltás intézményen belül"/>
    <d v="2021-09-13T00:00:00"/>
    <m/>
    <s v="BDPK-SEK"/>
    <s v="Eke Norbertné"/>
    <d v="2021-07-23T00:00:00"/>
    <d v="2027-07-15T00:00:00"/>
    <n v="500000"/>
    <m/>
    <n v="1"/>
    <s v="Nő"/>
    <n v="500000"/>
    <s v="veniko2104@gmail.com"/>
    <s v="Bogdán Zsuzsanna"/>
    <n v="2"/>
    <s v="Aktív"/>
    <n v="2"/>
    <n v="2"/>
    <s v="magyar"/>
    <m/>
  </r>
  <r>
    <s v="Sós Alexa"/>
    <s v="Y5FVW8"/>
    <s v="Aktív"/>
    <s v="osztatlan tanári [12 félév [történelemtanár és állampolgári ismeretek tanára; horvát és nemzetiségi horvát nyelv és kultúra tanára]]"/>
    <x v="11"/>
    <s v="osztatlan tanárképzés"/>
    <s v="TKK-OTAK-NOHU"/>
    <s v="Nagykanizsa"/>
    <s v="Zala"/>
    <s v="Sós Alexa"/>
    <s v="Magyarország"/>
    <d v="1999-07-19T00:00:00"/>
    <s v="T135427/FI80798"/>
    <x v="5"/>
    <s v="Állami ösztöndíjas"/>
    <s v="2018/19/1"/>
    <s v="Nappali"/>
    <n v="7"/>
    <n v="1"/>
    <s v="2021/22/2"/>
    <n v="10"/>
    <s v="76992889775"/>
    <n v="12"/>
    <x v="3"/>
    <m/>
    <m/>
    <m/>
    <m/>
    <s v="Képzésváltás intézményen belül"/>
    <d v="2018-09-06T00:00:00"/>
    <m/>
    <s v="BDPK-SEK"/>
    <s v="Eke Norbertné"/>
    <d v="2018-07-25T00:00:00"/>
    <d v="2024-06-30T00:00:00"/>
    <n v="400000"/>
    <m/>
    <n v="7"/>
    <s v="Nő"/>
    <n v="400000"/>
    <s v="alexaa.sos.eyyo@gmail.com"/>
    <s v="Kópé Lívia"/>
    <n v="8"/>
    <s v="Aktív"/>
    <n v="8"/>
    <n v="8"/>
    <s v="magyar"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526">
  <r>
    <m/>
    <x v="0"/>
    <x v="0"/>
    <x v="0"/>
    <m/>
    <x v="0"/>
    <x v="0"/>
    <m/>
    <s v="2.A ÖSSZEGEI"/>
    <s v="TERVEZETT"/>
    <m/>
    <m/>
    <m/>
    <s v="C131SANYI"/>
    <s v="D131SBIOL"/>
    <s v="D131SFIZT"/>
    <s v="D131SFOLD"/>
    <s v="D131SKEMT"/>
    <s v="C131SMIRT"/>
    <s v="C131SMNYT"/>
    <s v="D131SMATT"/>
    <s v="C131SVIZM"/>
    <s v="C131SNNYI"/>
    <s v="C131SSZLA"/>
    <s v="C131STORT"/>
    <s v="C131SZENE"/>
    <s v="N14803/17"/>
    <s v="C13101/17"/>
    <s v="D13101/17"/>
    <s v="N14804/17"/>
    <s v="SC10801/17"/>
    <s v="S39019/19"/>
    <s v="K04801/17"/>
    <s v="SC10901/18"/>
    <m/>
    <m/>
    <m/>
    <m/>
    <s v="U* BDPK"/>
    <s v="KOZTERSZH"/>
    <s v="AKTHSZHELY"/>
    <s v="K07002/17"/>
    <s v="R10601/18"/>
    <s v="K06301/19"/>
    <s v="RR9704/14"/>
    <s v="KK9702/16"/>
    <s v="KK9701/16"/>
    <s v="R13101/16"/>
    <s v="R13201/16"/>
    <s v="ANYKRIVIZS"/>
    <s v="T20102/18"/>
  </r>
  <r>
    <m/>
    <x v="0"/>
    <x v="0"/>
    <x v="0"/>
    <m/>
    <x v="0"/>
    <x v="0"/>
    <m/>
    <m/>
    <m/>
    <m/>
    <m/>
    <m/>
    <s v="C1201"/>
    <s v="D0671"/>
    <s v="D0674"/>
    <s v="D0673"/>
    <s v="D0672"/>
    <s v="C1203"/>
    <s v="C1204"/>
    <s v="D0675"/>
    <s v="C1205"/>
    <s v="C1202"/>
    <s v="C1206"/>
    <s v="C1207"/>
    <s v="C1208"/>
    <s v="N0636"/>
    <s v="C1200"/>
    <s v="D0670"/>
    <s v="S0000"/>
    <s v="C1200"/>
    <s v="S0000"/>
    <s v="S0000"/>
    <s v="S0000"/>
    <s v="S0000"/>
    <s v="S0000"/>
    <s v="S0000"/>
    <s v="S0000"/>
    <s v="S0000"/>
    <s v="S0000"/>
    <s v="S0000"/>
    <s v="S0000"/>
    <s v="S0000"/>
    <s v="S0000"/>
    <s v="S0000"/>
    <s v="S0000"/>
    <s v="S0000"/>
    <s v="S0000"/>
    <s v="S0000"/>
    <s v="S0000"/>
    <s v="S0000"/>
  </r>
  <r>
    <n v="2"/>
    <x v="1"/>
    <x v="1"/>
    <x v="0"/>
    <s v="Támogatás allokáció célszervezetre átoktatás után (2019. évi felosztási logika)"/>
    <x v="1"/>
    <x v="0"/>
    <s v="ÖSSZEGZŐ SOR"/>
    <n v="327432657.61872739"/>
    <n v="327432657.63100928"/>
    <n v="-1.2281894683837891E-2"/>
    <n v="327432657.63100928"/>
    <m/>
    <n v="90918134.668957964"/>
    <n v="10654288.941381192"/>
    <n v="1569444.573689163"/>
    <n v="18272964.318674561"/>
    <n v="5179913.0785105638"/>
    <n v="28126645.669710267"/>
    <n v="17414772.779293645"/>
    <n v="21374815.569439165"/>
    <n v="27947575.536446568"/>
    <n v="17271451.591497488"/>
    <n v="2611755.5682723564"/>
    <n v="78715524.109550804"/>
    <n v="6953135.528767406"/>
    <n v="422235.6968181238"/>
    <n v="0"/>
    <m/>
    <m/>
    <m/>
    <m/>
    <m/>
    <m/>
    <m/>
    <m/>
    <m/>
    <m/>
    <m/>
    <m/>
    <m/>
    <m/>
    <m/>
    <m/>
    <m/>
    <m/>
    <m/>
    <m/>
    <m/>
    <m/>
    <m/>
  </r>
  <r>
    <m/>
    <x v="2"/>
    <x v="1"/>
    <x v="1"/>
    <s v="Képzési támogatás tervezése képzési munkaszámokra"/>
    <x v="2"/>
    <x v="1"/>
    <s v="Működési költségvetés támogatása - Képzés"/>
    <n v="501177116.9025346"/>
    <n v="501177116.9025346"/>
    <n v="0"/>
    <n v="501177116.9025346"/>
    <m/>
    <m/>
    <m/>
    <m/>
    <m/>
    <m/>
    <m/>
    <m/>
    <m/>
    <m/>
    <m/>
    <m/>
    <m/>
    <m/>
    <m/>
    <m/>
    <m/>
    <m/>
    <m/>
    <m/>
    <m/>
    <m/>
    <m/>
    <m/>
    <m/>
    <n v="501177116.9025346"/>
    <m/>
    <m/>
    <m/>
    <m/>
    <m/>
    <m/>
    <m/>
    <m/>
    <m/>
    <m/>
    <m/>
    <m/>
    <m/>
  </r>
  <r>
    <m/>
    <x v="3"/>
    <x v="1"/>
    <x v="1"/>
    <s v="Átoktatás átadás, támogatás"/>
    <x v="2"/>
    <x v="2"/>
    <s v="T Átoktatásra támogatás ÁTADÁS"/>
    <n v="-183597963.39869905"/>
    <n v="-183597963.39869905"/>
    <n v="0"/>
    <n v="0"/>
    <m/>
    <m/>
    <m/>
    <m/>
    <m/>
    <m/>
    <m/>
    <m/>
    <m/>
    <m/>
    <m/>
    <m/>
    <m/>
    <m/>
    <m/>
    <m/>
    <m/>
    <m/>
    <m/>
    <m/>
    <m/>
    <m/>
    <m/>
    <m/>
    <m/>
    <n v="-183597963.39869905"/>
    <m/>
    <m/>
    <m/>
    <m/>
    <m/>
    <m/>
    <m/>
    <m/>
    <m/>
    <m/>
    <m/>
    <m/>
    <m/>
  </r>
  <r>
    <m/>
    <x v="4"/>
    <x v="1"/>
    <x v="0"/>
    <s v="Átoktatással csökkentett képzési támogatás áthozatala képzési munkaszámokról intézetekre / tanszékekre, általános munkaszámra, hivatalokra"/>
    <x v="3"/>
    <x v="3"/>
    <s v="T Képzési finanszírozás átadás"/>
    <n v="317579153.50383556"/>
    <n v="0"/>
    <n v="317579153.50383556"/>
    <n v="0"/>
    <s v="22.b2"/>
    <n v="65207698.598060034"/>
    <n v="6427045.2147043748"/>
    <n v="740075.66817632655"/>
    <n v="8973712.3724598382"/>
    <n v="2395213.4093032279"/>
    <n v="19757497.432151195"/>
    <n v="9147984.7106601801"/>
    <n v="9135645.0766503271"/>
    <n v="23828942.939640783"/>
    <n v="13331949.290311517"/>
    <n v="1644505.3382581924"/>
    <n v="53212430.265031092"/>
    <n v="4666868.9796446776"/>
    <n v="0"/>
    <n v="99109584.208783954"/>
    <m/>
    <m/>
    <m/>
    <m/>
    <m/>
    <m/>
    <m/>
    <m/>
    <m/>
    <n v="-317579153.50383556"/>
    <m/>
    <m/>
    <m/>
    <m/>
    <m/>
    <m/>
    <m/>
    <m/>
    <m/>
    <m/>
    <m/>
    <m/>
    <m/>
  </r>
  <r>
    <m/>
    <x v="4"/>
    <x v="1"/>
    <x v="0"/>
    <s v="Képzési támogatás felosztása általános munkaszámról intézetekre / tanszékekre"/>
    <x v="3"/>
    <x v="3"/>
    <s v="T Képzési finanszírozás átadás"/>
    <n v="0"/>
    <n v="0"/>
    <n v="0"/>
    <n v="0"/>
    <n v="3"/>
    <n v="25710436.070897929"/>
    <n v="3939502.301185973"/>
    <n v="829368.90551283641"/>
    <n v="7879004.602371946"/>
    <n v="1658737.8110256728"/>
    <n v="8190017.9419392589"/>
    <n v="8190017.9419392589"/>
    <n v="6634951.2441026913"/>
    <n v="3939502.301185973"/>
    <n v="3939502.301185973"/>
    <n v="622026.67913462734"/>
    <n v="25503093.844519719"/>
    <n v="2073422.263782091"/>
    <n v="0"/>
    <n v="-99109584.208783954"/>
    <m/>
    <m/>
    <m/>
    <m/>
    <m/>
    <m/>
    <m/>
    <m/>
    <m/>
    <m/>
    <m/>
    <m/>
    <m/>
    <m/>
    <m/>
    <m/>
    <m/>
    <m/>
    <m/>
    <m/>
    <m/>
    <m/>
    <m/>
  </r>
  <r>
    <m/>
    <x v="5"/>
    <x v="1"/>
    <x v="2"/>
    <s v="Átoktatás átvétel, támogatás"/>
    <x v="3"/>
    <x v="4"/>
    <s v="T Átoktatásra támogatás ÁTVÉTEL"/>
    <n v="9853504.1271735653"/>
    <n v="9853504.127173556"/>
    <n v="0"/>
    <n v="0"/>
    <s v="22.b3"/>
    <n v="0"/>
    <n v="0"/>
    <n v="0"/>
    <n v="1420247.3438427798"/>
    <n v="1125961.8581816633"/>
    <n v="179130.29561981006"/>
    <n v="76770.126694204315"/>
    <n v="5604219.2486861479"/>
    <n v="179130.29561981006"/>
    <n v="0"/>
    <n v="52127.258644110487"/>
    <n v="0"/>
    <n v="212844.28534063761"/>
    <n v="422235.6968181238"/>
    <n v="580837.71772626997"/>
    <m/>
    <m/>
    <m/>
    <m/>
    <m/>
    <m/>
    <m/>
    <m/>
    <m/>
    <m/>
    <m/>
    <m/>
    <m/>
    <m/>
    <m/>
    <m/>
    <m/>
    <m/>
    <m/>
    <m/>
    <m/>
    <m/>
    <m/>
  </r>
  <r>
    <m/>
    <x v="5"/>
    <x v="1"/>
    <x v="2"/>
    <s v="Átoktatás átvétel, támogatás felosztása általános munkaszámról intézetekre / tanszékekre"/>
    <x v="3"/>
    <x v="4"/>
    <s v="T Átoktatásra támogatás ÁTVÉTEL"/>
    <n v="0"/>
    <n v="0"/>
    <n v="0"/>
    <n v="0"/>
    <n v="12"/>
    <n v="0"/>
    <n v="287741.42549084366"/>
    <n v="0"/>
    <n v="0"/>
    <n v="0"/>
    <n v="0"/>
    <n v="0"/>
    <n v="0"/>
    <n v="0"/>
    <n v="0"/>
    <n v="293096.29223542631"/>
    <n v="0"/>
    <n v="0"/>
    <n v="0"/>
    <n v="-580837.71772626997"/>
    <m/>
    <m/>
    <m/>
    <m/>
    <m/>
    <m/>
    <m/>
    <m/>
    <m/>
    <m/>
    <m/>
    <m/>
    <m/>
    <m/>
    <m/>
    <m/>
    <m/>
    <m/>
    <m/>
    <m/>
    <m/>
    <m/>
    <m/>
  </r>
  <r>
    <n v="4"/>
    <x v="6"/>
    <x v="1"/>
    <x v="0"/>
    <s v="Képzési saját bevételek célszervezetre átoktatás után"/>
    <x v="1"/>
    <x v="0"/>
    <s v="ÖSSZEGZŐ SOR"/>
    <n v="59167227.113110729"/>
    <n v="59167227.113110714"/>
    <n v="0"/>
    <n v="59167227.113110714"/>
    <m/>
    <n v="13489854.173719266"/>
    <n v="2112605.3418527283"/>
    <n v="855591.98662747489"/>
    <n v="4331865.3833081983"/>
    <n v="2156187.4244080656"/>
    <n v="2737705.409806354"/>
    <n v="2424820.7912872238"/>
    <n v="14190088.39770326"/>
    <n v="2629342.5281948885"/>
    <n v="3008577.9388079289"/>
    <n v="139013.55434141494"/>
    <n v="10212311.502180019"/>
    <n v="879262.68087390321"/>
    <n v="0"/>
    <n v="0"/>
    <m/>
    <m/>
    <m/>
    <m/>
    <m/>
    <m/>
    <m/>
    <m/>
    <m/>
    <m/>
    <m/>
    <m/>
    <m/>
    <m/>
    <m/>
    <m/>
    <m/>
    <m/>
    <m/>
    <m/>
    <m/>
    <m/>
    <m/>
  </r>
  <r>
    <m/>
    <x v="7"/>
    <x v="1"/>
    <x v="3"/>
    <s v="Önköltséges képzési bevétel tervezése képzési munkaszámokra"/>
    <x v="2"/>
    <x v="5"/>
    <s v="Ell.díjak - Neptun - Önktg. Költségtérítés"/>
    <n v="63565000.000002176"/>
    <n v="63565000.000002176"/>
    <n v="0"/>
    <n v="63565000.000002176"/>
    <m/>
    <m/>
    <m/>
    <m/>
    <m/>
    <m/>
    <m/>
    <m/>
    <m/>
    <m/>
    <m/>
    <m/>
    <m/>
    <m/>
    <m/>
    <m/>
    <m/>
    <m/>
    <m/>
    <m/>
    <m/>
    <m/>
    <m/>
    <m/>
    <m/>
    <n v="63565000.000002176"/>
    <m/>
    <m/>
    <m/>
    <m/>
    <m/>
    <m/>
    <m/>
    <m/>
    <m/>
    <m/>
    <m/>
    <m/>
    <m/>
  </r>
  <r>
    <m/>
    <x v="8"/>
    <x v="1"/>
    <x v="3"/>
    <s v="Átoktatás átadás, önköltséges"/>
    <x v="2"/>
    <x v="6"/>
    <s v="SB Átoktatásra bevétel ÁTADÁS"/>
    <n v="-9687299.0856844168"/>
    <n v="-9687299.0856844168"/>
    <n v="0"/>
    <n v="0"/>
    <m/>
    <m/>
    <m/>
    <m/>
    <m/>
    <m/>
    <m/>
    <m/>
    <m/>
    <m/>
    <m/>
    <m/>
    <m/>
    <m/>
    <m/>
    <m/>
    <m/>
    <m/>
    <m/>
    <m/>
    <m/>
    <m/>
    <m/>
    <m/>
    <m/>
    <n v="-9687299.0856844168"/>
    <m/>
    <m/>
    <m/>
    <m/>
    <m/>
    <m/>
    <m/>
    <m/>
    <m/>
    <m/>
    <m/>
    <m/>
    <m/>
  </r>
  <r>
    <m/>
    <x v="9"/>
    <x v="1"/>
    <x v="0"/>
    <s v="Átoktatással csökkentett önköltséges képzési bevétel áthozatala képzési munkaszámokról intézetekre / tanszékekre, általános munkaszámra, hivatalokra"/>
    <x v="3"/>
    <x v="7"/>
    <s v="SB Képzési finanszírozás átadás"/>
    <n v="53877700.914317757"/>
    <n v="0"/>
    <n v="53877700.914317757"/>
    <n v="0"/>
    <s v="22.b2"/>
    <n v="7631959.404864056"/>
    <n v="1232186.1643571001"/>
    <n v="670240.58083892171"/>
    <n v="1978317.907934254"/>
    <n v="1673367.7933566354"/>
    <n v="907360.27764439094"/>
    <n v="531913.6270672133"/>
    <n v="8297140.1139270067"/>
    <n v="1748923.3506992606"/>
    <n v="2128158.7613123013"/>
    <n v="0"/>
    <n v="4512755.7741820076"/>
    <n v="415884.16640252003"/>
    <n v="0"/>
    <n v="22149492.991732113"/>
    <m/>
    <m/>
    <m/>
    <m/>
    <m/>
    <m/>
    <m/>
    <m/>
    <m/>
    <n v="-53877700.914317757"/>
    <m/>
    <m/>
    <m/>
    <m/>
    <m/>
    <m/>
    <m/>
    <m/>
    <m/>
    <m/>
    <m/>
    <m/>
    <m/>
  </r>
  <r>
    <m/>
    <x v="9"/>
    <x v="1"/>
    <x v="0"/>
    <s v="Önköltséges képzési bevétel felosztása általános munkaszámról intézetekre / tanszékekre"/>
    <x v="3"/>
    <x v="7"/>
    <s v="SB Képzési finanszírozás átadás"/>
    <n v="0"/>
    <n v="0"/>
    <n v="0"/>
    <n v="0"/>
    <n v="3"/>
    <n v="5745893.5794451507"/>
    <n v="880419.1774956279"/>
    <n v="185351.40578855324"/>
    <n v="1760838.3549912558"/>
    <n v="370702.81157710648"/>
    <n v="1830345.1321619633"/>
    <n v="1830345.1321619633"/>
    <n v="1482811.2463084259"/>
    <n v="880419.1774956279"/>
    <n v="880419.1774956279"/>
    <n v="139013.55434141494"/>
    <n v="5699555.7279980117"/>
    <n v="463378.51447138313"/>
    <n v="0"/>
    <n v="-22149492.991732113"/>
    <m/>
    <m/>
    <m/>
    <m/>
    <m/>
    <m/>
    <m/>
    <m/>
    <m/>
    <m/>
    <m/>
    <m/>
    <m/>
    <m/>
    <m/>
    <m/>
    <m/>
    <m/>
    <m/>
    <m/>
    <m/>
    <m/>
    <m/>
  </r>
  <r>
    <m/>
    <x v="10"/>
    <x v="1"/>
    <x v="4"/>
    <s v="Átoktatás átvétel, önköltséges bevétel"/>
    <x v="3"/>
    <x v="8"/>
    <s v="SB Átoktatásra bevétel ÁTVÉTEL"/>
    <n v="5289526.1987929475"/>
    <n v="5289526.1987929465"/>
    <n v="0"/>
    <n v="0"/>
    <s v="22.b3"/>
    <n v="112001.18941005845"/>
    <n v="0"/>
    <n v="0"/>
    <n v="592709.12038268894"/>
    <n v="112116.81947432355"/>
    <n v="0"/>
    <n v="62562.032058046934"/>
    <n v="4410137.037467829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m/>
    <x v="10"/>
    <x v="1"/>
    <x v="4"/>
    <s v="Átoktatás átvétel, önköltséges bevétel felosztása általános munkaszámról intézetekre / tanszékekre"/>
    <x v="3"/>
    <x v="8"/>
    <s v="SB Átoktatásra bevétel ÁTVÉTEL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n v="5"/>
    <x v="11"/>
    <x v="1"/>
    <x v="5"/>
    <s v="Egyéb saját bevételek"/>
    <x v="1"/>
    <x v="0"/>
    <s v="ÖSSZEGZŐ SOR"/>
    <n v="11236728.428310072"/>
    <n v="11236728"/>
    <n v="0.42831007204949856"/>
    <n v="11236728"/>
    <m/>
    <n v="0"/>
    <n v="0"/>
    <n v="0"/>
    <n v="0"/>
    <n v="0"/>
    <n v="0"/>
    <n v="0"/>
    <n v="0"/>
    <n v="0"/>
    <n v="0"/>
    <n v="0"/>
    <n v="0"/>
    <n v="0"/>
    <n v="0"/>
    <n v="0"/>
    <n v="0"/>
    <n v="7000000"/>
    <n v="0"/>
    <n v="0"/>
    <n v="0"/>
    <n v="0"/>
    <n v="0"/>
    <n v="0"/>
    <n v="0"/>
    <n v="0"/>
    <n v="4236728"/>
    <m/>
    <m/>
    <m/>
    <m/>
    <m/>
    <m/>
    <m/>
    <m/>
    <m/>
    <m/>
    <m/>
    <m/>
  </r>
  <r>
    <m/>
    <x v="0"/>
    <x v="0"/>
    <x v="0"/>
    <s v="Egyéb saját bevételek"/>
    <x v="3"/>
    <x v="0"/>
    <s v="ÖSSZESEN: töltendő, ha nincs alábontá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9"/>
    <s v="Vásárolt. saját előállítású  jegyzet. tankönyv értékesít.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10"/>
    <s v="Egyéb áru és készletértékesíté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11"/>
    <s v="Gyakorló kert bevételei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12"/>
    <s v="ÁRU-ÉS KÉSZLET ÉRTÉKESÍTÉS ELLENÉRTÉKE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13"/>
    <s v="Oktatási bevételek (tanfolyamok stb.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14"/>
    <s v="K + F tevékenység bevételei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15"/>
    <s v="Tárgyi eszköz bérbeadásából származó bevétel"/>
    <n v="4236728"/>
    <n v="4236728"/>
    <n v="0"/>
    <n v="4236728"/>
    <m/>
    <m/>
    <m/>
    <m/>
    <m/>
    <m/>
    <m/>
    <m/>
    <m/>
    <m/>
    <m/>
    <m/>
    <m/>
    <m/>
    <m/>
    <m/>
    <m/>
    <m/>
    <m/>
    <m/>
    <m/>
    <m/>
    <m/>
    <m/>
    <m/>
    <m/>
    <n v="4236728"/>
    <m/>
    <m/>
    <m/>
    <m/>
    <m/>
    <m/>
    <m/>
    <m/>
    <m/>
    <m/>
    <m/>
    <m/>
  </r>
  <r>
    <m/>
    <x v="0"/>
    <x v="0"/>
    <x v="0"/>
    <s v="Egyéb saját bevételek"/>
    <x v="3"/>
    <x v="16"/>
    <s v="Bérleti és lízing díjbevétele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17"/>
    <s v="Parkolási díjbevétel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18"/>
    <s v="Vendéglátók által üzem0101tett étterem. büfé bérleti díja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19"/>
    <s v="Kollégiumhasznosítással kapcs.bevételek (5% ÁFA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20"/>
    <s v="Egyéb szolgáltatások bevételei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21"/>
    <s v="Étkezési térítési díj (alkalmazotti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22"/>
    <s v="Lakbér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23"/>
    <s v="Üdülési díj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24"/>
    <s v="SZOLGÁLTATÁSOK ELLENÉRTÉKE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25"/>
    <s v="Közvetített szolgáltatások ellenértéke ÁH-n belül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26"/>
    <s v="Közvetített szolgáltatások ellenértéke ÁH-n kívül (Áfa mentes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27"/>
    <s v="KÖZVETÍTETT SZOLGÁLTATÁSOK BEVÉTELE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28"/>
    <s v="Ell.díjak - Köznevelési ell. - Óvodai ellátottak térítési díja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29"/>
    <s v="Ell.díjak - Köznevelési ell. - Általános iskolások étkezési díja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30"/>
    <s v="Ell.díjak - Köznevelési ell. - Középiskolások étkezési díja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5"/>
    <s v="Ell.díjak - Neptun - Önktg. Költségtérítés"/>
    <n v="5400000"/>
    <n v="5400000"/>
    <n v="0"/>
    <n v="5400000"/>
    <m/>
    <m/>
    <m/>
    <m/>
    <m/>
    <m/>
    <m/>
    <m/>
    <m/>
    <m/>
    <m/>
    <m/>
    <m/>
    <m/>
    <m/>
    <m/>
    <m/>
    <n v="5400000"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31"/>
    <s v="Ell.díjak-Neptun-Egyéb szolg.d.- Felv.iratk.díjak (regiszt.) KTGTÉR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32"/>
    <s v="Ell.díjak-Neptun-Egyéb szolg.d.-Tantárgyi vizsgaismétlési díj (UV díj)"/>
    <n v="450000"/>
    <n v="450000"/>
    <n v="0"/>
    <n v="450000"/>
    <m/>
    <m/>
    <m/>
    <m/>
    <m/>
    <m/>
    <m/>
    <m/>
    <m/>
    <m/>
    <m/>
    <m/>
    <m/>
    <m/>
    <m/>
    <m/>
    <m/>
    <n v="450000"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33"/>
    <s v="Ell.díjak-Neptun-Egyéb szolg.d. - Tantárgyismétlési díj"/>
    <n v="120000"/>
    <n v="120000"/>
    <n v="0"/>
    <n v="120000"/>
    <m/>
    <m/>
    <m/>
    <m/>
    <m/>
    <m/>
    <m/>
    <m/>
    <m/>
    <m/>
    <m/>
    <m/>
    <m/>
    <m/>
    <m/>
    <m/>
    <m/>
    <n v="120000"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34"/>
    <s v="Ell.díjak-Neptun-Egyéb szolg.d.-Oklevél, diplomakiállítási díj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35"/>
    <s v="Ell.díjak-Neptun-Egyéb szolg.d.-Kredittúllépés, kreditkihagyási díj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36"/>
    <s v="Ell.díjak-Neptun-Egyéb szolg.d. - Nyelvvizsga díj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37"/>
    <s v="Ell.díjak-Neptun-Egyéb szolg.d. - Utólagos kurzusfelvétel. leadá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38"/>
    <s v="Ell.díjak-Neptun-Egyéb szolg.d. - Késedelmes leadás. felvétel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39"/>
    <s v="Ell.díjak-Neptun-Egyéb szolg.d. - Késedelmes befizeté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40"/>
    <s v="Ell.díjak-Neptun-Egyéb szolg.d.-Kreditenkénti költségtérítés - túlfutó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41"/>
    <s v="Ell.díjak-Neptun-Egyéb szolg.d.- Doktori eljárási díja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42"/>
    <s v="Ell.díjak-Neptun-Egyéb szolg.d.-Egyéb különeljárási és késedelmi díjak"/>
    <n v="1030000"/>
    <n v="1030000"/>
    <n v="0"/>
    <n v="1030000"/>
    <m/>
    <m/>
    <m/>
    <m/>
    <m/>
    <m/>
    <m/>
    <m/>
    <m/>
    <m/>
    <m/>
    <m/>
    <m/>
    <m/>
    <m/>
    <m/>
    <m/>
    <n v="1030000"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43"/>
    <s v="Ell.díjak - Neptun - Kollégiumi bevétele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44"/>
    <s v="Ell.díjak - NEM Neptun -Habilitációs díja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45"/>
    <s v="Ell.díjak - NEM Neptun rendszeren keresztül beszedett bev.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46"/>
    <s v="ELLÁTÁSI DÍJA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47"/>
    <s v="Egyenes adós ÁFA anyag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48"/>
    <s v="Egyenes adós ÁFA szolgáltatá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m/>
    <m/>
    <m/>
    <m/>
    <m/>
    <m/>
    <m/>
    <m/>
    <m/>
  </r>
  <r>
    <m/>
    <x v="0"/>
    <x v="0"/>
    <x v="0"/>
    <s v="Egyéb saját bevételek"/>
    <x v="3"/>
    <x v="49"/>
    <s v="Egyenes adós ÁFA beruházás (Értékesített t.eszk.áfa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50"/>
    <s v="KISZÁMLÁZOTT ÁFA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51"/>
    <s v="Működési kiadásokhoz kapcs ÁFA visszatér bev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52"/>
    <s v="ÁFA VISSZATÉRÜLÉ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53"/>
    <s v="Áht kiv. egyéb kamat-, kamatjellegű e/bevét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54"/>
    <s v="KAMATBEVÉTELE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55"/>
    <s v="Évközi realizált árf. nyereség AUT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56"/>
    <s v="Évközi realizált árf. nyereség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57"/>
    <s v="Egyéb pénzügyi műv.e.eredmsz.bevétele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58"/>
    <s v="EGYÉB PÉNZÜGYI MŰVELETEK BEVÉTELEI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59"/>
    <s v="Biztosító által fizetett kártéríté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6"/>
    <x v="12"/>
    <x v="1"/>
    <x v="0"/>
    <s v="Egyéb finanszírozású költségvetési bevétel allokáció célszervezetre"/>
    <x v="1"/>
    <x v="0"/>
    <s v="ÖSSZEGZŐ SOR"/>
    <n v="-570048.3691720824"/>
    <n v="-570049.74089045811"/>
    <n v="1.3717183757107705"/>
    <n v="-570049.74089045811"/>
    <m/>
    <n v="-89258.301733116066"/>
    <n v="-50207.232224877785"/>
    <n v="-11157.162716639508"/>
    <n v="-55785.813583197538"/>
    <n v="-22314.325433279017"/>
    <n v="-33471.488149918521"/>
    <n v="-16735.744074959261"/>
    <n v="-70249.488149918529"/>
    <n v="-44628.650866558033"/>
    <n v="-44628.650866558033"/>
    <n v="-22314.325433279017"/>
    <n v="-81405.650866558033"/>
    <n v="-27892.906791598769"/>
    <n v="0"/>
    <n v="0"/>
    <m/>
    <m/>
    <m/>
    <m/>
    <m/>
    <m/>
    <m/>
    <m/>
    <m/>
    <m/>
    <m/>
    <m/>
    <m/>
    <m/>
    <m/>
    <m/>
    <m/>
    <m/>
    <m/>
    <m/>
    <m/>
    <m/>
    <m/>
  </r>
  <r>
    <m/>
    <x v="13"/>
    <x v="1"/>
    <x v="6"/>
    <s v="Egyéb finanszírozású képzési bevétel tervezése képzési munkaszámokra"/>
    <x v="2"/>
    <x v="5"/>
    <s v="Ell.díjak - Neptun - Önktg. Költségtérítés"/>
    <n v="-2.2117455955594778E-6"/>
    <n v="-2.2117455955594778E-6"/>
    <n v="0"/>
    <n v="-2.2117455955594778E-6"/>
    <m/>
    <m/>
    <m/>
    <m/>
    <m/>
    <m/>
    <m/>
    <m/>
    <m/>
    <m/>
    <m/>
    <m/>
    <m/>
    <m/>
    <m/>
    <m/>
    <m/>
    <m/>
    <m/>
    <m/>
    <m/>
    <m/>
    <m/>
    <m/>
    <m/>
    <n v="-2.2117455955594778E-6"/>
    <m/>
    <m/>
    <m/>
    <m/>
    <m/>
    <m/>
    <m/>
    <m/>
    <m/>
    <m/>
    <m/>
    <m/>
    <m/>
  </r>
  <r>
    <m/>
    <x v="14"/>
    <x v="1"/>
    <x v="6"/>
    <s v="Átoktatás átadás, egyéb finanszírozású bevétel"/>
    <x v="2"/>
    <x v="6"/>
    <s v="SB Átoktatásra bevétel ÁTADÁS"/>
    <n v="-570048.36916987062"/>
    <n v="-570048.36916987062"/>
    <n v="0"/>
    <n v="0"/>
    <m/>
    <m/>
    <m/>
    <m/>
    <m/>
    <m/>
    <m/>
    <m/>
    <m/>
    <m/>
    <m/>
    <m/>
    <m/>
    <m/>
    <m/>
    <m/>
    <m/>
    <m/>
    <m/>
    <m/>
    <m/>
    <m/>
    <m/>
    <m/>
    <m/>
    <n v="-570048.36916987062"/>
    <m/>
    <m/>
    <m/>
    <m/>
    <m/>
    <m/>
    <m/>
    <m/>
    <m/>
    <m/>
    <m/>
    <m/>
    <m/>
  </r>
  <r>
    <m/>
    <x v="15"/>
    <x v="1"/>
    <x v="0"/>
    <s v="Átoktatással csökkentett egyéb finanszírozású képzési bevétel áthozatala képzési munkaszámokról intézetekre / tanszékekre, általános munkaszámra, hivatalokra"/>
    <x v="3"/>
    <x v="7"/>
    <s v="SB Képzési finanszírozás átadás"/>
    <n v="-570048.3691720824"/>
    <n v="-0.37171837571077049"/>
    <n v="-570047.99745370669"/>
    <n v="-0.37171837571077049"/>
    <s v="22.b2"/>
    <n v="0"/>
    <n v="0"/>
    <n v="0"/>
    <n v="0"/>
    <n v="0"/>
    <n v="0"/>
    <n v="0"/>
    <n v="-36778"/>
    <n v="0"/>
    <n v="0"/>
    <n v="0"/>
    <n v="-36777"/>
    <n v="0"/>
    <n v="0"/>
    <n v="-496493.74089045811"/>
    <m/>
    <m/>
    <m/>
    <m/>
    <m/>
    <m/>
    <m/>
    <m/>
    <m/>
    <n v="570048.3691720824"/>
    <m/>
    <m/>
    <m/>
    <m/>
    <m/>
    <m/>
    <m/>
    <m/>
    <m/>
    <m/>
    <m/>
    <m/>
    <m/>
  </r>
  <r>
    <m/>
    <x v="15"/>
    <x v="1"/>
    <x v="0"/>
    <s v="Egyéb finanszírozású képzési bevétel felosztása általános munkaszámról intézetekre / tanszékekre"/>
    <x v="3"/>
    <x v="7"/>
    <s v="SB Képzési finanszírozás átadás"/>
    <n v="0"/>
    <n v="0"/>
    <n v="0"/>
    <n v="0"/>
    <n v="2"/>
    <n v="-89257.301733116066"/>
    <n v="-50207.232224877785"/>
    <n v="-11157.162716639508"/>
    <n v="-55785.813583197538"/>
    <n v="-22314.325433279017"/>
    <n v="-33471.488149918521"/>
    <n v="-16735.744074959261"/>
    <n v="-33471.488149918521"/>
    <n v="-44628.650866558033"/>
    <n v="-44628.650866558033"/>
    <n v="-22314.325433279017"/>
    <n v="-44628.650866558033"/>
    <n v="-27892.906791598769"/>
    <n v="0"/>
    <n v="496493.74089045811"/>
    <m/>
    <m/>
    <m/>
    <m/>
    <m/>
    <m/>
    <m/>
    <m/>
    <m/>
    <m/>
    <m/>
    <m/>
    <m/>
    <m/>
    <m/>
    <m/>
    <m/>
    <m/>
    <m/>
    <m/>
    <m/>
    <m/>
    <m/>
  </r>
  <r>
    <m/>
    <x v="16"/>
    <x v="1"/>
    <x v="7"/>
    <s v="Átoktatás átvétel, egyéb finanszírozású bevétel"/>
    <x v="3"/>
    <x v="8"/>
    <s v="SB Átoktatásra bevétel ÁTVÉTEL"/>
    <n v="0"/>
    <n v="0"/>
    <n v="0"/>
    <n v="0"/>
    <s v="22.b3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m/>
    <x v="16"/>
    <x v="1"/>
    <x v="7"/>
    <s v="Átoktatás átvétel, egyéb finanszírozású bevétel felosztása általános munkaszámról intézetekre / tanszékekre"/>
    <x v="3"/>
    <x v="8"/>
    <s v="SB Átoktatásra bevétel ÁTVÉTEL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7. a)"/>
    <x v="17"/>
    <x v="1"/>
    <x v="8"/>
    <s v="Oktatói béremelés fedezete (2018. évi arányban)"/>
    <x v="1"/>
    <x v="60"/>
    <s v="Működési költségvetés támogatása - Céltámogatás"/>
    <n v="79837000"/>
    <n v="79837000"/>
    <n v="0"/>
    <n v="79837000"/>
    <n v="2"/>
    <n v="14352719.101123596"/>
    <n v="8073404.4943820219"/>
    <n v="1794089.8876404495"/>
    <n v="8970449.438202247"/>
    <n v="3588179.7752808989"/>
    <n v="5382269.6629213486"/>
    <n v="2691134.8314606743"/>
    <n v="5382269.6629213486"/>
    <n v="7176359.5505617978"/>
    <n v="7176359.5505617978"/>
    <n v="3588179.7752808989"/>
    <n v="7176359.5505617978"/>
    <n v="4485224.7191011235"/>
    <n v="0"/>
    <n v="0"/>
    <n v="0"/>
    <n v="0"/>
    <n v="0"/>
    <n v="0"/>
    <n v="0"/>
    <n v="0"/>
    <m/>
    <m/>
    <m/>
    <m/>
    <m/>
    <m/>
    <m/>
    <m/>
    <m/>
    <m/>
    <m/>
    <m/>
    <m/>
    <m/>
    <m/>
    <m/>
    <m/>
  </r>
  <r>
    <s v="7. b)"/>
    <x v="18"/>
    <x v="1"/>
    <x v="9"/>
    <s v="Béremelés 2021-2022 itt lévő része"/>
    <x v="1"/>
    <x v="60"/>
    <s v="Működési költségvetés támogatása - Céltámogatás"/>
    <n v="113507670"/>
    <n v="113507670.00000001"/>
    <n v="0"/>
    <n v="113507670.00000001"/>
    <n v="1"/>
    <n v="18531864.489795916"/>
    <n v="10424173.775510205"/>
    <n v="2316483.0612244895"/>
    <n v="11582415.30612245"/>
    <n v="4632966.1224489789"/>
    <n v="6949449.1836734693"/>
    <n v="3474724.5918367347"/>
    <n v="6949449.1836734693"/>
    <n v="9265932.2448979579"/>
    <n v="9265932.2448979579"/>
    <n v="4632966.1224489789"/>
    <n v="9265932.2448979579"/>
    <n v="5791207.6530612251"/>
    <n v="10424173.775510205"/>
    <n v="0"/>
    <n v="0"/>
    <n v="0"/>
    <n v="0"/>
    <n v="0"/>
    <n v="0"/>
    <n v="0"/>
    <m/>
    <m/>
    <m/>
    <m/>
    <m/>
    <m/>
    <m/>
    <m/>
    <m/>
    <m/>
    <m/>
    <m/>
    <m/>
    <m/>
    <m/>
    <m/>
    <m/>
  </r>
  <r>
    <n v="8"/>
    <x v="19"/>
    <x v="1"/>
    <x v="0"/>
    <s v="ÁKTH alá tartozó speciális feladatok"/>
    <x v="1"/>
    <x v="0"/>
    <s v="ÖSSZEGZŐ SOR"/>
    <n v="198013266"/>
    <n v="198013265.67018491"/>
    <n v="0.3298150897026062"/>
    <n v="198013265.67018491"/>
    <m/>
    <n v="45530663.952819511"/>
    <n v="8450708.3413272444"/>
    <n v="2026981.7514136254"/>
    <n v="9647120.0006797127"/>
    <n v="3688121.9355359394"/>
    <n v="7026035.9697434315"/>
    <n v="8919928.1556080393"/>
    <n v="9129624.9816684742"/>
    <n v="31243003.021789666"/>
    <n v="16696211.146105004"/>
    <n v="22689879.666103214"/>
    <n v="23102934.919150621"/>
    <n v="8859028.2772200219"/>
    <n v="1003023.5510204082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m/>
    <x v="20"/>
    <x v="1"/>
    <x v="10"/>
    <s v="Szombathelyi képzések fejlesztése "/>
    <x v="3"/>
    <x v="60"/>
    <s v="Működési költségvetés támogatása - Céltámogatás"/>
    <n v="119305000"/>
    <n v="119305000"/>
    <n v="0"/>
    <n v="119305000"/>
    <n v="7"/>
    <n v="32236990.639894336"/>
    <n v="7447684.7903068354"/>
    <n v="1804087.6289646458"/>
    <n v="8532649.3884348143"/>
    <n v="3242333.6906379801"/>
    <n v="6357353.6023964928"/>
    <n v="4748746.8608234599"/>
    <n v="8460942.6143215355"/>
    <n v="13618577.943456538"/>
    <n v="8130954.4340868639"/>
    <n v="2815518.5287981168"/>
    <n v="18374518.318243589"/>
    <n v="3534641.5596347833"/>
    <n v="0"/>
    <n v="0"/>
    <m/>
    <m/>
    <m/>
    <m/>
    <m/>
    <m/>
    <m/>
    <m/>
    <m/>
    <m/>
    <m/>
    <m/>
    <m/>
    <m/>
    <m/>
    <m/>
    <m/>
    <m/>
    <m/>
    <m/>
    <m/>
    <m/>
    <m/>
  </r>
  <r>
    <m/>
    <x v="21"/>
    <x v="1"/>
    <x v="11"/>
    <s v="Kis szakok"/>
    <x v="3"/>
    <x v="60"/>
    <s v="Működési költségvetés támogatása - Céltámogatás"/>
    <n v="8344435.7976653697"/>
    <n v="8344435.7976653697"/>
    <n v="0"/>
    <n v="8344435.7976653697"/>
    <n v="5"/>
    <n v="0"/>
    <n v="0"/>
    <n v="0"/>
    <n v="0"/>
    <n v="0"/>
    <n v="0"/>
    <n v="0"/>
    <n v="0"/>
    <n v="0"/>
    <n v="0"/>
    <n v="8344435.7976653697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m/>
    <x v="22"/>
    <x v="1"/>
    <x v="12"/>
    <s v="Nemzetiségi képzés"/>
    <x v="3"/>
    <x v="60"/>
    <s v="Működési költségvetés támogatása - Céltámogatás"/>
    <n v="3410456.8725195429"/>
    <n v="3410456.8725195429"/>
    <n v="0"/>
    <n v="3410456.8725195429"/>
    <n v="5"/>
    <n v="0"/>
    <n v="0"/>
    <n v="0"/>
    <n v="0"/>
    <n v="0"/>
    <n v="0"/>
    <n v="0"/>
    <n v="0"/>
    <n v="0"/>
    <n v="0"/>
    <n v="3410456.8725195429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m/>
    <x v="23"/>
    <x v="1"/>
    <x v="13"/>
    <s v="Kötelező minimálbér, garantált bérminimum kiegészítés"/>
    <x v="3"/>
    <x v="60"/>
    <s v="Működési költségvetés támogatása - Céltámogatás"/>
    <n v="10921812"/>
    <n v="10921811.999999998"/>
    <n v="0"/>
    <n v="10921811.999999998"/>
    <n v="1"/>
    <n v="1783152.9795918367"/>
    <n v="1003023.5510204082"/>
    <n v="222894.12244897959"/>
    <n v="1114470.612244898"/>
    <n v="445788.24489795917"/>
    <n v="668682.36734693882"/>
    <n v="334341.18367346941"/>
    <n v="668682.36734693882"/>
    <n v="891576.48979591834"/>
    <n v="891576.48979591834"/>
    <n v="445788.24489795917"/>
    <n v="891576.48979591834"/>
    <n v="557235.30612244899"/>
    <n v="1003023.5510204082"/>
    <n v="0"/>
    <m/>
    <m/>
    <m/>
    <m/>
    <m/>
    <m/>
    <m/>
    <m/>
    <m/>
    <m/>
    <m/>
    <m/>
    <m/>
    <m/>
    <m/>
    <m/>
    <m/>
    <m/>
    <m/>
    <m/>
    <m/>
    <m/>
    <m/>
  </r>
  <r>
    <m/>
    <x v="24"/>
    <x v="1"/>
    <x v="14"/>
    <s v="Anyanyelvi lektorok"/>
    <x v="3"/>
    <x v="60"/>
    <s v="Működési költségvetés támogatása - Céltámogatás"/>
    <n v="34531561"/>
    <n v="34531561"/>
    <n v="0"/>
    <n v="34531561"/>
    <n v="4"/>
    <n v="11510520.333333332"/>
    <n v="0"/>
    <n v="0"/>
    <n v="0"/>
    <n v="0"/>
    <n v="0"/>
    <n v="3836840.111111111"/>
    <n v="0"/>
    <n v="0"/>
    <n v="7673680.222222222"/>
    <n v="7673680.222222222"/>
    <n v="3836840.111111111"/>
    <n v="0"/>
    <n v="0"/>
    <n v="0"/>
    <m/>
    <m/>
    <m/>
    <m/>
    <m/>
    <m/>
    <m/>
    <m/>
    <m/>
    <m/>
    <m/>
    <m/>
    <m/>
    <m/>
    <m/>
    <m/>
    <m/>
    <m/>
    <m/>
    <m/>
    <m/>
    <m/>
    <m/>
  </r>
  <r>
    <m/>
    <x v="25"/>
    <x v="1"/>
    <x v="15"/>
    <s v="Művészeti gyakorlóhely"/>
    <x v="3"/>
    <x v="60"/>
    <s v="Működési költségvetés támogatása - Céltámogatás"/>
    <n v="21500000"/>
    <n v="21500000"/>
    <n v="0"/>
    <n v="21500000"/>
    <n v="8"/>
    <n v="0"/>
    <n v="0"/>
    <n v="0"/>
    <n v="0"/>
    <n v="0"/>
    <n v="0"/>
    <n v="0"/>
    <n v="0"/>
    <n v="16732848.588537211"/>
    <n v="0"/>
    <n v="0"/>
    <n v="0"/>
    <n v="4767151.4114627885"/>
    <n v="0"/>
    <n v="0"/>
    <m/>
    <m/>
    <m/>
    <m/>
    <m/>
    <m/>
    <m/>
    <m/>
    <m/>
    <m/>
    <m/>
    <m/>
    <m/>
    <m/>
    <m/>
    <m/>
    <m/>
    <m/>
    <m/>
    <m/>
    <m/>
    <m/>
    <m/>
  </r>
  <r>
    <m/>
    <x v="26"/>
    <x v="2"/>
    <x v="16"/>
    <s v="ÁKTH alapja"/>
    <x v="0"/>
    <x v="0"/>
    <m/>
    <n v="788624500.79097605"/>
    <n v="788624498.67341447"/>
    <n v="2.1175616427790374"/>
    <n v="788624498.67341447"/>
    <m/>
    <n v="182733978.08468315"/>
    <n v="39664973.662228517"/>
    <n v="8551434.0978785623"/>
    <n v="52749028.633403972"/>
    <n v="19223054.010751165"/>
    <n v="50188634.407704957"/>
    <n v="34908645.405411355"/>
    <n v="56955998.307255805"/>
    <n v="78217584.231024325"/>
    <n v="53373903.821003616"/>
    <n v="33639480.361013584"/>
    <n v="128391656.67547464"/>
    <n v="26939965.952232081"/>
    <n v="11849433.023348738"/>
    <n v="0"/>
    <n v="0"/>
    <n v="7000000"/>
    <n v="0"/>
    <n v="0"/>
    <n v="0"/>
    <n v="0"/>
    <n v="0"/>
    <n v="0"/>
    <n v="0"/>
    <n v="0"/>
    <n v="4236728"/>
    <n v="0"/>
    <n v="0"/>
    <n v="0"/>
    <n v="0"/>
    <n v="0"/>
    <n v="0"/>
    <n v="0"/>
    <n v="0"/>
    <n v="0"/>
    <n v="0"/>
    <n v="0"/>
    <n v="0"/>
  </r>
  <r>
    <n v="10"/>
    <x v="27"/>
    <x v="1"/>
    <x v="17"/>
    <s v="Szombathelyi működésre ÁKTH elvonás 19 %"/>
    <x v="1"/>
    <x v="0"/>
    <s v="ÖSSZEGZŐ SOR"/>
    <n v="-149838655.15028545"/>
    <n v="-149838654.74794871"/>
    <n v="-0.40233674645423889"/>
    <n v="0.40233677625656128"/>
    <m/>
    <n v="-34719455.83608979"/>
    <n v="-7536344.9958234169"/>
    <n v="-1624772.4785969269"/>
    <n v="-10022315.440346755"/>
    <n v="-3652380.2620427217"/>
    <n v="-9535840.5374639407"/>
    <n v="-6632642.6270281579"/>
    <n v="-10821639.678378602"/>
    <n v="-14861341.00389462"/>
    <n v="-10141041.725990688"/>
    <n v="-6391501.2685925812"/>
    <n v="-24394414.768340182"/>
    <n v="-5118593.5309240958"/>
    <n v="-2251392.2744362601"/>
    <n v="0"/>
    <n v="0"/>
    <n v="-1330000"/>
    <n v="0"/>
    <n v="0"/>
    <n v="0"/>
    <n v="0"/>
    <n v="0"/>
    <n v="0"/>
    <n v="0"/>
    <n v="0"/>
    <n v="-804978.32000000007"/>
    <m/>
    <n v="149838655.15028548"/>
    <m/>
    <m/>
    <m/>
    <m/>
    <m/>
    <m/>
    <m/>
    <m/>
    <m/>
    <m/>
  </r>
  <r>
    <m/>
    <x v="0"/>
    <x v="0"/>
    <x v="0"/>
    <s v="Szombathelyi működésre ÁKTH elvonás 19 %"/>
    <x v="3"/>
    <x v="61"/>
    <s v="SB ÁKTH ÁTADÁS"/>
    <n v="-13268442.362727256"/>
    <n v="-13268442.020721851"/>
    <n v="-0.342005405575037"/>
    <n v="0.342005405575037"/>
    <m/>
    <n v="-2546113.2156773685"/>
    <n v="-391855.6408292916"/>
    <n v="-160442.61654305874"/>
    <n v="-812455.11824775022"/>
    <n v="-405435.88880520948"/>
    <n v="-513804.44511472271"/>
    <n v="-457536.15897033026"/>
    <n v="-2682769.392815135"/>
    <n v="-491095.6366923828"/>
    <n v="-563150.36470886052"/>
    <n v="-22172.853492545826"/>
    <n v="-1924872.1117495575"/>
    <n v="-161760.25707563784"/>
    <n v="0"/>
    <n v="0"/>
    <n v="0"/>
    <n v="-1330000"/>
    <n v="0"/>
    <n v="0"/>
    <n v="0"/>
    <n v="0"/>
    <n v="0"/>
    <n v="0"/>
    <n v="0"/>
    <n v="0"/>
    <n v="-804978.32000000007"/>
    <m/>
    <n v="13268442.362727256"/>
    <m/>
    <m/>
    <m/>
    <m/>
    <m/>
    <m/>
    <m/>
    <m/>
    <m/>
    <m/>
  </r>
  <r>
    <m/>
    <x v="0"/>
    <x v="0"/>
    <x v="0"/>
    <s v="Szombathelyi működésre ÁKTH elvonás 19 %"/>
    <x v="3"/>
    <x v="62"/>
    <s v="T ÁKTH ÁTADÁS"/>
    <n v="-136570212.78755823"/>
    <n v="-136570212.72722691"/>
    <n v="-6.03313148021698E-2"/>
    <n v="6.03313148021698E-2"/>
    <m/>
    <n v="-32173342.620412424"/>
    <n v="-7144489.3549941257"/>
    <n v="-1464329.8620538681"/>
    <n v="-9209860.3220990039"/>
    <n v="-3246944.3732375121"/>
    <n v="-9022036.0923492182"/>
    <n v="-6175106.468057828"/>
    <n v="-8138870.2855634671"/>
    <n v="-14370245.367202237"/>
    <n v="-9577891.3612818271"/>
    <n v="-6369328.4151000353"/>
    <n v="-22469542.656590626"/>
    <n v="-4956833.2738484582"/>
    <n v="-2251392.2744362601"/>
    <n v="0"/>
    <n v="0"/>
    <n v="0"/>
    <n v="0"/>
    <n v="0"/>
    <n v="0"/>
    <n v="0"/>
    <n v="0"/>
    <n v="0"/>
    <n v="0"/>
    <n v="0"/>
    <n v="0"/>
    <m/>
    <n v="136570212.78755823"/>
    <m/>
    <m/>
    <m/>
    <m/>
    <m/>
    <m/>
    <m/>
    <m/>
    <m/>
    <m/>
  </r>
  <r>
    <n v="11"/>
    <x v="28"/>
    <x v="1"/>
    <x v="18"/>
    <s v="Egyetemi kiválósági alap elvonás -1%"/>
    <x v="1"/>
    <x v="0"/>
    <s v="ÖSSZEGZŐ SOR"/>
    <n v="-3943122.5039548804"/>
    <n v="-3943122.4933670722"/>
    <n v="-1.0587808210402727E-2"/>
    <n v="1.0587808210402727E-2"/>
    <m/>
    <n v="-913669.89042341558"/>
    <n v="-198324.86831114258"/>
    <n v="-42757.170489392811"/>
    <n v="-263745.14316701982"/>
    <n v="-96115.270053755827"/>
    <n v="-250943.17203852479"/>
    <n v="-174543.2270270568"/>
    <n v="-284779.99153627898"/>
    <n v="-391087.92115512164"/>
    <n v="-266869.51910501812"/>
    <n v="-168197.4018050679"/>
    <n v="-641958.28337737336"/>
    <n v="-134699.82976116042"/>
    <n v="-59247.165116743687"/>
    <n v="0"/>
    <n v="0"/>
    <n v="-35000"/>
    <n v="0"/>
    <n v="0"/>
    <n v="0"/>
    <n v="0"/>
    <n v="0"/>
    <n v="0"/>
    <n v="0"/>
    <n v="0"/>
    <n v="-21183.64"/>
    <m/>
    <m/>
    <m/>
    <m/>
    <n v="3943122.5039548804"/>
    <m/>
    <m/>
    <m/>
    <m/>
    <m/>
    <m/>
    <m/>
  </r>
  <r>
    <m/>
    <x v="0"/>
    <x v="0"/>
    <x v="0"/>
    <s v="Egyetemi kiválósági alap elvonás -1%, saját bevétel"/>
    <x v="3"/>
    <x v="63"/>
    <s v="SB Kiválósági Alap"/>
    <n v="-349169.53586124361"/>
    <n v="-349169.52686110127"/>
    <n v="-9.0001423377543688E-3"/>
    <n v="9.0001423377543688E-3"/>
    <m/>
    <n v="-67002.97935993076"/>
    <n v="-10311.990548139252"/>
    <n v="-4222.1741195541772"/>
    <n v="-21380.397848625005"/>
    <n v="-10669.365494873933"/>
    <n v="-13521.169608282176"/>
    <n v="-12040.425236061323"/>
    <n v="-70599.194547766703"/>
    <n v="-12923.569386641653"/>
    <n v="-14819.746439706856"/>
    <n v="-583.49614454067967"/>
    <n v="-50654.529256567301"/>
    <n v="-4256.8488704115225"/>
    <n v="0"/>
    <n v="0"/>
    <n v="0"/>
    <n v="-35000"/>
    <n v="0"/>
    <n v="0"/>
    <n v="0"/>
    <n v="0"/>
    <n v="0"/>
    <n v="0"/>
    <n v="0"/>
    <n v="0"/>
    <n v="-21183.64"/>
    <n v="0"/>
    <n v="0"/>
    <n v="0"/>
    <n v="0"/>
    <n v="349169.53586124361"/>
    <m/>
    <m/>
    <m/>
    <m/>
    <m/>
    <m/>
    <m/>
  </r>
  <r>
    <m/>
    <x v="0"/>
    <x v="0"/>
    <x v="0"/>
    <s v="Egyetemi kiválósági alap elvonás -1%, támogatás"/>
    <x v="3"/>
    <x v="64"/>
    <s v="T Kiválósági Alap"/>
    <n v="-3593952.9680936374"/>
    <n v="-3593952.9665059713"/>
    <n v="-1.587666105479002E-3"/>
    <n v="1.587666105479002E-3"/>
    <m/>
    <n v="-846666.91106348485"/>
    <n v="-188012.87776300331"/>
    <n v="-38534.996369838635"/>
    <n v="-242364.74531839482"/>
    <n v="-85445.904558881899"/>
    <n v="-237422.0024302426"/>
    <n v="-162502.80179099547"/>
    <n v="-214180.79698851227"/>
    <n v="-378164.35176847997"/>
    <n v="-252049.77266531126"/>
    <n v="-167613.90566052723"/>
    <n v="-591303.754120806"/>
    <n v="-130442.98089074889"/>
    <n v="-59247.165116743687"/>
    <n v="0"/>
    <n v="0"/>
    <n v="0"/>
    <n v="0"/>
    <n v="0"/>
    <n v="0"/>
    <n v="0"/>
    <n v="0"/>
    <n v="0"/>
    <n v="0"/>
    <n v="0"/>
    <n v="0"/>
    <n v="0"/>
    <n v="0"/>
    <n v="0"/>
    <n v="0"/>
    <n v="3593952.9680936374"/>
    <m/>
    <m/>
    <m/>
    <m/>
    <m/>
    <m/>
    <m/>
  </r>
  <r>
    <n v="12"/>
    <x v="29"/>
    <x v="1"/>
    <x v="19"/>
    <s v="Kari kiválósági -1,5 %"/>
    <x v="1"/>
    <x v="0"/>
    <s v="ÖSSZEGZŐ SOR"/>
    <n v="-11829367.51186464"/>
    <n v="3.1763428749400191E-2"/>
    <n v="-11829367.543628069"/>
    <n v="3.1763428749400191E-2"/>
    <m/>
    <n v="-2741009.6712702466"/>
    <n v="-594974.60493342765"/>
    <n v="-128271.51146817843"/>
    <n v="-791235.42950105947"/>
    <n v="-288345.81016126747"/>
    <n v="-752829.51611557428"/>
    <n v="-523629.68108117033"/>
    <n v="-854339.97460883693"/>
    <n v="-1173263.7634653647"/>
    <n v="-800608.55731505423"/>
    <n v="-504592.20541520376"/>
    <n v="-1925874.8501321196"/>
    <n v="-404099.48928348121"/>
    <n v="-177741.49535023107"/>
    <n v="0"/>
    <n v="0"/>
    <n v="-105000"/>
    <n v="0"/>
    <n v="11829367.511864644"/>
    <n v="0"/>
    <n v="0"/>
    <n v="0"/>
    <n v="0"/>
    <n v="0"/>
    <n v="0"/>
    <n v="-63550.92"/>
    <m/>
    <m/>
    <m/>
    <m/>
    <m/>
    <m/>
    <m/>
    <m/>
    <m/>
    <m/>
    <m/>
    <m/>
  </r>
  <r>
    <m/>
    <x v="0"/>
    <x v="0"/>
    <x v="0"/>
    <s v="Kari kiválósági -1,5 %, saját bevétel"/>
    <x v="3"/>
    <x v="65"/>
    <s v="SB Kari kiválósági keret"/>
    <n v="-1047508.6075837308"/>
    <n v="2.7000426824088208E-2"/>
    <n v="-1047508.6345841576"/>
    <n v="2.7000426824088208E-2"/>
    <m/>
    <n v="-201008.93807979225"/>
    <n v="-30935.971644417757"/>
    <n v="-12666.522358662531"/>
    <n v="-64141.193545875016"/>
    <n v="-32008.096484621798"/>
    <n v="-40563.508824846525"/>
    <n v="-36121.275708183966"/>
    <n v="-211797.58364330011"/>
    <n v="-38770.708159924958"/>
    <n v="-44459.239319120563"/>
    <n v="-1750.4884336220389"/>
    <n v="-151963.5877697019"/>
    <n v="-12770.546611234566"/>
    <n v="0"/>
    <n v="0"/>
    <n v="0"/>
    <n v="-105000"/>
    <n v="0"/>
    <n v="1047508.6075837308"/>
    <n v="0"/>
    <n v="0"/>
    <n v="0"/>
    <n v="0"/>
    <n v="0"/>
    <n v="0"/>
    <n v="-63550.92"/>
    <m/>
    <m/>
    <m/>
    <m/>
    <m/>
    <m/>
    <m/>
    <m/>
    <m/>
    <m/>
    <m/>
    <m/>
  </r>
  <r>
    <m/>
    <x v="0"/>
    <x v="0"/>
    <x v="0"/>
    <s v="Kari kiválósági -1,5 %, támogatás"/>
    <x v="3"/>
    <x v="66"/>
    <s v="T Kari kiválósági keret"/>
    <n v="-10781858.904280912"/>
    <n v="4.7630015760660172E-3"/>
    <n v="-10781858.909043914"/>
    <n v="4.7630015760660172E-3"/>
    <m/>
    <n v="-2540000.7331904545"/>
    <n v="-564038.63328900991"/>
    <n v="-115604.9891095159"/>
    <n v="-727094.23595518444"/>
    <n v="-256337.71367664568"/>
    <n v="-712266.00729072781"/>
    <n v="-487508.4053729864"/>
    <n v="-642542.39096553682"/>
    <n v="-1134493.0553054397"/>
    <n v="-756149.3179959337"/>
    <n v="-502841.7169815817"/>
    <n v="-1773911.2623624178"/>
    <n v="-391328.94267224666"/>
    <n v="-177741.49535023107"/>
    <n v="0"/>
    <n v="0"/>
    <n v="0"/>
    <n v="0"/>
    <n v="10781858.904280912"/>
    <n v="0"/>
    <n v="0"/>
    <n v="0"/>
    <n v="0"/>
    <n v="0"/>
    <n v="0"/>
    <n v="0"/>
    <m/>
    <m/>
    <m/>
    <m/>
    <m/>
    <m/>
    <m/>
    <m/>
    <m/>
    <m/>
    <m/>
    <m/>
  </r>
  <r>
    <n v="13"/>
    <x v="30"/>
    <x v="1"/>
    <x v="20"/>
    <s v="Karnál kiválósági visszahagyás +1,5 %"/>
    <x v="1"/>
    <x v="67"/>
    <s v="NEM TERVEZENDŐ"/>
    <n v="11829367.51186464"/>
    <n v="0"/>
    <n v="11829367.5118646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14"/>
    <x v="31"/>
    <x v="1"/>
    <x v="21"/>
    <s v="Belső átrendezés mentorálásra feladatok arányában (hallgató anatika becslés alapján)"/>
    <x v="1"/>
    <x v="68"/>
    <s v="T tanárképzés közös ktg"/>
    <n v="-9239068.3874350004"/>
    <n v="-9239068.3874350004"/>
    <n v="0"/>
    <n v="0"/>
    <n v="6"/>
    <n v="-3053457.013905264"/>
    <n v="-338398.5865925937"/>
    <n v="-94436.814863049396"/>
    <n v="-409226.19773988076"/>
    <n v="-141655.22229457411"/>
    <n v="-405291.33045392035"/>
    <n v="-405291.33045392035"/>
    <n v="-676797.17318518739"/>
    <n v="-1204069.3895038799"/>
    <n v="-495793.27803100937"/>
    <n v="-86567.08029112863"/>
    <n v="-1817908.686113701"/>
    <n v="-110176.28400689099"/>
    <n v="0"/>
    <n v="0"/>
    <m/>
    <m/>
    <m/>
    <m/>
    <m/>
    <m/>
    <m/>
    <m/>
    <m/>
    <m/>
    <m/>
    <m/>
    <m/>
    <m/>
    <m/>
    <m/>
    <m/>
    <m/>
    <m/>
    <m/>
    <m/>
    <m/>
    <n v="9239068.3874350004"/>
  </r>
  <r>
    <n v="15"/>
    <x v="32"/>
    <x v="1"/>
    <x v="22"/>
    <s v="Kiválósági ösztöndíjhoz hozzájárulás (-6,84mFt maradvány, 2021/22 II. félév  és 2022/23 I. félév tanév becsült adatai alapján"/>
    <x v="1"/>
    <x v="69"/>
    <s v="T Belső működésre átadás"/>
    <n v="-19339744"/>
    <n v="-19339743.999999996"/>
    <n v="0"/>
    <n v="0"/>
    <n v="6"/>
    <n v="-6391670.078364565"/>
    <n v="-708355.1890971039"/>
    <n v="-197680.51788756388"/>
    <n v="-856615.57751277683"/>
    <n v="-296520.77683134581"/>
    <n v="-848378.88926746161"/>
    <n v="-848378.88926746161"/>
    <n v="-1416710.3781942078"/>
    <n v="-2520426.6030664393"/>
    <n v="-1037822.7189097104"/>
    <n v="-181207.14139693356"/>
    <n v="-3805349.9693356045"/>
    <n v="-230627.27086882453"/>
    <n v="0"/>
    <n v="0"/>
    <m/>
    <m/>
    <m/>
    <m/>
    <m/>
    <m/>
    <m/>
    <m/>
    <m/>
    <m/>
    <m/>
    <m/>
    <m/>
    <m/>
    <m/>
    <m/>
    <m/>
    <m/>
    <m/>
    <m/>
    <m/>
    <m/>
    <m/>
  </r>
  <r>
    <n v="17"/>
    <x v="33"/>
    <x v="1"/>
    <x v="23"/>
    <s v="Szocho elvonás"/>
    <x v="1"/>
    <x v="70"/>
    <s v="T SZOCHO megtakarítás"/>
    <n v="-40180860"/>
    <n v="-40180860.000000007"/>
    <n v="0"/>
    <n v="0"/>
    <n v="13"/>
    <n v="-3934346.0908724861"/>
    <n v="-4644567.7168155322"/>
    <n v="-846679.99748339725"/>
    <n v="-4888337.0092284502"/>
    <n v="-1710116.0339428498"/>
    <n v="-2882795.833104345"/>
    <n v="-1304146.988619514"/>
    <n v="-2884151.1753895297"/>
    <n v="-3647409.2985071787"/>
    <n v="-1148858.5703791773"/>
    <n v="-1973510.9660625912"/>
    <n v="-3449572.849678555"/>
    <n v="-2495329.8923166078"/>
    <n v="-3532324.6444380358"/>
    <n v="-691762.04621570953"/>
    <n v="-146950.88694604131"/>
    <n v="0"/>
    <n v="0"/>
    <m/>
    <m/>
    <m/>
    <m/>
    <m/>
    <m/>
    <m/>
    <m/>
    <m/>
    <m/>
    <n v="40180860"/>
    <m/>
    <m/>
    <m/>
    <m/>
    <m/>
    <m/>
    <m/>
    <m/>
    <m/>
  </r>
  <r>
    <s v="18. a)"/>
    <x v="34"/>
    <x v="1"/>
    <x v="24"/>
    <s v="Belföldi és külföldi folyóiratra átrendezés"/>
    <x v="1"/>
    <x v="0"/>
    <s v="ÖSSZEGZŐ SOR"/>
    <n v="0"/>
    <n v="0"/>
    <n v="0"/>
    <n v="0"/>
    <m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n v="0"/>
    <n v="0"/>
    <m/>
    <m/>
    <m/>
    <m/>
  </r>
  <r>
    <m/>
    <x v="0"/>
    <x v="0"/>
    <x v="0"/>
    <s v="Belföldi folyóirat"/>
    <x v="0"/>
    <x v="0"/>
    <s v="ÖSSZEGZŐ SOR"/>
    <n v="0"/>
    <n v="0"/>
    <n v="0"/>
    <n v="0"/>
    <m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n v="0"/>
    <m/>
    <m/>
    <m/>
    <m/>
    <m/>
  </r>
  <r>
    <m/>
    <x v="0"/>
    <x v="0"/>
    <x v="0"/>
    <s v="Bevételátadás folyóiratra, saját bevétel"/>
    <x v="3"/>
    <x v="71"/>
    <s v="SB Folyóiratok finanszírozása"/>
    <m/>
    <n v="0"/>
    <n v="0"/>
    <n v="0"/>
    <n v="7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n v="0"/>
    <m/>
    <m/>
    <m/>
    <m/>
    <m/>
  </r>
  <r>
    <m/>
    <x v="0"/>
    <x v="0"/>
    <x v="0"/>
    <s v="Bevételátadás folyóiratra, támogatás"/>
    <x v="3"/>
    <x v="72"/>
    <s v="T Folyóiratok finanszírozása"/>
    <n v="0"/>
    <n v="0"/>
    <n v="0"/>
    <n v="0"/>
    <n v="7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n v="0"/>
    <m/>
    <m/>
    <m/>
    <m/>
    <m/>
  </r>
  <r>
    <m/>
    <x v="0"/>
    <x v="0"/>
    <x v="0"/>
    <s v="Külföldi folyóirat"/>
    <x v="0"/>
    <x v="0"/>
    <s v="ÖSSZEGZŐ SOR"/>
    <n v="0"/>
    <n v="0"/>
    <n v="0"/>
    <n v="0"/>
    <m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n v="0"/>
    <m/>
    <m/>
    <m/>
    <m/>
  </r>
  <r>
    <m/>
    <x v="0"/>
    <x v="0"/>
    <x v="0"/>
    <s v="Bevételátadás folyóiratra, saját bevétel"/>
    <x v="3"/>
    <x v="71"/>
    <s v="SB Folyóiratok finanszírozása"/>
    <n v="0"/>
    <n v="0"/>
    <n v="0"/>
    <n v="0"/>
    <n v="7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n v="0"/>
    <m/>
    <m/>
    <m/>
    <m/>
  </r>
  <r>
    <m/>
    <x v="0"/>
    <x v="0"/>
    <x v="0"/>
    <s v="Bevételátadás folyóiratra, támogatás"/>
    <x v="3"/>
    <x v="72"/>
    <s v="T Folyóiratok finanszírozása"/>
    <n v="0"/>
    <n v="0"/>
    <n v="0"/>
    <n v="0"/>
    <n v="7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n v="0"/>
    <m/>
    <m/>
    <m/>
    <m/>
  </r>
  <r>
    <s v="18. b)"/>
    <x v="35"/>
    <x v="1"/>
    <x v="25"/>
    <s v="EISZ kari részre átrendezés"/>
    <x v="1"/>
    <x v="0"/>
    <s v="ÖSSZEGZŐ SOR"/>
    <n v="0"/>
    <n v="0"/>
    <n v="0"/>
    <n v="0"/>
    <m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n v="0"/>
    <m/>
    <m/>
    <m/>
    <m/>
    <m/>
    <m/>
  </r>
  <r>
    <m/>
    <x v="0"/>
    <x v="0"/>
    <x v="0"/>
    <s v="Bevételátadás EISZ kari rész, saját bevétel"/>
    <x v="3"/>
    <x v="71"/>
    <s v="SB Folyóiratok finanszírozása"/>
    <n v="0"/>
    <n v="0"/>
    <n v="0"/>
    <n v="0"/>
    <n v="7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n v="0"/>
    <m/>
    <m/>
    <m/>
    <m/>
    <m/>
    <m/>
  </r>
  <r>
    <m/>
    <x v="0"/>
    <x v="0"/>
    <x v="0"/>
    <s v="Bevételátadás EISZ kari rész, támogatás"/>
    <x v="3"/>
    <x v="72"/>
    <s v="T Folyóiratok finanszírozása"/>
    <n v="0"/>
    <n v="0"/>
    <n v="0"/>
    <n v="0"/>
    <n v="7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n v="0"/>
    <m/>
    <m/>
    <m/>
    <m/>
    <m/>
    <m/>
  </r>
  <r>
    <s v="18. c)"/>
    <x v="36"/>
    <x v="1"/>
    <x v="26"/>
    <s v="Tárgyévi közterületesítés miatti átrendezés"/>
    <x v="1"/>
    <x v="0"/>
    <s v="ÖSSZEGZŐ SOR"/>
    <n v="-1911197"/>
    <n v="-1911197"/>
    <n v="0"/>
    <n v="0"/>
    <m/>
    <n v="-516417.91877954936"/>
    <n v="-119307.59673257661"/>
    <n v="-28900.438910476041"/>
    <n v="-136688.10119633251"/>
    <n v="-51940.307803916316"/>
    <n v="-101841.12260877054"/>
    <n v="-76072.174294163808"/>
    <n v="-135539.40020672628"/>
    <n v="-218161.73094003022"/>
    <n v="-130253.18068449362"/>
    <n v="-45102.976117374579"/>
    <n v="-294349.1411614953"/>
    <n v="-56622.910564094709"/>
    <n v="0"/>
    <n v="0"/>
    <m/>
    <m/>
    <m/>
    <m/>
    <m/>
    <m/>
    <m/>
    <m/>
    <m/>
    <m/>
    <m/>
    <n v="1911197"/>
    <m/>
    <m/>
    <m/>
    <m/>
    <m/>
    <m/>
    <m/>
    <m/>
    <m/>
    <m/>
    <m/>
  </r>
  <r>
    <m/>
    <x v="0"/>
    <x v="0"/>
    <x v="0"/>
    <s v="Tárgyévi közterületesítés miatti átrendezés, saját bevétel"/>
    <x v="3"/>
    <x v="73"/>
    <s v="SB Közterületesítési különbözet"/>
    <m/>
    <n v="0"/>
    <n v="0"/>
    <n v="0"/>
    <n v="7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n v="0"/>
    <m/>
    <m/>
    <m/>
    <m/>
    <m/>
    <m/>
    <m/>
    <m/>
    <m/>
    <m/>
    <m/>
  </r>
  <r>
    <m/>
    <x v="0"/>
    <x v="0"/>
    <x v="0"/>
    <s v="Tárgyévi közterületesítés miatti átrendezés, támogatás"/>
    <x v="3"/>
    <x v="74"/>
    <s v="T Közterületesítési különbözet"/>
    <n v="-1911197"/>
    <n v="-1911197"/>
    <n v="0"/>
    <n v="0"/>
    <n v="7"/>
    <n v="-516417.91877954936"/>
    <n v="-119307.59673257661"/>
    <n v="-28900.438910476041"/>
    <n v="-136688.10119633251"/>
    <n v="-51940.307803916316"/>
    <n v="-101841.12260877054"/>
    <n v="-76072.174294163808"/>
    <n v="-135539.40020672628"/>
    <n v="-218161.73094003022"/>
    <n v="-130253.18068449362"/>
    <n v="-45102.976117374579"/>
    <n v="-294349.1411614953"/>
    <n v="-56622.910564094709"/>
    <n v="0"/>
    <n v="0"/>
    <m/>
    <m/>
    <m/>
    <m/>
    <m/>
    <m/>
    <m/>
    <m/>
    <m/>
    <m/>
    <m/>
    <n v="1911197"/>
    <m/>
    <m/>
    <m/>
    <m/>
    <m/>
    <m/>
    <m/>
    <m/>
    <m/>
    <m/>
    <m/>
  </r>
  <r>
    <m/>
    <x v="0"/>
    <x v="0"/>
    <x v="0"/>
    <s v="Bevételátadás informatikai kiadásokra, összesen"/>
    <x v="1"/>
    <x v="0"/>
    <s v="ÖSSZEGZŐ SOR"/>
    <n v="0"/>
    <n v="0"/>
    <n v="0"/>
    <n v="0"/>
    <m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n v="0"/>
    <m/>
    <m/>
    <m/>
    <m/>
    <m/>
    <m/>
    <m/>
    <m/>
    <m/>
    <m/>
    <m/>
    <m/>
    <m/>
    <m/>
    <m/>
    <m/>
  </r>
  <r>
    <m/>
    <x v="0"/>
    <x v="0"/>
    <x v="0"/>
    <s v="Bevételátadás informatikai kiadásokra, saját bevétel"/>
    <x v="3"/>
    <x v="75"/>
    <s v="SB Informatikai közvetlen költségek"/>
    <n v="0"/>
    <n v="0"/>
    <n v="0"/>
    <n v="0"/>
    <m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n v="0"/>
    <m/>
    <m/>
    <m/>
    <m/>
    <m/>
    <m/>
    <m/>
    <m/>
    <m/>
    <m/>
    <m/>
    <m/>
    <m/>
    <m/>
    <m/>
    <m/>
  </r>
  <r>
    <m/>
    <x v="0"/>
    <x v="0"/>
    <x v="0"/>
    <s v="Bevételátadás informatikai kiadásokra, támogatás"/>
    <x v="3"/>
    <x v="76"/>
    <s v="T Informatikai közvetlen költségek"/>
    <n v="0"/>
    <n v="0"/>
    <n v="0"/>
    <n v="0"/>
    <m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n v="0"/>
    <m/>
    <m/>
    <m/>
    <m/>
    <m/>
    <m/>
    <m/>
    <m/>
    <m/>
    <m/>
    <m/>
    <m/>
    <m/>
    <m/>
    <m/>
    <m/>
  </r>
  <r>
    <m/>
    <x v="0"/>
    <x v="0"/>
    <x v="0"/>
    <s v="Bevételátadás informatikai kiadásokra - visszahagyás"/>
    <x v="1"/>
    <x v="67"/>
    <s v="NEM TERVEZENDŐ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Bevételátadás üzemeltetési kiadásokra, összesen"/>
    <x v="1"/>
    <x v="0"/>
    <s v="ÖSSZEGZŐ SOR"/>
    <n v="-117949452"/>
    <n v="0"/>
    <n v="-117949452"/>
    <n v="0"/>
    <m/>
    <n v="-31870712.711995862"/>
    <n v="-7363063.9091859199"/>
    <n v="-1783589.5159160078"/>
    <n v="-8435701.0978083182"/>
    <n v="-3205494.1705032252"/>
    <n v="-6285121.1061807321"/>
    <n v="-4694791.4162930921"/>
    <n v="-8364809.0588212777"/>
    <n v="-13463843.136917863"/>
    <n v="-8038570.216986008"/>
    <n v="-2783528.4989529699"/>
    <n v="-18165746.334192138"/>
    <n v="-3494480.8262465782"/>
    <n v="0"/>
    <n v="0"/>
    <m/>
    <m/>
    <m/>
    <m/>
    <m/>
    <m/>
    <m/>
    <m/>
    <m/>
    <m/>
    <n v="117949452"/>
    <m/>
    <m/>
    <m/>
    <m/>
    <m/>
    <m/>
    <m/>
    <m/>
    <m/>
    <m/>
    <m/>
    <m/>
  </r>
  <r>
    <m/>
    <x v="0"/>
    <x v="0"/>
    <x v="0"/>
    <s v="Bevételátadás üzemeltetési kiadásokra, saját bevétel"/>
    <x v="3"/>
    <x v="77"/>
    <s v="SB Üzemeltetési feladatok"/>
    <m/>
    <n v="0"/>
    <n v="0"/>
    <n v="0"/>
    <n v="7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n v="0"/>
    <m/>
    <m/>
    <m/>
    <m/>
    <m/>
    <m/>
    <m/>
    <m/>
    <m/>
    <m/>
    <m/>
    <m/>
  </r>
  <r>
    <m/>
    <x v="0"/>
    <x v="0"/>
    <x v="0"/>
    <s v="Bevételátadás üzemeltetési kiadásokra, támogatás"/>
    <x v="3"/>
    <x v="78"/>
    <s v="T Üzemeltetési feladatok"/>
    <n v="-117949452"/>
    <n v="0"/>
    <n v="-117949452"/>
    <n v="0"/>
    <n v="7"/>
    <n v="-31870712.711995862"/>
    <n v="-7363063.9091859199"/>
    <n v="-1783589.5159160078"/>
    <n v="-8435701.0978083182"/>
    <n v="-3205494.1705032252"/>
    <n v="-6285121.1061807321"/>
    <n v="-4694791.4162930921"/>
    <n v="-8364809.0588212777"/>
    <n v="-13463843.136917863"/>
    <n v="-8038570.216986008"/>
    <n v="-2783528.4989529699"/>
    <n v="-18165746.334192138"/>
    <n v="-3494480.8262465782"/>
    <n v="0"/>
    <n v="0"/>
    <m/>
    <m/>
    <m/>
    <m/>
    <m/>
    <m/>
    <m/>
    <m/>
    <m/>
    <m/>
    <n v="117949452"/>
    <m/>
    <m/>
    <m/>
    <m/>
    <m/>
    <m/>
    <m/>
    <m/>
    <m/>
    <m/>
    <m/>
    <m/>
  </r>
  <r>
    <m/>
    <x v="0"/>
    <x v="0"/>
    <x v="0"/>
    <s v="Bevételátadás üzemeltetési kiadásokra - visszahagyás"/>
    <x v="1"/>
    <x v="67"/>
    <s v="NEM TERVEZENDŐ"/>
    <n v="117949452"/>
    <m/>
    <n v="1179494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19"/>
    <x v="37"/>
    <x v="1"/>
    <x v="27"/>
    <s v="Nemzeköziesítésre elvonás"/>
    <x v="1"/>
    <x v="0"/>
    <s v="ÖSSZEGZŐ SOR"/>
    <n v="-157177.689758725"/>
    <n v="-157177.68975872546"/>
    <n v="4.6566128730773926E-10"/>
    <n v="0"/>
    <m/>
    <n v="0"/>
    <n v="-31435.537951745093"/>
    <n v="0"/>
    <n v="0"/>
    <n v="0"/>
    <n v="0"/>
    <n v="0"/>
    <n v="-31435.537951745093"/>
    <n v="0"/>
    <n v="0"/>
    <n v="0"/>
    <n v="-62871.075903490186"/>
    <n v="-31435.537951745093"/>
    <m/>
    <m/>
    <m/>
    <m/>
    <m/>
    <m/>
    <m/>
    <m/>
    <m/>
    <m/>
    <m/>
    <m/>
    <m/>
    <m/>
    <m/>
    <m/>
    <n v="157177.68975872546"/>
    <m/>
    <m/>
    <m/>
    <m/>
    <m/>
    <m/>
    <m/>
    <m/>
  </r>
  <r>
    <m/>
    <x v="0"/>
    <x v="0"/>
    <x v="0"/>
    <s v="Nemzeköziesítésre elvonás, saját bevétel"/>
    <x v="3"/>
    <x v="79"/>
    <s v="SB Nemzetköziesítési feladatok"/>
    <n v="0"/>
    <n v="0"/>
    <n v="0"/>
    <n v="0"/>
    <n v="9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n v="0"/>
    <m/>
    <m/>
    <m/>
    <m/>
    <m/>
    <m/>
    <m/>
    <m/>
  </r>
  <r>
    <m/>
    <x v="0"/>
    <x v="0"/>
    <x v="0"/>
    <s v="Nemzeköziesítésre elvonás, támogatás"/>
    <x v="3"/>
    <x v="80"/>
    <s v="T Nemzetköziesítési feladatok"/>
    <n v="-157177.68975872546"/>
    <n v="-157177.68975872546"/>
    <n v="0"/>
    <n v="0"/>
    <n v="9"/>
    <n v="0"/>
    <n v="-31435.537951745093"/>
    <n v="0"/>
    <n v="0"/>
    <n v="0"/>
    <n v="0"/>
    <n v="0"/>
    <n v="-31435.537951745093"/>
    <n v="0"/>
    <n v="0"/>
    <n v="0"/>
    <n v="-62871.075903490186"/>
    <n v="-31435.537951745093"/>
    <m/>
    <m/>
    <m/>
    <m/>
    <m/>
    <m/>
    <m/>
    <m/>
    <m/>
    <m/>
    <m/>
    <m/>
    <m/>
    <m/>
    <m/>
    <m/>
    <n v="157177.68975872546"/>
    <m/>
    <m/>
    <m/>
    <m/>
    <m/>
    <m/>
    <m/>
    <m/>
  </r>
  <r>
    <m/>
    <x v="38"/>
    <x v="3"/>
    <x v="28"/>
    <s v="Bevételi egyenleg I. (itt lévő előirányzatok)"/>
    <x v="0"/>
    <x v="0"/>
    <m/>
    <n v="564014676.05954194"/>
    <n v="564014674.38666844"/>
    <n v="1.6728736609220505"/>
    <n v="788624499.11810255"/>
    <m/>
    <n v="98593238.872981951"/>
    <n v="18130200.65678506"/>
    <n v="3804345.6522635701"/>
    <n v="26945164.636903375"/>
    <n v="9780486.1571175084"/>
    <n v="29125592.900471687"/>
    <n v="20249149.071346812"/>
    <n v="31485795.938983407"/>
    <n v="40737981.383573823"/>
    <n v="31314086.053602464"/>
    <n v="21505272.822379731"/>
    <n v="73833610.717239961"/>
    <n v="14863900.380308608"/>
    <n v="5828727.4440074675"/>
    <n v="-691762.04621570953"/>
    <n v="-146950.88694604131"/>
    <n v="5530000"/>
    <n v="0"/>
    <n v="11829367.511864644"/>
    <n v="0"/>
    <n v="0"/>
    <n v="0"/>
    <n v="0"/>
    <n v="0"/>
    <n v="0"/>
    <n v="121296467.12"/>
    <n v="1911197"/>
    <n v="149838655.15028548"/>
    <n v="40180860"/>
    <n v="157177.68975872546"/>
    <n v="3943122.5039548804"/>
    <n v="0"/>
    <n v="0"/>
    <n v="0"/>
    <n v="0"/>
    <n v="0"/>
    <n v="0"/>
    <n v="9239068.3874350004"/>
  </r>
  <r>
    <n v="21"/>
    <x v="39"/>
    <x v="1"/>
    <x v="29"/>
    <s v="2021. év végi maradvány (kari gazda) szabad keret (S*ITTNEMEI, *PALYREZSI, kari kiválósági, függő bevétel kizárásával)"/>
    <x v="4"/>
    <x v="0"/>
    <s v="Maradvány"/>
    <n v="82890777"/>
    <n v="82890777"/>
    <n v="0"/>
    <n v="82890777"/>
    <m/>
    <n v="4719928"/>
    <n v="3619896"/>
    <n v="4723001"/>
    <n v="4655499"/>
    <n v="2039679"/>
    <n v="231095"/>
    <n v="205029"/>
    <n v="4969694"/>
    <n v="2031835"/>
    <n v="740368"/>
    <n v="638820"/>
    <n v="-1233818"/>
    <n v="1206938"/>
    <n v="3662720"/>
    <n v="13407296"/>
    <n v="38822194"/>
    <n v="91500"/>
    <m/>
    <m/>
    <m/>
    <n v="-452535"/>
    <m/>
    <m/>
    <m/>
    <m/>
    <n v="-1188362"/>
    <m/>
    <m/>
    <m/>
    <m/>
    <m/>
    <m/>
    <m/>
    <m/>
    <m/>
    <m/>
    <m/>
    <m/>
  </r>
  <r>
    <n v="22"/>
    <x v="39"/>
    <x v="1"/>
    <x v="29"/>
    <s v="2021. év végi maradvány (kari gazda) átfordult kötelezettségvállalás"/>
    <x v="4"/>
    <x v="0"/>
    <s v="Maradvány"/>
    <n v="-9438903"/>
    <n v="-9438903"/>
    <n v="0"/>
    <n v="-9438903"/>
    <m/>
    <n v="-149155"/>
    <n v="-145332"/>
    <n v="-325110"/>
    <n v="-244029"/>
    <n v="-133237"/>
    <n v="-175297"/>
    <n v="-75816"/>
    <n v="-813610"/>
    <n v="-2161969"/>
    <n v="-395240"/>
    <n v="-20000"/>
    <n v="-547161"/>
    <n v="-3300"/>
    <n v="-1028425"/>
    <n v="-2854508"/>
    <n v="-89097"/>
    <m/>
    <n v="-9286"/>
    <m/>
    <m/>
    <m/>
    <m/>
    <m/>
    <m/>
    <m/>
    <n v="-268331"/>
    <m/>
    <m/>
    <m/>
    <m/>
    <m/>
    <m/>
    <m/>
    <m/>
    <m/>
    <m/>
    <m/>
    <m/>
  </r>
  <r>
    <n v="23"/>
    <x v="39"/>
    <x v="1"/>
    <x v="29"/>
    <s v="Kari kiválósági keretek 2021. év végi költhető maradványa"/>
    <x v="4"/>
    <x v="0"/>
    <s v="Maradvány"/>
    <n v="482684"/>
    <n v="482684"/>
    <n v="0"/>
    <n v="482684"/>
    <m/>
    <m/>
    <m/>
    <m/>
    <m/>
    <m/>
    <m/>
    <m/>
    <m/>
    <m/>
    <m/>
    <m/>
    <m/>
    <m/>
    <m/>
    <m/>
    <m/>
    <m/>
    <m/>
    <n v="482684"/>
    <m/>
    <m/>
    <m/>
    <m/>
    <m/>
    <m/>
    <m/>
    <m/>
    <m/>
    <m/>
    <m/>
    <m/>
    <m/>
    <m/>
    <m/>
    <m/>
    <m/>
    <m/>
    <m/>
  </r>
  <r>
    <n v="24"/>
    <x v="39"/>
    <x v="1"/>
    <x v="29"/>
    <s v="Közterületesítés elszámolás"/>
    <x v="4"/>
    <x v="0"/>
    <s v="Maradvány"/>
    <n v="705842"/>
    <n v="705841.99999999988"/>
    <n v="0"/>
    <n v="705841.99999999988"/>
    <n v="7"/>
    <n v="190723.12096931646"/>
    <n v="44062.601967727736"/>
    <n v="10673.490802595563"/>
    <n v="50481.558271921596"/>
    <n v="19182.559799398961"/>
    <n v="37611.895406083109"/>
    <n v="28094.92461956626"/>
    <n v="50057.320789388054"/>
    <n v="80571.344811745104"/>
    <n v="48105.017724862664"/>
    <n v="16657.401025974774"/>
    <n v="108708.82828704323"/>
    <n v="20911.935524376469"/>
    <n v="0"/>
    <n v="0"/>
    <m/>
    <m/>
    <m/>
    <m/>
    <m/>
    <m/>
    <m/>
    <m/>
    <m/>
    <m/>
    <m/>
    <m/>
    <m/>
    <m/>
    <m/>
    <m/>
    <m/>
    <m/>
    <m/>
    <m/>
    <m/>
    <m/>
    <m/>
  </r>
  <r>
    <n v="25"/>
    <x v="39"/>
    <x v="1"/>
    <x v="29"/>
    <s v="2020. évi Stipendium Hungaricum képzési költség és szervezési keret végelszámolás - bruttó "/>
    <x v="4"/>
    <x v="0"/>
    <s v="Maradvány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n v="26"/>
    <x v="39"/>
    <x v="1"/>
    <x v="29"/>
    <s v="PALYREZSI elszámolás"/>
    <x v="4"/>
    <x v="0"/>
    <s v="Maradvány"/>
    <n v="-122301"/>
    <n v="-122301"/>
    <n v="0"/>
    <n v="-122301"/>
    <n v="7"/>
    <n v="-33046.529418295271"/>
    <n v="-7634.7118523055724"/>
    <n v="-1849.3920716651032"/>
    <n v="-8746.9221981892315"/>
    <n v="-3323.7555232279924"/>
    <n v="-6517.000150259365"/>
    <n v="-4867.9979030683535"/>
    <n v="-8673.4147158470987"/>
    <n v="-13960.569138449167"/>
    <n v="-8335.1398369159506"/>
    <n v="-2886.2221331087421"/>
    <n v="-18835.941199777957"/>
    <n v="-3623.4038588901863"/>
    <n v="0"/>
    <n v="0"/>
    <m/>
    <m/>
    <m/>
    <m/>
    <m/>
    <m/>
    <m/>
    <m/>
    <m/>
    <m/>
    <m/>
    <m/>
    <m/>
    <m/>
    <m/>
    <m/>
    <m/>
    <m/>
    <m/>
    <m/>
    <m/>
    <m/>
    <m/>
  </r>
  <r>
    <n v="27"/>
    <x v="39"/>
    <x v="1"/>
    <x v="29"/>
    <s v="Belföldi-külföldi folyóirat és EISZ  elszámolás"/>
    <x v="4"/>
    <x v="0"/>
    <s v="Maradvány"/>
    <n v="0"/>
    <n v="0"/>
    <n v="0"/>
    <n v="0"/>
    <n v="7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28. a)"/>
    <x v="39"/>
    <x v="1"/>
    <x v="29"/>
    <s v="2021 évi Stipendium Hungaricum képzési költség és szervezési keret előelszámolás - bruttó - tervezett összeg (előzetes)"/>
    <x v="4"/>
    <x v="0"/>
    <s v="Maradvány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28. b)"/>
    <x v="39"/>
    <x v="1"/>
    <x v="29"/>
    <s v="2021 évben végrehajtott  SH, saját és egyéb képzési bevétel korrekciók 2021.12.04-i és 2022.02.25-i állapot közötti különbözete"/>
    <x v="4"/>
    <x v="0"/>
    <s v="Maradvány"/>
    <n v="1327183"/>
    <n v="1327183"/>
    <n v="0"/>
    <n v="1327183"/>
    <n v="2"/>
    <n v="238594.69662921349"/>
    <n v="134209.51685393258"/>
    <n v="29824.337078651686"/>
    <n v="149121.68539325843"/>
    <n v="59648.674157303372"/>
    <n v="89473.011235955055"/>
    <n v="44736.505617977527"/>
    <n v="89473.011235955055"/>
    <n v="119297.34831460674"/>
    <n v="119297.34831460674"/>
    <n v="59648.674157303372"/>
    <n v="119297.34831460674"/>
    <n v="74560.842696629217"/>
    <n v="0"/>
    <n v="0"/>
    <m/>
    <m/>
    <m/>
    <m/>
    <m/>
    <m/>
    <m/>
    <m/>
    <m/>
    <m/>
    <m/>
    <m/>
    <m/>
    <m/>
    <m/>
    <m/>
    <m/>
    <m/>
    <m/>
    <m/>
    <m/>
    <m/>
    <m/>
  </r>
  <r>
    <s v="29. a)"/>
    <x v="39"/>
    <x v="1"/>
    <x v="29"/>
    <s v="Elszámolások utáni ÁKTH -19% maradványban elszámolva"/>
    <x v="4"/>
    <x v="0"/>
    <s v="Maradvány"/>
    <n v="-252164.77"/>
    <n v="-252164.77"/>
    <n v="0"/>
    <n v="-252164.77"/>
    <n v="2"/>
    <n v="-45332.992359550561"/>
    <n v="-25499.80820224719"/>
    <n v="-5666.6240449438201"/>
    <n v="-28333.120224719099"/>
    <n v="-11333.24808988764"/>
    <n v="-16999.872134831461"/>
    <n v="-8499.9360674157306"/>
    <n v="-16999.872134831461"/>
    <n v="-22666.49617977528"/>
    <n v="-22666.49617977528"/>
    <n v="-11333.24808988764"/>
    <n v="-22666.49617977528"/>
    <n v="-14166.56011235955"/>
    <n v="0"/>
    <n v="0"/>
    <m/>
    <m/>
    <m/>
    <m/>
    <m/>
    <m/>
    <m/>
    <m/>
    <m/>
    <m/>
    <m/>
    <m/>
    <m/>
    <m/>
    <m/>
    <m/>
    <m/>
    <m/>
    <m/>
    <m/>
    <m/>
    <m/>
    <m/>
  </r>
  <r>
    <s v="29. b)"/>
    <x v="39"/>
    <x v="1"/>
    <x v="29"/>
    <s v="Elszámolások utáni kari -1,5% maradványban elszámolva"/>
    <x v="4"/>
    <x v="0"/>
    <s v="Maradvány"/>
    <n v="-19907.744999999999"/>
    <n v="0"/>
    <n v="-19907.744999999999"/>
    <n v="0"/>
    <n v="2"/>
    <n v="-3578.920449438202"/>
    <n v="-2013.1427528089887"/>
    <n v="-447.36505617977525"/>
    <n v="-2236.8252808988764"/>
    <n v="-894.7301123595505"/>
    <n v="-1342.0951685393256"/>
    <n v="-671.04758426966282"/>
    <n v="-1342.0951685393256"/>
    <n v="-1789.460224719101"/>
    <n v="-1789.460224719101"/>
    <n v="-894.7301123595505"/>
    <n v="-1789.460224719101"/>
    <n v="-1118.4126404494382"/>
    <n v="0"/>
    <n v="0"/>
    <m/>
    <m/>
    <m/>
    <n v="19907.744999999999"/>
    <m/>
    <m/>
    <m/>
    <m/>
    <m/>
    <m/>
    <m/>
    <m/>
    <m/>
    <m/>
    <m/>
    <m/>
    <m/>
    <m/>
    <m/>
    <m/>
    <m/>
    <m/>
    <m/>
  </r>
  <r>
    <s v="29. c)"/>
    <x v="39"/>
    <x v="1"/>
    <x v="29"/>
    <s v="Karnál kari kiválósági +1,5% visszahagyás"/>
    <x v="4"/>
    <x v="0"/>
    <s v="Maradvány"/>
    <n v="19907.744999999999"/>
    <n v="0"/>
    <n v="19907.744999999999"/>
    <n v="0"/>
    <m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29. d)"/>
    <x v="39"/>
    <x v="1"/>
    <x v="29"/>
    <s v="Elszámolások utáni egyetemi kiválósági -1% maradványban elszámolva"/>
    <x v="4"/>
    <x v="0"/>
    <s v="Maradvány"/>
    <n v="-6635.915"/>
    <n v="-6635.9149999999981"/>
    <n v="0"/>
    <n v="-6635.9149999999981"/>
    <n v="2"/>
    <n v="-1192.9734831460673"/>
    <n v="-671.04758426966293"/>
    <n v="-149.12168539325842"/>
    <n v="-745.60842696629209"/>
    <n v="-298.24337078651683"/>
    <n v="-447.36505617977525"/>
    <n v="-223.68252808988763"/>
    <n v="-447.36505617977525"/>
    <n v="-596.48674157303367"/>
    <n v="-596.48674157303367"/>
    <n v="-298.24337078651683"/>
    <n v="-596.48674157303367"/>
    <n v="-372.80421348314604"/>
    <n v="0"/>
    <n v="0"/>
    <m/>
    <m/>
    <m/>
    <m/>
    <m/>
    <m/>
    <m/>
    <m/>
    <m/>
    <m/>
    <m/>
    <m/>
    <m/>
    <m/>
    <m/>
    <m/>
    <m/>
    <m/>
    <m/>
    <m/>
    <m/>
    <m/>
    <m/>
  </r>
  <r>
    <n v="30"/>
    <x v="39"/>
    <x v="1"/>
    <x v="29"/>
    <s v="2021. évi TMA elszámolás (kifutó)"/>
    <x v="4"/>
    <x v="0"/>
    <s v="Maradvány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31"/>
    <x v="39"/>
    <x v="1"/>
    <x v="29"/>
    <s v="2021. 3-4. negyedévi telefon költség elszámolás "/>
    <x v="4"/>
    <x v="0"/>
    <s v="Maradvány"/>
    <n v="-56692"/>
    <n v="-56692"/>
    <n v="0"/>
    <n v="-56692"/>
    <m/>
    <m/>
    <m/>
    <m/>
    <m/>
    <m/>
    <m/>
    <m/>
    <m/>
    <m/>
    <m/>
    <m/>
    <m/>
    <m/>
    <m/>
    <n v="-56692"/>
    <m/>
    <m/>
    <m/>
    <m/>
    <m/>
    <m/>
    <m/>
    <m/>
    <m/>
    <m/>
    <m/>
    <m/>
    <m/>
    <m/>
    <m/>
    <m/>
    <m/>
    <m/>
    <m/>
    <m/>
    <m/>
    <m/>
    <m/>
  </r>
  <r>
    <n v="32"/>
    <x v="39"/>
    <x v="1"/>
    <x v="29"/>
    <s v="2021. évi telefon kötváll felszabadítás"/>
    <x v="4"/>
    <x v="0"/>
    <s v="Maradvány"/>
    <n v="56692"/>
    <n v="56692"/>
    <n v="0"/>
    <n v="56692"/>
    <m/>
    <m/>
    <m/>
    <m/>
    <m/>
    <m/>
    <m/>
    <m/>
    <m/>
    <m/>
    <m/>
    <m/>
    <m/>
    <m/>
    <m/>
    <n v="56692"/>
    <m/>
    <m/>
    <m/>
    <m/>
    <m/>
    <m/>
    <m/>
    <m/>
    <m/>
    <m/>
    <m/>
    <m/>
    <m/>
    <m/>
    <m/>
    <m/>
    <m/>
    <m/>
    <m/>
    <m/>
    <m/>
    <m/>
    <m/>
  </r>
  <r>
    <m/>
    <x v="40"/>
    <x v="4"/>
    <x v="30"/>
    <s v="Bevételi egyenleg II. (Bevételi egyenleg I. + maradvány és korrekciói)"/>
    <x v="0"/>
    <x v="0"/>
    <m/>
    <n v="639601157.374542"/>
    <n v="639601155.7016685"/>
    <n v="1.6728736609220505"/>
    <n v="864210980.43310261"/>
    <m/>
    <n v="103510178.27487005"/>
    <n v="21747218.065215088"/>
    <n v="8234621.9772866359"/>
    <n v="31516175.404437788"/>
    <n v="11749909.413977951"/>
    <n v="29283169.474603917"/>
    <n v="20436930.837501511"/>
    <n v="35753947.523933351"/>
    <n v="40768703.064415656"/>
    <n v="31793228.836658955"/>
    <n v="22184986.453856867"/>
    <n v="72236749.50949578"/>
    <n v="16143729.977704432"/>
    <n v="8463022.4440074675"/>
    <n v="9861025.9537842907"/>
    <n v="38586146.113053955"/>
    <n v="5621500"/>
    <n v="-9286"/>
    <n v="12331959.256864643"/>
    <n v="0"/>
    <n v="-452535"/>
    <n v="0"/>
    <n v="0"/>
    <n v="0"/>
    <n v="0"/>
    <n v="119839774.12"/>
    <n v="1911197"/>
    <n v="149838655.15028548"/>
    <n v="40180860"/>
    <n v="157177.68975872546"/>
    <n v="3943122.5039548804"/>
    <n v="0"/>
    <n v="0"/>
    <n v="0"/>
    <n v="0"/>
    <n v="0"/>
    <n v="0"/>
    <n v="9239068.3874350004"/>
  </r>
  <r>
    <n v="34"/>
    <x v="41"/>
    <x v="1"/>
    <x v="31"/>
    <s v="2021. évi képzési támogatás elszámolás - bruttó - minisztérium által  visszaigazolt összeg 2021.12.04-i &quot;bérelő&quot; arányban (visszafizetés maradványból)"/>
    <x v="1"/>
    <x v="3"/>
    <s v="T Képzési finanszírozás átadás"/>
    <n v="6276492"/>
    <n v="6276491.9999999991"/>
    <n v="0"/>
    <n v="6276491.9999999991"/>
    <n v="11"/>
    <n v="1742791.7820821384"/>
    <n v="204229.96224654684"/>
    <n v="30084.373325718465"/>
    <n v="350270.84711780038"/>
    <n v="99292.731620573482"/>
    <n v="539154.12045341544"/>
    <n v="333820.34285117319"/>
    <n v="409729.62163794547"/>
    <n v="535721.5604058007"/>
    <n v="331073.04728468513"/>
    <n v="50064.227095789982"/>
    <n v="1508882.3482786689"/>
    <n v="133283.28284958273"/>
    <n v="8093.7527501606128"/>
    <m/>
    <m/>
    <m/>
    <m/>
    <m/>
    <m/>
    <m/>
    <m/>
    <m/>
    <m/>
    <m/>
    <m/>
    <m/>
    <m/>
    <m/>
    <m/>
    <m/>
    <m/>
    <m/>
    <m/>
    <m/>
    <m/>
    <m/>
    <m/>
  </r>
  <r>
    <n v="35"/>
    <x v="42"/>
    <x v="1"/>
    <x v="32"/>
    <s v="2022. évi garantált bérminimum finanszírozás felmérés alapján"/>
    <x v="1"/>
    <x v="60"/>
    <s v="Működési költségvetés támogatása - Céltámogatás"/>
    <n v="191422"/>
    <n v="191422"/>
    <n v="0"/>
    <n v="191422"/>
    <n v="1"/>
    <n v="31252.571428571428"/>
    <n v="17579.571428571431"/>
    <n v="3906.5714285714284"/>
    <n v="19532.857142857145"/>
    <n v="7813.1428571428569"/>
    <n v="11719.714285714286"/>
    <n v="5859.8571428571431"/>
    <n v="11719.714285714286"/>
    <n v="15626.285714285714"/>
    <n v="15626.285714285714"/>
    <n v="7813.1428571428569"/>
    <n v="15626.285714285714"/>
    <n v="9766.4285714285725"/>
    <n v="17579.571428571431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n v="36"/>
    <x v="43"/>
    <x v="1"/>
    <x v="33"/>
    <s v="Lektorok elszámolás 2021 év után"/>
    <x v="1"/>
    <x v="60"/>
    <s v="Működési költségvetés támogatása - Céltámogatás"/>
    <n v="34091614"/>
    <n v="34091614"/>
    <n v="0"/>
    <n v="34091614"/>
    <n v="14"/>
    <n v="10628832.299429435"/>
    <n v="0"/>
    <n v="0"/>
    <n v="0"/>
    <n v="0"/>
    <n v="0"/>
    <n v="3807759.1805383177"/>
    <n v="0"/>
    <n v="0"/>
    <n v="5708773.1817467185"/>
    <n v="9531176.7720782831"/>
    <n v="4415072.5662072431"/>
    <n v="0"/>
    <n v="0"/>
    <n v="0"/>
    <m/>
    <m/>
    <m/>
    <m/>
    <m/>
    <m/>
    <m/>
    <m/>
    <m/>
    <m/>
    <m/>
    <m/>
    <m/>
    <m/>
    <m/>
    <m/>
    <m/>
    <m/>
    <m/>
    <m/>
    <m/>
    <m/>
    <m/>
  </r>
  <r>
    <s v="37. a)"/>
    <x v="44"/>
    <x v="1"/>
    <x v="0"/>
    <s v="Alaptámogatás alulfinanszírozás miatti kiegészítése 2021/22 őszi félév 1,885 szorzó figyelembe vételével"/>
    <x v="1"/>
    <x v="0"/>
    <s v="ÖSSZEGZŐ SOR"/>
    <n v="73628928.370859295"/>
    <n v="73628928.691871852"/>
    <n v="-0.32101255655288696"/>
    <n v="73628928.691871852"/>
    <m/>
    <n v="20444523.778242677"/>
    <n v="2395802.2836783291"/>
    <n v="352917.02510460251"/>
    <n v="4108993.557220689"/>
    <n v="1164793.1587495017"/>
    <n v="6324765.5606302693"/>
    <n v="3916014.0962175154"/>
    <n v="4806499.3774371911"/>
    <n v="6284498.1819691816"/>
    <n v="3883786.6192468619"/>
    <n v="587299.03898476949"/>
    <n v="17700555.271966524"/>
    <n v="1563533.8024861338"/>
    <n v="94947.040702611266"/>
    <n v="-0.10076500847935677"/>
    <m/>
    <m/>
    <m/>
    <m/>
    <m/>
    <m/>
    <m/>
    <m/>
    <m/>
    <m/>
    <m/>
    <m/>
    <m/>
    <m/>
    <m/>
    <m/>
    <m/>
    <m/>
    <m/>
    <m/>
    <m/>
    <m/>
    <m/>
  </r>
  <r>
    <m/>
    <x v="2"/>
    <x v="1"/>
    <x v="34"/>
    <s v="Képzési támogatás tervezése képzési munkaszámokra"/>
    <x v="2"/>
    <x v="1"/>
    <s v="Működési költségvetés támogatása - Képzés"/>
    <n v="112698392.09795535"/>
    <n v="112698392.09795535"/>
    <n v="0"/>
    <n v="112698392.09795535"/>
    <m/>
    <m/>
    <m/>
    <m/>
    <m/>
    <m/>
    <m/>
    <m/>
    <m/>
    <m/>
    <m/>
    <m/>
    <m/>
    <m/>
    <m/>
    <m/>
    <m/>
    <m/>
    <m/>
    <m/>
    <m/>
    <m/>
    <m/>
    <m/>
    <m/>
    <n v="112698392.09795535"/>
    <m/>
    <m/>
    <m/>
    <m/>
    <m/>
    <m/>
    <m/>
    <m/>
    <m/>
    <m/>
    <m/>
    <m/>
    <m/>
  </r>
  <r>
    <m/>
    <x v="3"/>
    <x v="1"/>
    <x v="34"/>
    <s v="Átoktatás átadás, támogatás"/>
    <x v="2"/>
    <x v="2"/>
    <s v="T Átoktatásra támogatás ÁTADÁS"/>
    <n v="-41285195.532014921"/>
    <n v="-41285195.532014921"/>
    <n v="0"/>
    <n v="0"/>
    <m/>
    <m/>
    <m/>
    <m/>
    <m/>
    <m/>
    <m/>
    <m/>
    <m/>
    <m/>
    <m/>
    <m/>
    <m/>
    <m/>
    <m/>
    <m/>
    <m/>
    <m/>
    <m/>
    <m/>
    <m/>
    <m/>
    <m/>
    <m/>
    <m/>
    <n v="-41285195.532014921"/>
    <m/>
    <m/>
    <m/>
    <m/>
    <m/>
    <m/>
    <m/>
    <m/>
    <m/>
    <m/>
    <m/>
    <m/>
    <m/>
  </r>
  <r>
    <m/>
    <x v="4"/>
    <x v="1"/>
    <x v="0"/>
    <s v="Átoktatással csökkentett képzési támogatás áthozatala képzési munkaszámokról intézetekre / tanszékekre, általános munkaszámra, hivatalokra"/>
    <x v="3"/>
    <x v="3"/>
    <s v="T Képzési finanszírozás átadás"/>
    <n v="71413196.565940425"/>
    <n v="0.3332945704460144"/>
    <n v="71413196.232645854"/>
    <n v="0.3332945704460144"/>
    <s v="22.b2"/>
    <n v="14663085"/>
    <n v="1445233"/>
    <n v="166419"/>
    <n v="2017895"/>
    <n v="538605"/>
    <n v="4442817"/>
    <n v="2057083"/>
    <n v="2054309"/>
    <n v="5358352"/>
    <n v="2997921"/>
    <n v="369796"/>
    <n v="11965741"/>
    <n v="1049427"/>
    <n v="0"/>
    <n v="22286513.899234992"/>
    <m/>
    <m/>
    <m/>
    <m/>
    <m/>
    <m/>
    <m/>
    <m/>
    <m/>
    <n v="-71413196.565940425"/>
    <m/>
    <m/>
    <m/>
    <m/>
    <m/>
    <m/>
    <m/>
    <m/>
    <m/>
    <m/>
    <m/>
    <m/>
    <m/>
  </r>
  <r>
    <m/>
    <x v="4"/>
    <x v="1"/>
    <x v="0"/>
    <s v="Képzési támogatás felosztása általános munkaszámról intézetekre / tanszékekre"/>
    <x v="3"/>
    <x v="3"/>
    <s v="T Képzési finanszírozás átadás"/>
    <n v="0"/>
    <n v="0"/>
    <n v="0"/>
    <n v="0"/>
    <n v="3"/>
    <n v="5781438.7782426784"/>
    <n v="885865.6192468619"/>
    <n v="186498.02510460251"/>
    <n v="1771731.2384937238"/>
    <n v="372996.05020920502"/>
    <n v="1841667.9979079496"/>
    <n v="1841667.9979079496"/>
    <n v="1491984.2008368201"/>
    <n v="885865.6192468619"/>
    <n v="885865.6192468619"/>
    <n v="139873.51882845187"/>
    <n v="5734814.2719665263"/>
    <n v="466245.06276150624"/>
    <n v="0"/>
    <n v="-22286514"/>
    <m/>
    <m/>
    <m/>
    <m/>
    <m/>
    <m/>
    <m/>
    <m/>
    <m/>
    <m/>
    <m/>
    <m/>
    <m/>
    <m/>
    <m/>
    <m/>
    <m/>
    <m/>
    <m/>
    <m/>
    <m/>
    <m/>
    <m/>
  </r>
  <r>
    <m/>
    <x v="5"/>
    <x v="1"/>
    <x v="35"/>
    <s v="Átoktatás átvétel, támogatás"/>
    <x v="3"/>
    <x v="4"/>
    <s v="T Átoktatásra támogatás ÁTVÉTEL"/>
    <n v="2215731.7926368634"/>
    <n v="2215731.7926368616"/>
    <n v="0"/>
    <n v="0"/>
    <s v="22.b3"/>
    <n v="0"/>
    <n v="0"/>
    <n v="0"/>
    <n v="319367.31872696511"/>
    <n v="253192.1085402967"/>
    <n v="40280.562722319926"/>
    <n v="17263.098309565681"/>
    <n v="1260206.176600371"/>
    <n v="40280.562722319926"/>
    <n v="0"/>
    <n v="11721.720795979514"/>
    <n v="0"/>
    <n v="47861.739724627398"/>
    <n v="94947.040702611266"/>
    <n v="130611.46379180512"/>
    <m/>
    <m/>
    <m/>
    <m/>
    <m/>
    <m/>
    <m/>
    <m/>
    <m/>
    <m/>
    <m/>
    <m/>
    <m/>
    <m/>
    <m/>
    <m/>
    <m/>
    <m/>
    <m/>
    <m/>
    <m/>
    <m/>
    <m/>
  </r>
  <r>
    <m/>
    <x v="5"/>
    <x v="1"/>
    <x v="35"/>
    <s v="Átoktatás átvétel, támogatás felosztása általános munkaszámról intézetekre / tanszékekre"/>
    <x v="3"/>
    <x v="4"/>
    <s v="T Átoktatásra támogatás ÁTVÉTEL"/>
    <n v="0"/>
    <n v="0"/>
    <n v="0"/>
    <n v="0"/>
    <n v="12"/>
    <n v="0"/>
    <n v="64703.664431466983"/>
    <n v="0"/>
    <n v="0"/>
    <n v="0"/>
    <n v="0"/>
    <n v="0"/>
    <n v="0"/>
    <n v="0"/>
    <n v="0"/>
    <n v="65907.799360338133"/>
    <n v="0"/>
    <n v="0"/>
    <n v="0"/>
    <n v="-130611.46379180512"/>
    <m/>
    <m/>
    <m/>
    <m/>
    <m/>
    <m/>
    <m/>
    <m/>
    <m/>
    <m/>
    <m/>
    <m/>
    <m/>
    <m/>
    <m/>
    <m/>
    <m/>
    <m/>
    <m/>
    <m/>
    <m/>
    <m/>
    <m/>
  </r>
  <r>
    <s v="37. b)"/>
    <x v="45"/>
    <x v="1"/>
    <x v="36"/>
    <s v="GTK felfutás hatás - 2022. tavaszán és őszén felvételre kerülő hallgatók becslésének 80%-a"/>
    <x v="1"/>
    <x v="1"/>
    <s v="Működési költségvetés támogatása - Képzés"/>
    <n v="0"/>
    <n v="0"/>
    <n v="0"/>
    <n v="0"/>
    <m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n v="38"/>
    <x v="46"/>
    <x v="1"/>
    <x v="37"/>
    <s v="Béremelés 2021-2022 még itt nem lévő része"/>
    <x v="1"/>
    <x v="60"/>
    <s v="Működési költségvetés támogatása - Céltámogatás"/>
    <n v="32246232"/>
    <n v="32246232"/>
    <n v="0"/>
    <n v="32246232"/>
    <n v="1"/>
    <n v="5264690.9387755096"/>
    <n v="2961388.6530612246"/>
    <n v="658086.3673469387"/>
    <n v="3290431.836734694"/>
    <n v="1316172.7346938774"/>
    <n v="1974259.1020408163"/>
    <n v="987129.55102040817"/>
    <n v="1974259.1020408163"/>
    <n v="2632345.4693877548"/>
    <n v="2632345.4693877548"/>
    <n v="1316172.7346938774"/>
    <n v="2632345.4693877548"/>
    <n v="1645215.918367347"/>
    <n v="2961388.6530612246"/>
    <n v="0"/>
    <m/>
    <m/>
    <m/>
    <m/>
    <m/>
    <m/>
    <m/>
    <m/>
    <m/>
    <m/>
    <m/>
    <m/>
    <m/>
    <m/>
    <m/>
    <m/>
    <m/>
    <m/>
    <m/>
    <m/>
    <m/>
    <m/>
    <m/>
  </r>
  <r>
    <n v="39"/>
    <x v="47"/>
    <x v="1"/>
    <x v="0"/>
    <s v="Stipendium Hungaricum költségtérítés célszervezetre (átoktatás után) - 2021 évi tény 85%-a"/>
    <x v="1"/>
    <x v="0"/>
    <s v="ÖSSZEGZŐ SOR"/>
    <n v="5239256.3252908494"/>
    <n v="5239256.3252908494"/>
    <n v="0"/>
    <n v="5239256.3252908494"/>
    <m/>
    <n v="0"/>
    <n v="0"/>
    <n v="0"/>
    <n v="977660.27122652205"/>
    <n v="1303547.0283020295"/>
    <n v="0"/>
    <n v="0"/>
    <n v="1855047.6941221186"/>
    <n v="0"/>
    <n v="1103001.3316401788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m/>
    <x v="48"/>
    <x v="1"/>
    <x v="38"/>
    <s v="Stipendium Hungaricum képzési támogatás átvétele stipendium munkaszámról / tervezése képzési munkaszámokra"/>
    <x v="2"/>
    <x v="81"/>
    <s v="Működési költségvetés támogatása - Stipendium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</r>
  <r>
    <m/>
    <x v="49"/>
    <x v="1"/>
    <x v="38"/>
    <s v="Átoktatás átadás, Stipendium Hungaricum"/>
    <x v="2"/>
    <x v="2"/>
    <s v="T Átoktatásra támogatás ÁTADÁ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</r>
  <r>
    <m/>
    <x v="50"/>
    <x v="1"/>
    <x v="0"/>
    <s v="Átoktatással csökkentett Stipendium Hungaricum képzési támogatás áthozatala képzési munkaszámokról intézetekre / tanszékekre, általános munkaszámra, hivatalokra"/>
    <x v="3"/>
    <x v="3"/>
    <s v="T Képzési finanszírozás átadás"/>
    <n v="0"/>
    <n v="0"/>
    <n v="0"/>
    <n v="0"/>
    <s v="22.b2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n v="0"/>
    <m/>
    <m/>
    <m/>
    <m/>
    <m/>
    <m/>
    <m/>
    <m/>
    <m/>
    <m/>
    <m/>
    <m/>
    <m/>
  </r>
  <r>
    <m/>
    <x v="50"/>
    <x v="1"/>
    <x v="0"/>
    <s v="Stipendium Hungaricum képzési támogatás felosztása általános munkaszámról intézetekre / tanszékekre"/>
    <x v="3"/>
    <x v="3"/>
    <s v="T Képzési finanszírozás átadás"/>
    <n v="0"/>
    <n v="0"/>
    <n v="0"/>
    <n v="0"/>
    <m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m/>
    <x v="50"/>
    <x v="1"/>
    <x v="0"/>
    <s v="Stipendium Hungaricum képzési támogatás felosztása általános munkaszámról intézetekre / tanszékekre"/>
    <x v="3"/>
    <x v="3"/>
    <s v="T Képzési finanszírozás átadás"/>
    <n v="0"/>
    <n v="0"/>
    <n v="0"/>
    <n v="0"/>
    <m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</r>
  <r>
    <m/>
    <x v="50"/>
    <x v="1"/>
    <x v="0"/>
    <s v="Stipendium Hungaricum képzési támogatás felosztása általános munkaszámról intézetekre / tanszékekre"/>
    <x v="3"/>
    <x v="3"/>
    <s v="T Képzési finanszírozás átadás"/>
    <n v="0"/>
    <n v="0"/>
    <n v="0"/>
    <n v="0"/>
    <m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</r>
  <r>
    <m/>
    <x v="50"/>
    <x v="1"/>
    <x v="0"/>
    <s v="Stipendium Hungaricum képzési támogatás felosztása általános munkaszámról intézetekre / tanszékekre"/>
    <x v="3"/>
    <x v="3"/>
    <s v="T Képzési finanszírozás átadás"/>
    <n v="0"/>
    <n v="0"/>
    <n v="0"/>
    <n v="0"/>
    <m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</r>
  <r>
    <m/>
    <x v="50"/>
    <x v="1"/>
    <x v="0"/>
    <s v="Stipendium Hungaricum képzési támogatás felosztása hivatalokról intézetekre / tanszékekre"/>
    <x v="3"/>
    <x v="3"/>
    <s v="T Képzési finanszírozás átadás"/>
    <n v="0"/>
    <n v="0"/>
    <n v="0"/>
    <n v="0"/>
    <m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</r>
  <r>
    <m/>
    <x v="51"/>
    <x v="1"/>
    <x v="39"/>
    <s v="Átoktatás átvétel, Stipendium Hungaricum"/>
    <x v="3"/>
    <x v="4"/>
    <s v="T Átoktatásra támogatás ÁTVÉTEL"/>
    <n v="5239256.3252908494"/>
    <n v="5239256.3252908494"/>
    <n v="0"/>
    <n v="0"/>
    <s v="22.b3"/>
    <n v="0"/>
    <n v="0"/>
    <n v="0"/>
    <n v="977660.27122652205"/>
    <n v="1303547.0283020295"/>
    <n v="0"/>
    <n v="0"/>
    <n v="1855047.6941221186"/>
    <n v="0"/>
    <n v="1103001.3316401788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m/>
    <x v="51"/>
    <x v="1"/>
    <x v="39"/>
    <s v="Átoktatás átvétel, Stipendium Hungaricum támogatás felosztása általános munkaszámról intézetekre / tanszékekre"/>
    <x v="3"/>
    <x v="4"/>
    <s v="T Átoktatásra támogatás ÁTVÉTEL"/>
    <n v="0"/>
    <n v="0"/>
    <n v="0"/>
    <n v="0"/>
    <m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m/>
    <x v="51"/>
    <x v="1"/>
    <x v="39"/>
    <s v="Átoktatás átvétel, Stipendium Hungaricum támogatás felosztása hivatalokról intézetekre / tanszékekre"/>
    <x v="3"/>
    <x v="4"/>
    <s v="T Átoktatásra támogatás ÁTVÉTEL"/>
    <n v="0"/>
    <n v="0"/>
    <n v="0"/>
    <n v="0"/>
    <m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</r>
  <r>
    <n v="40"/>
    <x v="52"/>
    <x v="1"/>
    <x v="40"/>
    <s v="Stipendium Hungaricum szervezési keret 2022 - 2021 évi tény 85%-a"/>
    <x v="1"/>
    <x v="81"/>
    <s v="Működési költségvetés támogatása - Stipendium"/>
    <n v="0"/>
    <n v="0"/>
    <n v="0"/>
    <n v="0"/>
    <m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n v="41"/>
    <x v="53"/>
    <x v="1"/>
    <x v="41"/>
    <s v="Szombathelyi működésre ÁKTH elvonás nem ittlévő bevételekből -19 %"/>
    <x v="0"/>
    <x v="0"/>
    <s v="ÖSSZEGZŐ SOR"/>
    <n v="-28818049.492268525"/>
    <n v="-28818049.553260915"/>
    <n v="6.0992389917373657E-2"/>
    <n v="-6.0992389917373657E-2"/>
    <m/>
    <n v="-7241297.3602920836"/>
    <n v="-1060010.0893787877"/>
    <n v="-198548.92406910792"/>
    <n v="-1661908.9801940867"/>
    <n v="-739407.57128239376"/>
    <n v="-1681480.7145079409"/>
    <n v="-1719610.7752763517"/>
    <n v="-1720878.5468095194"/>
    <n v="-1798956.3845206343"/>
    <n v="-2598175.1276538922"/>
    <n v="-2183579.923984874"/>
    <n v="-4991771.5688953511"/>
    <n v="-636841.8921321535"/>
    <n v="-585581.71340908785"/>
    <n v="1.9145351611077787E-2"/>
    <n v="0"/>
    <n v="0"/>
    <n v="0"/>
    <n v="0"/>
    <n v="0"/>
    <n v="0"/>
    <n v="0"/>
    <n v="0"/>
    <n v="0"/>
    <n v="0"/>
    <n v="0"/>
    <n v="0"/>
    <n v="28818049.492268525"/>
    <n v="0"/>
    <n v="0"/>
    <n v="0"/>
    <n v="0"/>
    <n v="0"/>
    <n v="0"/>
    <n v="0"/>
    <n v="0"/>
    <n v="0"/>
    <n v="0"/>
  </r>
  <r>
    <s v="41. a)"/>
    <x v="0"/>
    <x v="0"/>
    <x v="0"/>
    <s v="Szombathelyi működésre ÁKTH elvonás nem ittlévő bevételekből -19 % TÁRGYÉVI FORRÁSBÓL"/>
    <x v="1"/>
    <x v="62"/>
    <s v="T ÁKTH ÁTADÁS"/>
    <n v="-28818049.492268525"/>
    <n v="-28818049.553260915"/>
    <n v="6.0992389917373657E-2"/>
    <n v="-6.0992389917373657E-2"/>
    <m/>
    <n v="-7241297.3602920836"/>
    <n v="-1060010.0893787877"/>
    <n v="-198548.92406910792"/>
    <n v="-1661908.9801940867"/>
    <n v="-739407.57128239376"/>
    <n v="-1681480.7145079409"/>
    <n v="-1719610.7752763517"/>
    <n v="-1720878.5468095194"/>
    <n v="-1798956.3845206343"/>
    <n v="-2598175.1276538922"/>
    <n v="-2183579.923984874"/>
    <n v="-4991771.5688953511"/>
    <n v="-636841.8921321535"/>
    <n v="-585581.71340908785"/>
    <n v="1.9145351611077787E-2"/>
    <n v="0"/>
    <n v="0"/>
    <n v="0"/>
    <n v="0"/>
    <n v="0"/>
    <n v="0"/>
    <n v="0"/>
    <n v="0"/>
    <n v="0"/>
    <n v="0"/>
    <n v="0"/>
    <m/>
    <n v="28818049.492268525"/>
    <m/>
    <m/>
    <m/>
    <m/>
    <m/>
    <m/>
    <m/>
    <m/>
    <m/>
    <m/>
  </r>
  <r>
    <s v="41. b)"/>
    <x v="0"/>
    <x v="0"/>
    <x v="0"/>
    <s v="Szombathelyi működésre ÁKTH elvonás nem ittlévő bevételekből -19 % MARADVÁNY FORRÁSBÓL"/>
    <x v="4"/>
    <x v="0"/>
    <s v="MARADVÁNY"/>
    <n v="0"/>
    <n v="0"/>
    <n v="0"/>
    <n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n v="42"/>
    <x v="54"/>
    <x v="1"/>
    <x v="42"/>
    <s v="Egyetemi kiválósági alap elvonás nem ittlévő bevételekből -1%"/>
    <x v="0"/>
    <x v="0"/>
    <s v="ÖSSZEGZŐ SOR"/>
    <n v="-758369.72348075069"/>
    <n v="-758369.72508581355"/>
    <n v="1.6050628619268537E-3"/>
    <n v="-1.6050628619268537E-3"/>
    <m/>
    <n v="-190560.45684979166"/>
    <n v="-27895.002352073359"/>
    <n v="-5224.9716860291564"/>
    <n v="-43734.446847212821"/>
    <n v="-19458.093981115624"/>
    <n v="-44249.49248705108"/>
    <n v="-45252.915138851356"/>
    <n v="-45286.277547618934"/>
    <n v="-47340.957487385116"/>
    <n v="-68373.029675102414"/>
    <n v="-57462.629578549313"/>
    <n v="-131362.4097077724"/>
    <n v="-16758.997161372459"/>
    <n v="-15410.045089712839"/>
    <n v="5.0382504239678385E-4"/>
    <n v="0"/>
    <n v="0"/>
    <n v="0"/>
    <n v="0"/>
    <n v="0"/>
    <n v="0"/>
    <n v="0"/>
    <n v="0"/>
    <n v="0"/>
    <n v="0"/>
    <n v="0"/>
    <n v="0"/>
    <n v="0"/>
    <n v="0"/>
    <n v="0"/>
    <n v="758369.72348075069"/>
    <n v="0"/>
    <n v="0"/>
    <n v="0"/>
    <n v="0"/>
    <n v="0"/>
    <n v="0"/>
    <n v="0"/>
  </r>
  <r>
    <s v="42. a)"/>
    <x v="0"/>
    <x v="0"/>
    <x v="0"/>
    <s v="Egyetemi kiválósági alap elvonás nem ittlévő bevételekből -1% TÁRGYÉVI FORRÁSBÓL"/>
    <x v="1"/>
    <x v="64"/>
    <s v="T Kiválósági Alap"/>
    <n v="-758369.72348075069"/>
    <n v="-758369.72508581355"/>
    <n v="1.6050628619268537E-3"/>
    <n v="-1.6050628619268537E-3"/>
    <m/>
    <n v="-190560.45684979166"/>
    <n v="-27895.002352073359"/>
    <n v="-5224.9716860291564"/>
    <n v="-43734.446847212821"/>
    <n v="-19458.093981115624"/>
    <n v="-44249.49248705108"/>
    <n v="-45252.915138851356"/>
    <n v="-45286.277547618934"/>
    <n v="-47340.957487385116"/>
    <n v="-68373.029675102414"/>
    <n v="-57462.629578549313"/>
    <n v="-131362.4097077724"/>
    <n v="-16758.997161372459"/>
    <n v="-15410.045089712839"/>
    <n v="5.0382504239678385E-4"/>
    <n v="0"/>
    <n v="0"/>
    <n v="0"/>
    <n v="0"/>
    <n v="0"/>
    <n v="0"/>
    <n v="0"/>
    <n v="0"/>
    <n v="0"/>
    <n v="0"/>
    <n v="0"/>
    <m/>
    <m/>
    <m/>
    <m/>
    <n v="758369.72348075069"/>
    <m/>
    <m/>
    <m/>
    <m/>
    <m/>
    <m/>
    <m/>
  </r>
  <r>
    <s v="42. b)"/>
    <x v="0"/>
    <x v="0"/>
    <x v="0"/>
    <s v="Egyetemi kiválósági alap elvonás nem ittlévő bevételekből -1% MARADVÁNY FORRÁSBÓL"/>
    <x v="4"/>
    <x v="0"/>
    <s v="MARADVÁNY"/>
    <n v="0"/>
    <n v="0"/>
    <n v="0"/>
    <n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n v="43"/>
    <x v="55"/>
    <x v="1"/>
    <x v="43"/>
    <s v="Kari kiválósági elvonás nem ittlévő bevételekből -1,5 %"/>
    <x v="0"/>
    <x v="0"/>
    <s v="ÖSSZEGZŐ SOR"/>
    <n v="-2275109.170442252"/>
    <n v="-4.8151882365345955E-3"/>
    <n v="-2275109.1656270637"/>
    <n v="-4.8151882365345955E-3"/>
    <m/>
    <n v="-571681.37054937496"/>
    <n v="-83685.007056220071"/>
    <n v="-15674.915058087467"/>
    <n v="-131203.34054163843"/>
    <n v="-58374.281943346876"/>
    <n v="-132748.47746115323"/>
    <n v="-135758.74541655407"/>
    <n v="-135858.83264285678"/>
    <n v="-142022.87246215533"/>
    <n v="-205119.08902530724"/>
    <n v="-172387.88873564792"/>
    <n v="-394087.22912331717"/>
    <n v="-50276.991484117381"/>
    <n v="-46230.135269138518"/>
    <n v="1.5114751271903515E-3"/>
    <n v="0"/>
    <n v="0"/>
    <n v="0"/>
    <n v="2275109.17044225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43. a)"/>
    <x v="0"/>
    <x v="0"/>
    <x v="0"/>
    <s v="Kari kiválósági elvonás még nem ittlévő bevételekből -1,5 %, idei forrás"/>
    <x v="1"/>
    <x v="66"/>
    <s v="T Kari kiválósági keret"/>
    <n v="-2275109.170442252"/>
    <n v="-4.8151882365345955E-3"/>
    <n v="-2275109.1656270637"/>
    <n v="-4.8151882365345955E-3"/>
    <m/>
    <n v="-571681.37054937496"/>
    <n v="-83685.007056220071"/>
    <n v="-15674.915058087467"/>
    <n v="-131203.34054163843"/>
    <n v="-58374.281943346876"/>
    <n v="-132748.47746115323"/>
    <n v="-135758.74541655407"/>
    <n v="-135858.83264285678"/>
    <n v="-142022.87246215533"/>
    <n v="-205119.08902530724"/>
    <n v="-172387.88873564792"/>
    <n v="-394087.22912331717"/>
    <n v="-50276.991484117381"/>
    <n v="-46230.135269138518"/>
    <n v="1.5114751271903515E-3"/>
    <m/>
    <m/>
    <m/>
    <n v="2275109.170442252"/>
    <m/>
    <m/>
    <m/>
    <m/>
    <m/>
    <m/>
    <m/>
    <m/>
    <m/>
    <m/>
    <m/>
    <m/>
    <m/>
    <m/>
    <m/>
    <m/>
    <m/>
    <m/>
    <m/>
  </r>
  <r>
    <s v="43. b)"/>
    <x v="0"/>
    <x v="0"/>
    <x v="0"/>
    <s v="Kari kiválósági elvonás még &quot;nem ittlévő&quot; bevételekből -1,5 %, maradvány"/>
    <x v="4"/>
    <x v="0"/>
    <s v="MARADVÁNY"/>
    <n v="0"/>
    <n v="0"/>
    <n v="0"/>
    <n v="0"/>
    <m/>
    <n v="0"/>
    <n v="0"/>
    <n v="0"/>
    <n v="0"/>
    <n v="0"/>
    <n v="0"/>
    <n v="0"/>
    <n v="0"/>
    <n v="0"/>
    <n v="0"/>
    <n v="0"/>
    <n v="0"/>
    <n v="0"/>
    <n v="0"/>
    <n v="0"/>
    <m/>
    <m/>
    <m/>
    <n v="0"/>
    <m/>
    <m/>
    <m/>
    <m/>
    <m/>
    <m/>
    <m/>
    <m/>
    <m/>
    <m/>
    <m/>
    <m/>
    <m/>
    <m/>
    <m/>
    <m/>
    <m/>
    <m/>
    <m/>
  </r>
  <r>
    <n v="44"/>
    <x v="30"/>
    <x v="1"/>
    <x v="44"/>
    <s v="Karnál kiválósági visszahagyás nem ittlévő bevételekből +1,5 %"/>
    <x v="0"/>
    <x v="0"/>
    <s v="NEM TERVEZENDŐ"/>
    <n v="2275109.170442252"/>
    <n v="0"/>
    <n v="2275109.170442252"/>
    <n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44. a)"/>
    <x v="0"/>
    <x v="0"/>
    <x v="0"/>
    <s v="Karnál kiválósági visszahagyás még nem ittlévő bevételekből +1,5 %, idei forrás"/>
    <x v="1"/>
    <x v="67"/>
    <s v="NEM TERVEZENDŐ"/>
    <n v="2275109.170442252"/>
    <n v="0"/>
    <n v="2275109.17044225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44. b)"/>
    <x v="0"/>
    <x v="0"/>
    <x v="0"/>
    <s v="Karnál kiválósági visszahagyás még &quot;nem ittlévő&quot; bevételekből +1,5 %, maradvány"/>
    <x v="4"/>
    <x v="0"/>
    <s v="NEM TERVEZENDŐ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56"/>
    <x v="5"/>
    <x v="45"/>
    <s v="Bevétel egyenleg III. (Bevétel egyenleg II. + nem ittlévő bevételek)"/>
    <x v="0"/>
    <x v="0"/>
    <m/>
    <n v="761698682.8549428"/>
    <n v="761698681.43566918"/>
    <n v="1.4192737452685833"/>
    <n v="1015884925.3828527"/>
    <m/>
    <n v="133618730.45713712"/>
    <n v="26154628.43684268"/>
    <n v="9060167.503679242"/>
    <n v="38426218.006297417"/>
    <n v="14824288.26299422"/>
    <n v="36274589.287557997"/>
    <n v="27586891.429440029"/>
    <n v="42909179.376457155"/>
    <n v="48248574.347422503"/>
    <n v="42596167.525325142"/>
    <n v="31264081.927267652"/>
    <n v="92992010.243323818"/>
    <n v="18791651.529201284"/>
    <n v="10897809.568182094"/>
    <n v="9861025.8741799332"/>
    <n v="38586146.113053955"/>
    <n v="5621500"/>
    <n v="-9286"/>
    <n v="14607068.427306894"/>
    <n v="0"/>
    <n v="-452535"/>
    <n v="0"/>
    <n v="0"/>
    <n v="0"/>
    <n v="0"/>
    <n v="119839774.12"/>
    <n v="1911197"/>
    <n v="178656704.64255401"/>
    <n v="40180860"/>
    <n v="157177.68975872546"/>
    <n v="4701492.2274356307"/>
    <n v="0"/>
    <n v="0"/>
    <n v="0"/>
    <n v="0"/>
    <n v="0"/>
    <n v="0"/>
    <n v="9239068.3874350004"/>
  </r>
  <r>
    <n v="48"/>
    <x v="57"/>
    <x v="1"/>
    <x v="46"/>
    <s v="Egyéb ÁKTH (köznevelés 6%-a)"/>
    <x v="1"/>
    <x v="0"/>
    <s v="ÖSSZEGZŐ SOR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58"/>
    <x v="1"/>
    <x v="47"/>
    <s v="Bevételátadás belső működésre"/>
    <x v="0"/>
    <x v="0"/>
    <s v="ÖSSZEGZŐ SOR"/>
    <n v="0"/>
    <n v="7.4505805969238281E-9"/>
    <n v="-7.4505805969238281E-9"/>
    <n v="7.4505805969238281E-9"/>
    <m/>
    <n v="-19928866.406046104"/>
    <n v="-1304722.3213310875"/>
    <n v="-316049.00924525771"/>
    <n v="-1494791.7951189633"/>
    <n v="-568008.08016002143"/>
    <n v="-1113712.7017562161"/>
    <n v="-5592385.8917687014"/>
    <n v="-1482229.8471565568"/>
    <n v="-2392996.9577646758"/>
    <n v="-10945374.660585044"/>
    <n v="-10014190.263218891"/>
    <n v="-7979416.0449499879"/>
    <n v="-1073810.0208984935"/>
    <n v="52916450"/>
    <n v="1635414"/>
    <n v="-24682907"/>
    <n v="-5621500"/>
    <n v="9286"/>
    <n v="0"/>
    <n v="42844292"/>
    <n v="452535"/>
    <n v="0"/>
    <n v="0"/>
    <n v="0"/>
    <n v="0"/>
    <n v="-3347016"/>
    <m/>
    <m/>
    <m/>
    <m/>
    <m/>
    <m/>
    <m/>
    <m/>
    <m/>
    <m/>
    <m/>
    <m/>
  </r>
  <r>
    <m/>
    <x v="0"/>
    <x v="0"/>
    <x v="0"/>
    <s v="Bevételátadás belső működésre, maradvány"/>
    <x v="0"/>
    <x v="0"/>
    <s v="MARADVÁNY ÖSSZEGZŐ SOR"/>
    <n v="0"/>
    <n v="0"/>
    <n v="0"/>
    <n v="0"/>
    <m/>
    <n v="0"/>
    <n v="0"/>
    <n v="0"/>
    <n v="0"/>
    <n v="0"/>
    <n v="0"/>
    <n v="0"/>
    <n v="0"/>
    <n v="-7227"/>
    <n v="0"/>
    <n v="0"/>
    <n v="0"/>
    <n v="-454594"/>
    <n v="23977706"/>
    <n v="943652"/>
    <n v="-24829858"/>
    <n v="-91500"/>
    <n v="9286"/>
    <n v="0"/>
    <n v="0"/>
    <n v="452535"/>
    <n v="0"/>
    <n v="0"/>
    <n v="0"/>
    <n v="0"/>
    <n v="0"/>
    <m/>
    <m/>
    <m/>
    <m/>
    <m/>
    <m/>
    <m/>
    <m/>
    <m/>
    <m/>
    <m/>
    <m/>
  </r>
  <r>
    <m/>
    <x v="0"/>
    <x v="0"/>
    <x v="0"/>
    <s v="Belső működési átadás Igazgatói Hivatal"/>
    <x v="4"/>
    <x v="0"/>
    <s v="kitöltés esetén át kell adni bizonylattal"/>
    <n v="0"/>
    <n v="0"/>
    <n v="0"/>
    <n v="0"/>
    <m/>
    <n v="0"/>
    <n v="0"/>
    <n v="0"/>
    <n v="0"/>
    <n v="0"/>
    <n v="0"/>
    <n v="0"/>
    <n v="0"/>
    <n v="0"/>
    <n v="0"/>
    <n v="0"/>
    <m/>
    <n v="0"/>
    <n v="23977706"/>
    <n v="-3340023"/>
    <n v="-20546183"/>
    <n v="-91500"/>
    <n v="0"/>
    <m/>
    <m/>
    <m/>
    <m/>
    <m/>
    <m/>
    <m/>
    <m/>
    <m/>
    <m/>
    <m/>
    <m/>
    <m/>
    <m/>
    <m/>
    <m/>
    <m/>
    <m/>
    <m/>
    <m/>
  </r>
  <r>
    <m/>
    <x v="0"/>
    <x v="0"/>
    <x v="0"/>
    <s v="Belső működési átadás - általános munkaszámra"/>
    <x v="4"/>
    <x v="0"/>
    <s v="kitöltés esetén át kell adni bizonylattal"/>
    <n v="0"/>
    <n v="0"/>
    <n v="0"/>
    <n v="0"/>
    <m/>
    <n v="0"/>
    <n v="0"/>
    <n v="0"/>
    <n v="0"/>
    <n v="0"/>
    <n v="0"/>
    <n v="0"/>
    <n v="0"/>
    <n v="0"/>
    <n v="0"/>
    <n v="0"/>
    <n v="0"/>
    <n v="0"/>
    <m/>
    <n v="4283675"/>
    <n v="-4283675"/>
    <n v="0"/>
    <n v="0"/>
    <m/>
    <m/>
    <m/>
    <m/>
    <m/>
    <m/>
    <m/>
    <m/>
    <m/>
    <m/>
    <m/>
    <m/>
    <m/>
    <m/>
    <m/>
    <m/>
    <m/>
    <m/>
    <m/>
    <m/>
  </r>
  <r>
    <m/>
    <x v="0"/>
    <x v="0"/>
    <x v="0"/>
    <s v="Művészeti gyakorlóhely maradványára"/>
    <x v="4"/>
    <x v="0"/>
    <s v="kitöltés esetén át kell adni bizonylattal"/>
    <n v="0"/>
    <n v="0"/>
    <n v="0"/>
    <n v="0"/>
    <m/>
    <n v="0"/>
    <n v="0"/>
    <n v="0"/>
    <n v="0"/>
    <n v="0"/>
    <n v="0"/>
    <n v="0"/>
    <n v="0"/>
    <n v="-7227"/>
    <n v="0"/>
    <n v="0"/>
    <n v="0"/>
    <n v="-2059"/>
    <m/>
    <m/>
    <m/>
    <m/>
    <n v="9286"/>
    <m/>
    <m/>
    <m/>
    <m/>
    <m/>
    <m/>
    <m/>
    <m/>
    <m/>
    <m/>
    <m/>
    <m/>
    <m/>
    <m/>
    <m/>
    <m/>
    <m/>
    <m/>
    <m/>
    <m/>
  </r>
  <r>
    <m/>
    <x v="0"/>
    <x v="0"/>
    <x v="0"/>
    <s v="Egyéb célfeladatokra_átadás"/>
    <x v="4"/>
    <x v="0"/>
    <s v="kitöltés esetén át kell adni bizonylattal"/>
    <n v="0"/>
    <n v="0"/>
    <n v="0"/>
    <n v="0"/>
    <m/>
    <m/>
    <m/>
    <m/>
    <m/>
    <m/>
    <m/>
    <m/>
    <m/>
    <m/>
    <m/>
    <m/>
    <m/>
    <n v="-452535"/>
    <m/>
    <m/>
    <m/>
    <m/>
    <m/>
    <m/>
    <m/>
    <n v="452535"/>
    <m/>
    <m/>
    <m/>
    <m/>
    <m/>
    <m/>
    <m/>
    <m/>
    <m/>
    <m/>
    <m/>
    <m/>
    <m/>
    <m/>
    <m/>
    <m/>
    <m/>
  </r>
  <r>
    <m/>
    <x v="0"/>
    <x v="0"/>
    <x v="0"/>
    <s v="Bevételátadás belső működésre, idei forrás"/>
    <x v="0"/>
    <x v="0"/>
    <s v="ÖSSZEGZŐ SOR"/>
    <n v="0"/>
    <n v="7.4505805969238281E-9"/>
    <n v="-7.4505805969238281E-9"/>
    <n v="7.4505805969238281E-9"/>
    <m/>
    <n v="-19928866.406046104"/>
    <n v="-1304722.3213310875"/>
    <n v="-316049.00924525771"/>
    <n v="-1494791.7951189633"/>
    <n v="-568008.08016002143"/>
    <n v="-1113712.7017562161"/>
    <n v="-5592385.8917687014"/>
    <n v="-1482229.8471565568"/>
    <n v="-2385769.9577646758"/>
    <n v="-10945374.660585044"/>
    <n v="-10014190.263218891"/>
    <n v="-7979416.0449499879"/>
    <n v="-619216.02089849359"/>
    <n v="28938744"/>
    <n v="691762"/>
    <n v="146951"/>
    <n v="-5530000"/>
    <n v="0"/>
    <n v="0"/>
    <n v="42844292"/>
    <n v="0"/>
    <n v="0"/>
    <n v="0"/>
    <n v="0"/>
    <n v="0"/>
    <n v="-3347016"/>
    <m/>
    <m/>
    <m/>
    <m/>
    <m/>
    <m/>
    <m/>
    <m/>
    <m/>
    <m/>
    <m/>
    <m/>
  </r>
  <r>
    <m/>
    <x v="0"/>
    <x v="0"/>
    <x v="0"/>
    <s v="Bevételátadás belső működésre, idei forrás, saját bevétel"/>
    <x v="0"/>
    <x v="0"/>
    <s v="ÖSSZEGZŐ SOR"/>
    <n v="0"/>
    <n v="3.7252902984619141E-9"/>
    <n v="-3.7252902984619141E-9"/>
    <n v="3.7252902984619141E-9"/>
    <m/>
    <n v="-6551821.3348161466"/>
    <n v="-1513661.763568325"/>
    <n v="-366661.39061692473"/>
    <n v="-1734169.1391152882"/>
    <n v="-658969.42075684783"/>
    <n v="-1292063.6864163619"/>
    <n v="-965131.68192198011"/>
    <n v="-1719595.5091591217"/>
    <n v="-2767829.3708152282"/>
    <n v="-1652528.9636602034"/>
    <n v="-572223.83353367925"/>
    <n v="-3734423.0570162507"/>
    <n v="-718377.84860364068"/>
    <n v="28938744"/>
    <n v="0"/>
    <n v="0"/>
    <n v="-4691287"/>
    <n v="0"/>
    <n v="0"/>
    <n v="0"/>
    <n v="0"/>
    <n v="0"/>
    <n v="0"/>
    <n v="0"/>
    <n v="0"/>
    <n v="0"/>
    <m/>
    <m/>
    <m/>
    <m/>
    <m/>
    <m/>
    <m/>
    <m/>
    <m/>
    <m/>
    <m/>
    <m/>
  </r>
  <r>
    <m/>
    <x v="0"/>
    <x v="0"/>
    <x v="0"/>
    <s v="Igazgatói Hivatal_forrásbiztosítás"/>
    <x v="3"/>
    <x v="69"/>
    <s v="T Belső működésre átadás"/>
    <n v="0"/>
    <n v="3.7252902984619141E-9"/>
    <n v="-3.7252902984619141E-9"/>
    <n v="3.7252902984619141E-9"/>
    <n v="7"/>
    <n v="-7819437.7390578631"/>
    <n v="-1806518.113569282"/>
    <n v="-437601.35826809332"/>
    <n v="-2069688.2468770936"/>
    <n v="-786463.80818865681"/>
    <n v="-1542046.2547020654"/>
    <n v="-1151860.9423425149"/>
    <n v="-2052294.9777003617"/>
    <n v="-3303336.3291541445"/>
    <n v="-1972252.7039411978"/>
    <n v="-682935.0817832055"/>
    <n v="-4456942.1376720322"/>
    <n v="-857366.30674348713"/>
    <n v="28938744"/>
    <m/>
    <m/>
    <n v="0"/>
    <n v="0"/>
    <m/>
    <m/>
    <m/>
    <m/>
    <m/>
    <m/>
    <m/>
    <m/>
    <m/>
    <m/>
    <m/>
    <m/>
    <m/>
    <m/>
    <m/>
    <m/>
    <m/>
    <m/>
    <m/>
    <m/>
  </r>
  <r>
    <m/>
    <x v="0"/>
    <x v="0"/>
    <x v="0"/>
    <s v="Belső működési átadás - hallgatói befizetés szétosztása"/>
    <x v="3"/>
    <x v="82"/>
    <s v="SB Belső működési átadás"/>
    <n v="0"/>
    <n v="-9.3132257461547852E-10"/>
    <n v="9.3132257461547852E-10"/>
    <n v="-9.3132257461547852E-10"/>
    <n v="7"/>
    <n v="1267616.4042417165"/>
    <n v="292856.35000095709"/>
    <n v="70939.967651168568"/>
    <n v="335519.10776180541"/>
    <n v="127494.38743180904"/>
    <n v="249982.56828570334"/>
    <n v="186729.26042053482"/>
    <n v="332699.46854123997"/>
    <n v="535506.95833891619"/>
    <n v="319723.74028099456"/>
    <n v="110711.24824952627"/>
    <n v="722519.08065578155"/>
    <n v="138988.45813984648"/>
    <n v="0"/>
    <n v="0"/>
    <n v="0"/>
    <n v="-4691287"/>
    <n v="0"/>
    <m/>
    <m/>
    <m/>
    <m/>
    <m/>
    <m/>
    <m/>
    <m/>
    <m/>
    <m/>
    <m/>
    <m/>
    <m/>
    <m/>
    <m/>
    <m/>
    <m/>
    <m/>
    <m/>
    <m/>
  </r>
  <r>
    <m/>
    <x v="0"/>
    <x v="0"/>
    <x v="0"/>
    <s v="Bevételátadás belső működésre, idei forrás, támogatás"/>
    <x v="0"/>
    <x v="0"/>
    <s v="ÖSSZEGZŐ SOR"/>
    <n v="0"/>
    <n v="-7.4505805969238281E-9"/>
    <n v="7.4505805969238281E-9"/>
    <n v="-7.4505805969238281E-9"/>
    <m/>
    <n v="-13377045.071229957"/>
    <n v="208939.44223723753"/>
    <n v="50612.381371667012"/>
    <n v="239377.34399632487"/>
    <n v="90961.340596826369"/>
    <n v="178350.98466014586"/>
    <n v="-4627254.209846721"/>
    <n v="237365.66200256496"/>
    <n v="382059.41305055219"/>
    <n v="-9292845.696924841"/>
    <n v="-9441966.4296852108"/>
    <n v="-4244992.9879337372"/>
    <n v="99161.827705147094"/>
    <n v="0"/>
    <n v="691762"/>
    <n v="146951"/>
    <n v="-838713"/>
    <n v="0"/>
    <n v="0"/>
    <n v="42844292"/>
    <n v="0"/>
    <n v="0"/>
    <n v="0"/>
    <n v="0"/>
    <n v="0"/>
    <n v="-3347016"/>
    <m/>
    <m/>
    <m/>
    <m/>
    <m/>
    <m/>
    <m/>
    <m/>
    <m/>
    <m/>
    <m/>
    <m/>
  </r>
  <r>
    <m/>
    <x v="0"/>
    <x v="0"/>
    <x v="0"/>
    <s v="Belső működési átadás - a központ általános kiadásaira forrásbiztosítás"/>
    <x v="3"/>
    <x v="69"/>
    <s v="T Belső működésre átadás"/>
    <n v="0"/>
    <n v="0"/>
    <n v="0"/>
    <n v="0"/>
    <m/>
    <n v="0"/>
    <n v="0"/>
    <n v="0"/>
    <n v="0"/>
    <n v="0"/>
    <n v="0"/>
    <n v="0"/>
    <n v="0"/>
    <n v="0"/>
    <n v="0"/>
    <n v="0"/>
    <n v="0"/>
    <n v="0"/>
    <n v="0"/>
    <n v="691762"/>
    <n v="146951"/>
    <n v="-838713"/>
    <n v="0"/>
    <m/>
    <m/>
    <m/>
    <m/>
    <m/>
    <m/>
    <m/>
    <m/>
    <m/>
    <m/>
    <m/>
    <m/>
    <m/>
    <m/>
    <m/>
    <m/>
    <m/>
    <m/>
    <m/>
    <m/>
  </r>
  <r>
    <m/>
    <x v="0"/>
    <x v="0"/>
    <x v="0"/>
    <s v="Lektorok forrásbiztosítás"/>
    <x v="3"/>
    <x v="69"/>
    <s v="T Belső működésre átadás"/>
    <n v="0"/>
    <n v="0"/>
    <n v="0"/>
    <n v="0"/>
    <n v="4"/>
    <n v="-14281430.666666666"/>
    <n v="0"/>
    <n v="0"/>
    <n v="0"/>
    <n v="0"/>
    <n v="0"/>
    <n v="-4760476.888888889"/>
    <n v="0"/>
    <n v="0"/>
    <n v="-9520953.777777778"/>
    <n v="-9520953.777777778"/>
    <n v="-4760476.888888889"/>
    <n v="0"/>
    <n v="0"/>
    <n v="0"/>
    <n v="0"/>
    <n v="0"/>
    <m/>
    <m/>
    <n v="42844292"/>
    <m/>
    <m/>
    <m/>
    <m/>
    <m/>
    <m/>
    <m/>
    <m/>
    <m/>
    <m/>
    <m/>
    <m/>
    <m/>
    <m/>
    <m/>
    <m/>
    <m/>
    <m/>
  </r>
  <r>
    <m/>
    <x v="0"/>
    <x v="0"/>
    <x v="0"/>
    <s v="Belső működési átadás - bérleti díjból származó bevétel szétosztása"/>
    <x v="3"/>
    <x v="69"/>
    <s v="T Belső működésre átadás"/>
    <n v="0"/>
    <n v="0"/>
    <n v="0"/>
    <n v="0"/>
    <n v="7"/>
    <n v="904385.59543670912"/>
    <n v="208939.44223723753"/>
    <n v="50612.381371667012"/>
    <n v="239377.34399632487"/>
    <n v="90961.340596826369"/>
    <n v="178350.98466014586"/>
    <n v="133222.67904216834"/>
    <n v="237365.66200256496"/>
    <n v="382059.41305055219"/>
    <n v="228108.08085293724"/>
    <n v="78987.348092567438"/>
    <n v="515483.90095515182"/>
    <n v="99161.827705147094"/>
    <n v="0"/>
    <n v="0"/>
    <n v="0"/>
    <n v="0"/>
    <m/>
    <m/>
    <m/>
    <m/>
    <m/>
    <m/>
    <m/>
    <m/>
    <n v="-3347016"/>
    <m/>
    <m/>
    <m/>
    <m/>
    <m/>
    <m/>
    <m/>
    <m/>
    <m/>
    <m/>
    <m/>
    <m/>
  </r>
  <r>
    <m/>
    <x v="0"/>
    <x v="0"/>
    <x v="0"/>
    <s v="Belső működési átadás xy2"/>
    <x v="3"/>
    <x v="69"/>
    <s v="T Belső működésre átadá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Belső működési átadás xy3"/>
    <x v="3"/>
    <x v="69"/>
    <s v="T Belső működésre átadá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1."/>
    <x v="59"/>
    <x v="6"/>
    <x v="48"/>
    <s v="Személyi kiadások (kari kiválósági nélkül)"/>
    <x v="5"/>
    <x v="0"/>
    <s v="ÖSSZEGZŐ SOR"/>
    <n v="602601582.73384047"/>
    <n v="602601583"/>
    <n v="-0.2661595344543457"/>
    <n v="602601583"/>
    <m/>
    <n v="64048618"/>
    <n v="66312188"/>
    <n v="11424372"/>
    <n v="62545655"/>
    <n v="22534466"/>
    <n v="38091950"/>
    <n v="14153513"/>
    <n v="38788200"/>
    <n v="45171534"/>
    <n v="29873452"/>
    <n v="13299408"/>
    <n v="46624187"/>
    <n v="33706634"/>
    <n v="61300554"/>
    <n v="11496440"/>
    <n v="386120"/>
    <n v="0"/>
    <n v="0"/>
    <n v="0"/>
    <n v="42844292"/>
    <n v="0"/>
    <n v="0"/>
    <n v="0"/>
    <n v="0"/>
    <n v="0"/>
    <n v="0"/>
    <m/>
    <m/>
    <m/>
    <m/>
    <m/>
    <m/>
    <m/>
    <m/>
    <m/>
    <m/>
    <m/>
    <m/>
  </r>
  <r>
    <m/>
    <x v="60"/>
    <x v="6"/>
    <x v="0"/>
    <s v="Teljes személyi kiadásból 2021-2022. évi béremelés miatti többletkiadás (ÁKTH-val és EKA 0,5%-kal csökkentett bevétel)"/>
    <x v="0"/>
    <x v="0"/>
    <s v="Külön NEM TERVEZENDŐ (előző sor tartalmazza)"/>
    <n v="117331891.11000001"/>
    <n v="0"/>
    <n v="117331891.1100000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, maradvány"/>
    <x v="6"/>
    <x v="0"/>
    <s v="MARADVÁNY"/>
    <n v="64507460"/>
    <n v="64507460"/>
    <n v="0"/>
    <n v="64507460"/>
    <m/>
    <n v="4887249"/>
    <n v="3610158"/>
    <n v="4428615"/>
    <n v="4563152"/>
    <n v="1966437"/>
    <n v="151721"/>
    <n v="183408"/>
    <n v="4260359"/>
    <n v="10952"/>
    <n v="471654"/>
    <n v="677121"/>
    <m/>
    <n v="821980"/>
    <n v="26612001"/>
    <n v="11496440"/>
    <n v="366213"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, idei forrás"/>
    <x v="7"/>
    <x v="0"/>
    <s v="idei forrás ÖSSZESEN: töltendő, ha nincs alábontás"/>
    <n v="538094123"/>
    <n v="538094123"/>
    <n v="0"/>
    <n v="538094123"/>
    <m/>
    <n v="59161369"/>
    <n v="62702030"/>
    <n v="6995757"/>
    <n v="57982503"/>
    <n v="20568029"/>
    <n v="37940229"/>
    <n v="13970105"/>
    <n v="34527841"/>
    <n v="45160582"/>
    <n v="29401798"/>
    <n v="12622287"/>
    <n v="46624187"/>
    <n v="32884654"/>
    <n v="34688553"/>
    <m/>
    <n v="19907"/>
    <m/>
    <m/>
    <m/>
    <n v="42844292"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83"/>
    <s v="Oktatók alapilletményei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84"/>
    <s v="Kutatók alapilletményei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85"/>
    <s v="Működést támogató közalkalmazottak alapilletményei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86"/>
    <s v="ALAPILLETMÉNY ÖSSZESEN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87"/>
    <s v="Illetménykiegészíté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88"/>
    <s v="Nyelvpótlé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89"/>
    <s v="Egyéb kötelező illetménypótléko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90"/>
    <s v="Egyéb feltételtől függő pótlékok és juttatáso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91"/>
    <s v="Rendszeres keresetkiegészíté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92"/>
    <s v="Eseti keresetkiegészíté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93"/>
    <s v="Egyéb juttatások kiadásai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94"/>
    <s v="Hallgatói munkadíja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95"/>
    <s v="Üres álláshelyekre tervezett illetmény (okt+kut+egyéb+hallg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96"/>
    <s v="Üre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97"/>
    <s v="Üre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98"/>
    <s v="TÖRVÉNY SZERINTI ILLETMÉNYE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99"/>
    <s v="Céljuttatás, projektprémium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00"/>
    <s v="Készenlét. ügyelet. helyettesítési díj, túlóra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01"/>
    <s v="Végkielégíté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02"/>
    <s v="Jubileumi jutalom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03"/>
    <s v="Iskolarendsz.képzés hozzájár.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04"/>
    <s v="Iskolakezdési támogatás teljesítése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05"/>
    <s v="Egyéb béren kívüli juttatás teljesítése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06"/>
    <s v="Munkábajárás útiköltsége, bérlet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07"/>
    <s v="Munkábajárás útiköltsége - saját gk. (9 Ft/km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08"/>
    <s v="Egyéb költségtérítések (bankköltség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09"/>
    <s v="Lakhatási támogatás,albérleti hozzájárulá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10"/>
    <s v="Szociális jellegű juttatáso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11"/>
    <s v="Foglalkoztatottak e.szem.jutt.  (Távolléti díj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12"/>
    <s v="Saját munkavállaló oktatási megbízási díj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13"/>
    <s v="Külföldi napidíj teljesítése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14"/>
    <s v="Bérkompenzáció (teljes és részmunkaidős foglalk.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15"/>
    <s v="FOGLALKOZTATOTTAK SZEM. JUTTAT.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16"/>
    <s v="Külső megbízott megbízási díj teljesítése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17"/>
    <s v="Külsős tiszteletdíj,szerzői díj,honoráriuma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18"/>
    <s v="Külsős belföldi napidíj teljesítése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19"/>
    <s v="Külsős külföldi napidíj teljesítése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20"/>
    <s v="MVÉGZÉSRE IR. E. JOGVISZONYBAN FIZETETT JUTTATÁSO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21"/>
    <s v="Felmentési bér teljesítése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22"/>
    <s v="Munkaviszonyban nem állók költségtérítése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23"/>
    <s v="Ktg.és egyéb juttatáso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24"/>
    <s v="Ktg.és egyéb jutt./vas.gyém.rubin okl.,ö.díj kieg.,OTKA p.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25"/>
    <s v="Reprezentáció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26"/>
    <s v="EGYÉB KÜLSŐ SZEMÉLYI JUTTATÁSO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27"/>
    <s v="KÜLSŐ SZEMÉLYI JUTTATÁSO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28"/>
    <s v="SZEMÉLYI JUTTATÁSO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29"/>
    <s v="SZOCHÓ (13%)"/>
    <n v="0"/>
    <n v="0"/>
    <n v="0"/>
    <n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m/>
    <x v="0"/>
    <x v="0"/>
    <x v="0"/>
    <s v="Személyi kiadások (kari kiválósági nélkül)"/>
    <x v="7"/>
    <x v="130"/>
    <s v="15,5%-os szocho, manuálisan töltendő 2021 decemberre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31"/>
    <s v="EKHO (13%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32"/>
    <s v="Kifizetői 13 %-os SZOCHO"/>
    <n v="0"/>
    <n v="0"/>
    <n v="0"/>
    <n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m/>
    <x v="0"/>
    <x v="0"/>
    <x v="0"/>
    <s v="Személyi kiadások (kari kiválósági nélkül)"/>
    <x v="7"/>
    <x v="133"/>
    <s v="Kifizető által fizetett SZJA"/>
    <n v="0"/>
    <n v="0"/>
    <n v="0"/>
    <n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m/>
    <x v="0"/>
    <x v="0"/>
    <x v="0"/>
    <s v="Személyi kiadások (kari kiválósági nélkül)"/>
    <x v="7"/>
    <x v="134"/>
    <s v="Rehabilitációs hozzájárulá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35"/>
    <s v="MUNKAADÓKAT T.JÁRULÉKOK ÉS SZOCIÁLIS HOZZÁJÁRULÁSI ADÓ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5."/>
    <x v="61"/>
    <x v="0"/>
    <x v="0"/>
    <s v="Kötelezően tervezendő műszak, energia, üzemeltetés (közterületesítés nélkül)"/>
    <x v="5"/>
    <x v="0"/>
    <s v="ÖSSZEGZŐ SOR"/>
    <n v="116492759"/>
    <n v="116492758.55791421"/>
    <n v="0.44208578765392303"/>
    <n v="116492758.55791421"/>
    <m/>
    <m/>
    <m/>
    <m/>
    <m/>
    <m/>
    <m/>
    <m/>
    <m/>
    <m/>
    <m/>
    <m/>
    <m/>
    <m/>
    <m/>
    <m/>
    <m/>
    <m/>
    <m/>
    <m/>
    <m/>
    <m/>
    <m/>
    <m/>
    <m/>
    <m/>
    <n v="116492758.55791421"/>
    <m/>
    <m/>
    <m/>
    <m/>
    <m/>
    <m/>
    <m/>
    <m/>
    <m/>
    <m/>
    <m/>
    <m/>
  </r>
  <r>
    <m/>
    <x v="61"/>
    <x v="6"/>
    <x v="49"/>
    <s v="Üzemeltetési kiadások, maradvány"/>
    <x v="6"/>
    <x v="0"/>
    <s v="U-s munkaszámokon átfordult maradvány"/>
    <n v="-1456693"/>
    <n v="-1456693"/>
    <n v="0"/>
    <n v="-1456693"/>
    <m/>
    <m/>
    <m/>
    <m/>
    <m/>
    <m/>
    <m/>
    <m/>
    <m/>
    <m/>
    <m/>
    <m/>
    <m/>
    <m/>
    <m/>
    <m/>
    <m/>
    <m/>
    <m/>
    <m/>
    <m/>
    <m/>
    <m/>
    <m/>
    <m/>
    <m/>
    <n v="-1456693"/>
    <m/>
    <m/>
    <m/>
    <m/>
    <m/>
    <m/>
    <m/>
    <m/>
    <m/>
    <m/>
    <m/>
    <m/>
  </r>
  <r>
    <m/>
    <x v="0"/>
    <x v="0"/>
    <x v="0"/>
    <s v="Üzemeltetési kiadások, idei forrás, összesen"/>
    <x v="0"/>
    <x v="0"/>
    <s v="ÖSSZEGZŐ SOR"/>
    <n v="117949451.55791421"/>
    <n v="117949451.55791421"/>
    <n v="0"/>
    <n v="117949451.55791421"/>
    <m/>
    <m/>
    <m/>
    <m/>
    <m/>
    <m/>
    <m/>
    <m/>
    <m/>
    <m/>
    <m/>
    <m/>
    <m/>
    <m/>
    <m/>
    <m/>
    <m/>
    <m/>
    <m/>
    <m/>
    <m/>
    <m/>
    <m/>
    <m/>
    <m/>
    <m/>
    <n v="117949451.55791421"/>
    <m/>
    <m/>
    <m/>
    <m/>
    <m/>
    <m/>
    <m/>
    <m/>
    <m/>
    <m/>
    <m/>
    <m/>
  </r>
  <r>
    <m/>
    <x v="62"/>
    <x v="6"/>
    <x v="50"/>
    <s v="Üzemeltetési kiadások, idei forrás, személyi"/>
    <x v="7"/>
    <x v="0"/>
    <s v="7.sz.melléklet szerint külön tervezendő"/>
    <n v="8180485"/>
    <n v="8180485"/>
    <n v="0"/>
    <n v="8180485"/>
    <m/>
    <m/>
    <m/>
    <m/>
    <m/>
    <m/>
    <m/>
    <m/>
    <m/>
    <m/>
    <m/>
    <m/>
    <m/>
    <m/>
    <m/>
    <m/>
    <m/>
    <m/>
    <m/>
    <m/>
    <m/>
    <m/>
    <m/>
    <m/>
    <m/>
    <m/>
    <n v="8180485"/>
    <m/>
    <m/>
    <m/>
    <m/>
    <m/>
    <m/>
    <m/>
    <m/>
    <m/>
    <m/>
    <m/>
    <m/>
  </r>
  <r>
    <m/>
    <x v="61"/>
    <x v="6"/>
    <x v="49"/>
    <s v="Üzemeltetési kiadások, idei forrás, dologi"/>
    <x v="7"/>
    <x v="0"/>
    <s v="7.sz.melléklet szerint külön tervezendő"/>
    <n v="109768966.55791421"/>
    <n v="109768966.55791421"/>
    <n v="0"/>
    <n v="109768966.55791421"/>
    <m/>
    <m/>
    <m/>
    <m/>
    <m/>
    <m/>
    <m/>
    <m/>
    <m/>
    <m/>
    <m/>
    <m/>
    <m/>
    <m/>
    <m/>
    <m/>
    <m/>
    <m/>
    <m/>
    <m/>
    <m/>
    <m/>
    <m/>
    <m/>
    <m/>
    <m/>
    <n v="109768966.55791421"/>
    <m/>
    <m/>
    <m/>
    <m/>
    <m/>
    <m/>
    <m/>
    <m/>
    <m/>
    <m/>
    <m/>
    <m/>
  </r>
  <r>
    <s v="7."/>
    <x v="63"/>
    <x v="0"/>
    <x v="0"/>
    <s v="Kötelezően tervezendő informatika (funkcionális része lesz 2021. évben)"/>
    <x v="5"/>
    <x v="0"/>
    <s v="ÖSSZEGZŐ SOR"/>
    <n v="0"/>
    <n v="0"/>
    <n v="0"/>
    <n v="0"/>
    <m/>
    <m/>
    <m/>
    <m/>
    <m/>
    <m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</r>
  <r>
    <m/>
    <x v="63"/>
    <x v="6"/>
    <x v="51"/>
    <s v="Informatikai kiadások, maradvány"/>
    <x v="6"/>
    <x v="0"/>
    <s v="negatív esetén forrásátadás"/>
    <n v="0"/>
    <n v="0"/>
    <n v="0"/>
    <n v="0"/>
    <m/>
    <m/>
    <m/>
    <m/>
    <m/>
    <m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</r>
  <r>
    <m/>
    <x v="0"/>
    <x v="0"/>
    <x v="0"/>
    <s v="Informatikai kiadások, idei forrás, összesen"/>
    <x v="0"/>
    <x v="0"/>
    <s v="ÖSSZEGZŐ SOR"/>
    <n v="0"/>
    <n v="0"/>
    <n v="0"/>
    <n v="0"/>
    <m/>
    <m/>
    <m/>
    <m/>
    <m/>
    <m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</r>
  <r>
    <m/>
    <x v="64"/>
    <x v="6"/>
    <x v="52"/>
    <s v="Informatikai kiadások, idei forrás, személyi"/>
    <x v="7"/>
    <x v="0"/>
    <s v="12.sz.melléklet szerint külön tervezendő"/>
    <n v="0"/>
    <n v="0"/>
    <n v="0"/>
    <n v="0"/>
    <m/>
    <m/>
    <m/>
    <m/>
    <m/>
    <m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</r>
  <r>
    <m/>
    <x v="63"/>
    <x v="6"/>
    <x v="51"/>
    <s v="Informatikai kiadások, idei forrás, dologi"/>
    <x v="7"/>
    <x v="0"/>
    <s v="12.sz.melléklet szerint külön tervezendő"/>
    <n v="0"/>
    <n v="0"/>
    <n v="0"/>
    <n v="0"/>
    <m/>
    <m/>
    <m/>
    <m/>
    <m/>
    <m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</r>
  <r>
    <s v="8."/>
    <x v="65"/>
    <x v="6"/>
    <x v="53"/>
    <s v="Kötelezően tervezendő telefon költség (2021. évi elszámolás összege alapján)"/>
    <x v="5"/>
    <x v="0"/>
    <s v="ÖSSZEGZŐ SOR"/>
    <n v="109881"/>
    <n v="109880.99999999999"/>
    <n v="0"/>
    <n v="109880.99999999999"/>
    <m/>
    <n v="29690.564255498342"/>
    <n v="6859.386047891584"/>
    <n v="1661.5812644756234"/>
    <n v="7858.6484007426825"/>
    <n v="2986.2190877246712"/>
    <n v="5855.1810165955249"/>
    <n v="4373.6394435618167"/>
    <n v="7792.6058036483364"/>
    <n v="12542.835279367569"/>
    <n v="7488.6836609689335"/>
    <n v="2593.1184062936663"/>
    <n v="16923.100015313055"/>
    <n v="3255.4373179181898"/>
    <n v="0"/>
    <n v="0"/>
    <n v="0"/>
    <n v="0"/>
    <n v="0"/>
    <n v="0"/>
    <n v="0"/>
    <n v="0"/>
    <m/>
    <n v="0"/>
    <n v="0"/>
    <n v="0"/>
    <n v="0"/>
    <m/>
    <m/>
    <m/>
    <m/>
    <m/>
    <m/>
    <m/>
    <m/>
    <m/>
    <m/>
    <m/>
    <m/>
  </r>
  <r>
    <m/>
    <x v="0"/>
    <x v="0"/>
    <x v="0"/>
    <s v="Telefonköltség, maradvány"/>
    <x v="6"/>
    <x v="0"/>
    <s v="MARADVÁNY"/>
    <n v="109881"/>
    <n v="109880.99999999999"/>
    <n v="0"/>
    <n v="109880.99999999999"/>
    <n v="7"/>
    <n v="29690.564255498342"/>
    <n v="6859.386047891584"/>
    <n v="1661.5812644756234"/>
    <n v="7858.6484007426825"/>
    <n v="2986.2190877246712"/>
    <n v="5855.1810165955249"/>
    <n v="4373.6394435618167"/>
    <n v="7792.6058036483364"/>
    <n v="12542.835279367569"/>
    <n v="7488.6836609689335"/>
    <n v="2593.1184062936663"/>
    <n v="16923.100015313055"/>
    <n v="3255.4373179181898"/>
    <n v="0"/>
    <n v="0"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Telefonköltség, idei forrás"/>
    <x v="7"/>
    <x v="0"/>
    <s v="idei forrás ÖSSZESEN: töltendő, ha nincs alábontás"/>
    <m/>
    <n v="0"/>
    <n v="0"/>
    <n v="0"/>
    <m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Telefonköltség, idei forrás"/>
    <x v="7"/>
    <x v="132"/>
    <s v="Kifizetői 13 %-os SZOCHO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Telefonköltség, idei forrás"/>
    <x v="7"/>
    <x v="133"/>
    <s v="Kifizető által fizetett SZJA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Telefonköltség, idei forrás"/>
    <x v="7"/>
    <x v="136"/>
    <s v="Nem adatátviteli célú távközlési díjak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Telefonköltség, idei forrás"/>
    <x v="7"/>
    <x v="137"/>
    <s v="Egyenes adózású ÁFA befizetés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10."/>
    <x v="66"/>
    <x v="6"/>
    <x v="54"/>
    <s v="Kari oktatási-kutatási gazda K3-K5 2021. évi tény (ITTNEMEI, kari kiválósági és üzemeltetés nélkül)"/>
    <x v="5"/>
    <x v="0"/>
    <s v="ÖSSZEGZŐ SOR"/>
    <n v="10200256"/>
    <n v="10200256"/>
    <n v="0"/>
    <n v="10200256"/>
    <m/>
    <n v="190500"/>
    <n v="82550"/>
    <n v="82550"/>
    <n v="222250"/>
    <n v="469900"/>
    <n v="38100"/>
    <n v="101600"/>
    <n v="0"/>
    <n v="5572000"/>
    <n v="508000"/>
    <n v="0"/>
    <n v="63500"/>
    <n v="355600"/>
    <n v="2513706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m/>
    <x v="0"/>
    <x v="0"/>
    <x v="0"/>
    <s v="Dologi kiadások, maradvány"/>
    <x v="6"/>
    <x v="0"/>
    <s v="MARADVÁNY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, idei forrás"/>
    <x v="7"/>
    <x v="0"/>
    <s v="idei forrás ÖSSZESEN: töltendő, ha nincs alábontás"/>
    <n v="10200256"/>
    <n v="10200256"/>
    <n v="0"/>
    <n v="10200256"/>
    <m/>
    <n v="190500"/>
    <n v="82550"/>
    <n v="82550"/>
    <n v="222250"/>
    <n v="469900"/>
    <n v="38100"/>
    <n v="101600"/>
    <n v="0"/>
    <n v="5572000"/>
    <n v="508000"/>
    <n v="0"/>
    <n v="63500"/>
    <n v="355600"/>
    <n v="2513706"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38"/>
    <s v="Gyógyszerbeszerzé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39"/>
    <s v="Vegyszerbeszerzé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40"/>
    <s v="Egyéb szakmai anyagbeszerzé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41"/>
    <s v="Könyvbeszerzés (5% ÁFA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42"/>
    <s v="Egy éven belül elhasználódó szakmai anyag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43"/>
    <s v="Irodaszer. sokszorosítási. számítástechnikai anyago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44"/>
    <s v="Nyomtatvány beszerzé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45"/>
    <s v="Hajtó- és kenőanyag beszerzése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46"/>
    <s v="Munka-. védő- és formaruha beszerzé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47"/>
    <s v="Karbantartási anyagok. alkatrészek.szerszámok beszerz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48"/>
    <s v="Bútorok.berend..felszer. tárgyak. textíliák beszerz.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49"/>
    <s v="Tisztítószerek. tisztálkodási szerek beszerzése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50"/>
    <s v="Számítástechnikai alkatrészek.készletek beszerzése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51"/>
    <s v="Egyéb készletbeszerzé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52"/>
    <s v="Számítástechnikai oktatási szolg.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53"/>
    <s v="Inform.eszközök, szolg.bérlet,lízingelés ktg.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54"/>
    <s v="Informatikai eszközök karbantartása. kisjav.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55"/>
    <s v="Adatfeldolgozási szolgáltatáso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56"/>
    <s v="Adatátviteli célú távközlési díja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57"/>
    <s v="TV előfizetési díj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58"/>
    <s v="Egyéb kommunikációs szolgáltatáso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36"/>
    <s v="Nem adatátviteli célú távközlési díja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59"/>
    <s v="Nem járulékköteles távközlési díj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60"/>
    <s v="Villamosenergia szolgáltatás díja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61"/>
    <s v="Gázenergia szolgáltatás díja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62"/>
    <s v="Távhő és melegvíz szolgáltatás díja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63"/>
    <s v="Víz- és csatornadíja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64"/>
    <s v="ÁFA mentes villamosenergia szolgáltatás díja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65"/>
    <s v="Vásárolt élelmezé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66"/>
    <s v="PPP szolgáltatá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67"/>
    <s v="Egyéb kül. bérleti és lízing díjak (PPP nélkül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68"/>
    <s v="Ingatlan bérleti díj költségei (Áfa mentes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69"/>
    <s v="Ingatlanok karbantartása. kisjavítása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70"/>
    <s v="Gépek berendezések karbantartása, kisjavítása ktg.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71"/>
    <s v="Járművekkel kapcsolatos karbantartási, kisjav. kiadáso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72"/>
    <s v="AHT-n belüli közvetített szolgáltatáso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73"/>
    <s v="AHT-n kívüli közvetített szolgáltatáso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74"/>
    <s v="Vásárolt közszolgáltatások (pld. egészségügyi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75"/>
    <s v="Jogi szolgáltatáso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76"/>
    <s v="ÁFA mentes számlázott(okt.kut.)szellemi tev.kiad.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77"/>
    <s v="ÁFA-s számlázott(okt.kut.)szellemi tev.kiad.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78"/>
    <s v="Sport és kulturális szolgáltatá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79"/>
    <s v="Szakmai szolg. tanfolyamok, továbbképzése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80"/>
    <s v="Egyéb pénzügyi szoltáltatások (bankktg.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81"/>
    <s v="Anyag- és áruszállítás költségei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82"/>
    <s v="Egyéb szállítás költségei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83"/>
    <s v="Postai levél. csomag. feladott távirat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84"/>
    <s v="Takarítá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85"/>
    <s v="Rovarirtá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86"/>
    <s v="Kommunális hulladék szállítási költségei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87"/>
    <s v="Kéményseprési díjak költségei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88"/>
    <s v="Nyomdai költség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89"/>
    <s v="Ingatlanok üzemelt. fenntartási kiad.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90"/>
    <s v="Egyéb üzemelt. Kiadások (mosás, rakodás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91"/>
    <s v="Egyéb más jellegű szolg. Költségei (audit, ell.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92"/>
    <s v="Biztosítási díj (központilag fizetett vagyonbiztosítás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93"/>
    <s v="Külföldi kiküldetések kiadásai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94"/>
    <s v="Belföldi kiküldetések kiadásai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95"/>
    <s v="Reklám- és propaganda költségei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96"/>
    <s v="Nem levonható egyenes adós ÁFA anyag, szolg."/>
    <n v="0"/>
    <n v="0"/>
    <n v="0"/>
    <n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m/>
    <x v="0"/>
    <x v="0"/>
    <x v="0"/>
    <s v="Dologi kiadások"/>
    <x v="7"/>
    <x v="137"/>
    <s v="Egyenes adózású ÁFA befizeté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97"/>
    <s v="Külf.pénzért.szóló köt.p.ügy.real.árfoly.veszt.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98"/>
    <s v="H. adók.e. vám, illeték és adójell. befiz. ráf.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99"/>
    <s v="Díjak, egyéb befiz., ráford. tagsági díjak kiad.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200"/>
    <s v="Turizmusfejlesztési hozzájárulás (4%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201"/>
    <s v="Különféle egyéb dologi kiad. miatti egyéb ráfordításo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202"/>
    <s v="Kollégiumok FK keret fele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203"/>
    <s v="Szakmai gyakorlat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204"/>
    <s v="Épületek felújítása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205"/>
    <s v="Nem levonható egyenes adós ÁFA felújítá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11."/>
    <x v="0"/>
    <x v="0"/>
    <x v="0"/>
    <s v="Szakmai gyakorlatok és terepgyakorlatok (2021. évi igény alapján)"/>
    <x v="5"/>
    <x v="0"/>
    <s v="ÖSSZEGZŐ SOR"/>
    <n v="0"/>
    <n v="0"/>
    <n v="0"/>
    <n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m/>
    <x v="0"/>
    <x v="0"/>
    <x v="0"/>
    <s v="Szakmai gyakorlatok és terepgyakorlatok kiadásai, maradvány, összesen"/>
    <x v="0"/>
    <x v="0"/>
    <s v="ÖSSZEGZŐ SOR"/>
    <n v="0"/>
    <n v="0"/>
    <n v="0"/>
    <n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m/>
    <x v="59"/>
    <x v="6"/>
    <x v="48"/>
    <s v="Szakmai gyakorlatok és terepgyakorlatok kiadásai, maradvány, személyi"/>
    <x v="6"/>
    <x v="0"/>
    <s v="MARADVÁNY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6"/>
    <x v="6"/>
    <x v="54"/>
    <s v="Szakmai gyakorlatok és terepgyakorlatok kiadásai, maradvány, dologi"/>
    <x v="6"/>
    <x v="0"/>
    <s v="MARADVÁNY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akmai gyakorlatok és terepgyakorlatok kiadásai, idei forrás, összesen"/>
    <x v="0"/>
    <x v="0"/>
    <s v="ÖSSZEGZŐ SOR"/>
    <n v="0"/>
    <n v="0"/>
    <n v="0"/>
    <n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m/>
    <x v="59"/>
    <x v="6"/>
    <x v="48"/>
    <s v="Szakmai gyakorlatok és terepgyakorlatok kiadásai, idei forrás, személyi"/>
    <x v="7"/>
    <x v="0"/>
    <s v="űrlapsor szerinti bontás külön tervezendő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6"/>
    <x v="6"/>
    <x v="54"/>
    <s v="Szakmai gyakorlatok és terepgyakorlatok kiadásai, idei forrás, dologi"/>
    <x v="7"/>
    <x v="0"/>
    <s v="űrlapsor szerinti bontás külön tervezendő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12."/>
    <x v="67"/>
    <x v="6"/>
    <x v="0"/>
    <s v="Kiválósági ösztöndíjhoz hozzájárulás (-6,1mFt maradvány, 2020/21 II. és 2021/22 I. félév tanév becsült adatai alapján"/>
    <x v="5"/>
    <x v="0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13."/>
    <x v="0"/>
    <x v="0"/>
    <x v="0"/>
    <s v="Karnál kiválósági (2021. évi költhető maradvánnyal együtt)"/>
    <x v="5"/>
    <x v="0"/>
    <s v="ÖSSZEGZŐ SOR"/>
    <n v="14607068.427306892"/>
    <n v="14607068.732306892"/>
    <n v="-0.30499999970197678"/>
    <n v="14607069.132306892"/>
    <m/>
    <m/>
    <m/>
    <m/>
    <m/>
    <m/>
    <m/>
    <m/>
    <m/>
    <m/>
    <m/>
    <m/>
    <m/>
    <m/>
    <m/>
    <m/>
    <m/>
    <m/>
    <m/>
    <n v="14607069.132306892"/>
    <m/>
    <m/>
    <m/>
    <m/>
    <m/>
    <m/>
    <m/>
    <m/>
    <m/>
    <m/>
    <m/>
    <m/>
    <m/>
    <m/>
    <m/>
    <m/>
    <m/>
    <m/>
    <m/>
  </r>
  <r>
    <m/>
    <x v="0"/>
    <x v="0"/>
    <x v="0"/>
    <s v="Kari kiválósági kiadások, maradvány"/>
    <x v="6"/>
    <x v="0"/>
    <s v="MARADVÁNY"/>
    <n v="502591.745"/>
    <n v="502592"/>
    <n v="-0.25500000000465661"/>
    <n v="502592"/>
    <m/>
    <m/>
    <m/>
    <m/>
    <m/>
    <m/>
    <m/>
    <m/>
    <m/>
    <m/>
    <m/>
    <m/>
    <m/>
    <m/>
    <m/>
    <m/>
    <m/>
    <m/>
    <m/>
    <n v="502592"/>
    <m/>
    <m/>
    <m/>
    <m/>
    <m/>
    <m/>
    <m/>
    <m/>
    <m/>
    <m/>
    <m/>
    <m/>
    <m/>
    <m/>
    <m/>
    <m/>
    <m/>
    <m/>
    <m/>
  </r>
  <r>
    <m/>
    <x v="68"/>
    <x v="6"/>
    <x v="55"/>
    <s v="Kari kiválósági személyi kiadások, maradvány"/>
    <x v="0"/>
    <x v="0"/>
    <m/>
    <n v="0"/>
    <n v="0"/>
    <n v="0"/>
    <n v="0"/>
    <m/>
    <m/>
    <m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, maradvány"/>
    <x v="0"/>
    <x v="0"/>
    <m/>
    <n v="502591.745"/>
    <n v="502592"/>
    <n v="-0.25500000000465661"/>
    <n v="502592"/>
    <m/>
    <m/>
    <m/>
    <m/>
    <m/>
    <m/>
    <m/>
    <m/>
    <m/>
    <m/>
    <m/>
    <m/>
    <m/>
    <m/>
    <m/>
    <m/>
    <m/>
    <m/>
    <m/>
    <n v="502592"/>
    <m/>
    <m/>
    <m/>
    <m/>
    <m/>
    <m/>
    <m/>
    <m/>
    <m/>
    <m/>
    <m/>
    <m/>
    <m/>
    <m/>
    <m/>
    <m/>
    <m/>
    <m/>
    <m/>
  </r>
  <r>
    <m/>
    <x v="0"/>
    <x v="0"/>
    <x v="0"/>
    <s v="Kari kiválósági kiadások, idei forrás összesen"/>
    <x v="7"/>
    <x v="0"/>
    <s v="ÖSSZEGZŐ SOR"/>
    <n v="14104476.980884142"/>
    <n v="14104477.132306892"/>
    <n v="-0.15142275020480156"/>
    <n v="14104477.132306892"/>
    <m/>
    <m/>
    <m/>
    <m/>
    <m/>
    <m/>
    <m/>
    <m/>
    <m/>
    <m/>
    <m/>
    <m/>
    <m/>
    <m/>
    <m/>
    <m/>
    <m/>
    <m/>
    <m/>
    <n v="14104477.132306892"/>
    <m/>
    <m/>
    <m/>
    <m/>
    <m/>
    <m/>
    <m/>
    <m/>
    <m/>
    <m/>
    <m/>
    <m/>
    <m/>
    <m/>
    <m/>
    <m/>
    <m/>
    <m/>
    <m/>
  </r>
  <r>
    <m/>
    <x v="68"/>
    <x v="6"/>
    <x v="55"/>
    <s v="Kari kiválósági személyi kiadások, idei forrás"/>
    <x v="0"/>
    <x v="0"/>
    <s v="idei forrás ÖSSZESEN: töltendő, ha nincs alábontás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8"/>
    <x v="6"/>
    <x v="55"/>
    <s v="Kari kiválósági személyi kiadások"/>
    <x v="8"/>
    <x v="83"/>
    <s v="Oktatók alapilletményei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8"/>
    <x v="6"/>
    <x v="55"/>
    <s v="Kari kiválósági személyi kiadások"/>
    <x v="8"/>
    <x v="84"/>
    <s v="Kutatók alapilletményei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8"/>
    <x v="6"/>
    <x v="55"/>
    <s v="Kari kiválósági személyi kiadások"/>
    <x v="8"/>
    <x v="85"/>
    <s v="Működést támogató közalkalmazottak alapilletményei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8"/>
    <x v="6"/>
    <x v="55"/>
    <s v="Kari kiválósági személyi kiadások"/>
    <x v="8"/>
    <x v="86"/>
    <s v="ALAPILLETMÉNY ÖSSZESEN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8"/>
    <x v="6"/>
    <x v="55"/>
    <s v="Kari kiválósági személyi kiadások"/>
    <x v="8"/>
    <x v="87"/>
    <s v="Illetménykiegészíté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8"/>
    <x v="6"/>
    <x v="55"/>
    <s v="Kari kiválósági személyi kiadások"/>
    <x v="8"/>
    <x v="88"/>
    <s v="Nyelvpótlé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8"/>
    <x v="6"/>
    <x v="55"/>
    <s v="Kari kiválósági személyi kiadások"/>
    <x v="8"/>
    <x v="89"/>
    <s v="Egyéb kötelező illetménypótléko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8"/>
    <x v="6"/>
    <x v="55"/>
    <s v="Kari kiválósági személyi kiadások"/>
    <x v="8"/>
    <x v="90"/>
    <s v="Egyéb feltételtől függő pótlékok és juttatáso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8"/>
    <x v="6"/>
    <x v="55"/>
    <s v="Kari kiválósági személyi kiadások"/>
    <x v="8"/>
    <x v="91"/>
    <s v="Rendszeres keresetkiegészíté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8"/>
    <x v="6"/>
    <x v="55"/>
    <s v="Kari kiválósági személyi kiadások"/>
    <x v="8"/>
    <x v="92"/>
    <s v="Eseti keresetkiegészíté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8"/>
    <x v="6"/>
    <x v="55"/>
    <s v="Kari kiválósági személyi kiadások"/>
    <x v="8"/>
    <x v="93"/>
    <s v="Egyéb juttatások kiadásai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8"/>
    <x v="6"/>
    <x v="55"/>
    <s v="Kari kiválósági személyi kiadások"/>
    <x v="8"/>
    <x v="94"/>
    <s v="Hallgatói munkadíja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8"/>
    <x v="6"/>
    <x v="55"/>
    <s v="Kari kiválósági személyi kiadások"/>
    <x v="8"/>
    <x v="95"/>
    <s v="Üres álláshelyekre tervezett illetmény (okt+kut+egyéb+hallg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8"/>
    <x v="6"/>
    <x v="55"/>
    <s v="Kari kiválósági személyi kiadások"/>
    <x v="8"/>
    <x v="99"/>
    <s v="Céljuttatás, projektprémium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8"/>
    <x v="6"/>
    <x v="55"/>
    <s v="Kari kiválósági személyi kiadások"/>
    <x v="8"/>
    <x v="100"/>
    <s v="Készenlét. ügyelet. helyettesítési díj, túlóra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8"/>
    <x v="6"/>
    <x v="55"/>
    <s v="Kari kiválósági személyi kiadások"/>
    <x v="8"/>
    <x v="101"/>
    <s v="Végkielégíté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8"/>
    <x v="6"/>
    <x v="55"/>
    <s v="Kari kiválósági személyi kiadások"/>
    <x v="8"/>
    <x v="102"/>
    <s v="Jubileumi jutalom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8"/>
    <x v="6"/>
    <x v="55"/>
    <s v="Kari kiválósági személyi kiadások"/>
    <x v="8"/>
    <x v="103"/>
    <s v="Iskolarendsz.képzés hozzájár.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8"/>
    <x v="6"/>
    <x v="55"/>
    <s v="Kari kiválósági személyi kiadások"/>
    <x v="8"/>
    <x v="104"/>
    <s v="Iskolakezdési támogatás teljesítése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8"/>
    <x v="6"/>
    <x v="55"/>
    <s v="Kari kiválósági személyi kiadások"/>
    <x v="8"/>
    <x v="105"/>
    <s v="Egyéb béren kívüli juttatás teljesítése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8"/>
    <x v="6"/>
    <x v="55"/>
    <s v="Kari kiválósági személyi kiadások"/>
    <x v="8"/>
    <x v="106"/>
    <s v="Munkábajárás útiköltsége, bérlet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8"/>
    <x v="6"/>
    <x v="55"/>
    <s v="Kari kiválósági személyi kiadások"/>
    <x v="8"/>
    <x v="107"/>
    <s v="Munkábajárás útiköltsége - saját gk. (9 Ft/km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8"/>
    <x v="6"/>
    <x v="55"/>
    <s v="Kari kiválósági személyi kiadások"/>
    <x v="8"/>
    <x v="108"/>
    <s v="Egyéb költségtérítések (bankköltség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8"/>
    <x v="6"/>
    <x v="55"/>
    <s v="Kari kiválósági személyi kiadások"/>
    <x v="8"/>
    <x v="109"/>
    <s v="Lakhatási támogatás,albérleti hozzájárulá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8"/>
    <x v="6"/>
    <x v="55"/>
    <s v="Kari kiválósági személyi kiadások"/>
    <x v="8"/>
    <x v="110"/>
    <s v="Szociális jellegű juttatáso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8"/>
    <x v="6"/>
    <x v="55"/>
    <s v="Kari kiválósági személyi kiadások"/>
    <x v="8"/>
    <x v="111"/>
    <s v="Foglalkoztatottak e.szem.jutt.  (Távolléti díj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8"/>
    <x v="6"/>
    <x v="55"/>
    <s v="Kari kiválósági személyi kiadások"/>
    <x v="8"/>
    <x v="112"/>
    <s v="Saját munkavállaló oktatási megbízási díj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8"/>
    <x v="6"/>
    <x v="55"/>
    <s v="Kari kiválósági személyi kiadások"/>
    <x v="8"/>
    <x v="113"/>
    <s v="Külföldi napidíj teljesítése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8"/>
    <x v="6"/>
    <x v="55"/>
    <s v="Kari kiválósági személyi kiadások"/>
    <x v="8"/>
    <x v="114"/>
    <s v="Bérkompenzáció (teljes és részmunkaidős foglalk.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8"/>
    <x v="6"/>
    <x v="55"/>
    <s v="Kari kiválósági személyi kiadások"/>
    <x v="8"/>
    <x v="116"/>
    <s v="Külső megbízott megbízási díj teljesítése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8"/>
    <x v="6"/>
    <x v="55"/>
    <s v="Kari kiválósági személyi kiadások"/>
    <x v="8"/>
    <x v="117"/>
    <s v="Külsős tiszteletdíj,szerzői díj,honoráriuma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8"/>
    <x v="6"/>
    <x v="55"/>
    <s v="Kari kiválósági személyi kiadások"/>
    <x v="8"/>
    <x v="118"/>
    <s v="Külsős belföldi napidíj teljesítése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8"/>
    <x v="6"/>
    <x v="55"/>
    <s v="Kari kiválósági személyi kiadások"/>
    <x v="8"/>
    <x v="119"/>
    <s v="Külsős külföldi napidíj teljesítése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8"/>
    <x v="6"/>
    <x v="55"/>
    <s v="Kari kiválósági személyi kiadások"/>
    <x v="8"/>
    <x v="120"/>
    <s v="MVÉGZÉSRE IR. E. JOGVISZONYBAN FIZETETT JUTTATÁSO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8"/>
    <x v="6"/>
    <x v="55"/>
    <s v="Kari kiválósági személyi kiadások"/>
    <x v="8"/>
    <x v="121"/>
    <s v="Felmentési bér teljesítése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8"/>
    <x v="6"/>
    <x v="55"/>
    <s v="Kari kiválósági személyi kiadások"/>
    <x v="8"/>
    <x v="122"/>
    <s v="Munkaviszonyban nem állók költségtérítése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8"/>
    <x v="6"/>
    <x v="55"/>
    <s v="Kari kiválósági személyi kiadások"/>
    <x v="8"/>
    <x v="123"/>
    <s v="Ktg.és egyéb juttatáso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8"/>
    <x v="6"/>
    <x v="55"/>
    <s v="Kari kiválósági személyi kiadások"/>
    <x v="8"/>
    <x v="124"/>
    <s v="Ktg.és egyéb jutt./vas.gyém.rubin okl.,ö.díj kieg.,OTKA p.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8"/>
    <x v="6"/>
    <x v="55"/>
    <s v="Kari kiválósági személyi kiadások"/>
    <x v="8"/>
    <x v="125"/>
    <s v="Reprezentáció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8"/>
    <x v="6"/>
    <x v="55"/>
    <s v="Kari kiválósági személyi kiadások"/>
    <x v="8"/>
    <x v="126"/>
    <s v="EGYÉB KÜLSŐ SZEMÉLYI JUTTATÁSO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8"/>
    <x v="6"/>
    <x v="55"/>
    <s v="Kari kiválósági személyi kiadások"/>
    <x v="8"/>
    <x v="127"/>
    <s v="KÜLSŐ SZEMÉLYI JUTTATÁSO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8"/>
    <x v="6"/>
    <x v="55"/>
    <s v="Kari kiválósági személyi kiadások"/>
    <x v="8"/>
    <x v="128"/>
    <s v="SZEMÉLYI JUTTATÁSO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8"/>
    <x v="6"/>
    <x v="55"/>
    <s v="Kari kiválósági személyi kiadások"/>
    <x v="8"/>
    <x v="129"/>
    <s v="SZOCHÓ (13%)"/>
    <n v="0"/>
    <n v="0"/>
    <n v="0"/>
    <n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m/>
    <x v="68"/>
    <x v="6"/>
    <x v="55"/>
    <s v="Kari kiválósági személyi kiadások"/>
    <x v="8"/>
    <x v="130"/>
    <s v="15,5%-os szocho, manuálisan töltendő 2021 decemberre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8"/>
    <x v="6"/>
    <x v="55"/>
    <s v="Kari kiválósági személyi kiadások"/>
    <x v="8"/>
    <x v="131"/>
    <s v="EKHO (13%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8"/>
    <x v="6"/>
    <x v="55"/>
    <s v="Kari kiválósági személyi kiadások"/>
    <x v="8"/>
    <x v="132"/>
    <s v="Kifizetői 13 %-os SZOCHO"/>
    <n v="0"/>
    <n v="0"/>
    <n v="0"/>
    <n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m/>
    <x v="68"/>
    <x v="6"/>
    <x v="55"/>
    <s v="Kari kiválósági személyi kiadások"/>
    <x v="8"/>
    <x v="133"/>
    <s v="Kifizető által fizetett SZJA"/>
    <n v="0"/>
    <n v="0"/>
    <n v="0"/>
    <n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m/>
    <x v="68"/>
    <x v="6"/>
    <x v="55"/>
    <s v="Kari kiválósági személyi kiadások"/>
    <x v="8"/>
    <x v="134"/>
    <s v="Rehabilitációs hozzájárulá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8"/>
    <x v="6"/>
    <x v="55"/>
    <s v="Kari kiválósági személyi kiadások"/>
    <x v="8"/>
    <x v="135"/>
    <s v="MUNKAADÓKAT T.JÁRULÉKOK ÉS SZOCIÁLIS HOZZÁJÁRULÁSI ADÓ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, idei forrás"/>
    <x v="8"/>
    <x v="0"/>
    <s v="idei forrás ÖSSZESEN: töltendő, ha nincs alábontás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38"/>
    <s v="Gyógyszerbeszerzé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39"/>
    <s v="Vegyszerbeszerzé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40"/>
    <s v="Egyéb szakmai anyagbeszerzés"/>
    <n v="11105887"/>
    <n v="11105887.15142275"/>
    <n v="-0.15142275020480156"/>
    <n v="11105887.15142275"/>
    <m/>
    <m/>
    <m/>
    <m/>
    <m/>
    <m/>
    <m/>
    <m/>
    <m/>
    <m/>
    <m/>
    <m/>
    <m/>
    <m/>
    <m/>
    <m/>
    <m/>
    <m/>
    <m/>
    <n v="11105887.15142275"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41"/>
    <s v="Könyvbeszerzés (5% ÁFA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42"/>
    <s v="Egy éven belül elhasználódó szakmai anyag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43"/>
    <s v="Irodaszer. sokszorosítási. számítástechnikai anyago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44"/>
    <s v="Nyomtatvány beszerzé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45"/>
    <s v="Hajtó- és kenőanyag beszerzése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46"/>
    <s v="Munka-. védő- és formaruha beszerzé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47"/>
    <s v="Karbantartási anyagok. alkatrészek.szerszámok beszerz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48"/>
    <s v="Bútorok.berend..felszer. tárgyak. textíliák beszerz.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49"/>
    <s v="Tisztítószerek. tisztálkodási szerek beszerzése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50"/>
    <s v="Számítástechnikai alkatrészek.készletek beszerzése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51"/>
    <s v="Egyéb készletbeszerzé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52"/>
    <s v="Számítástechnikai oktatási szolg.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53"/>
    <s v="Inform.eszközök, szolg.bérlet,lízingelés ktg.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54"/>
    <s v="Informatikai eszközök karbantartása. kisjav.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55"/>
    <s v="Adatfeldolgozási szolgáltatáso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56"/>
    <s v="Adatátviteli célú távközlési díja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57"/>
    <s v="TV előfizetési díj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58"/>
    <s v="Egyéb kommunikációs szolgáltatáso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36"/>
    <s v="Nem adatátviteli célú távközlési díja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59"/>
    <s v="Nem járulékköteles távközlési díj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60"/>
    <s v="Villamosenergia szolgáltatás díja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61"/>
    <s v="Gázenergia szolgáltatás díja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62"/>
    <s v="Távhő és melegvíz szolgáltatás díja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63"/>
    <s v="Víz- és csatornadíja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64"/>
    <s v="ÁFA mentes villamosenergia szolgáltatás díja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65"/>
    <s v="Vásárolt élelmezé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66"/>
    <s v="PPP szolgáltatá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67"/>
    <s v="Egyéb kül. bérleti és lízing díjak (PPP nélkül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68"/>
    <s v="Ingatlan bérleti díj költségei (Áfa mentes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69"/>
    <s v="Ingatlanok karbantartása. kisjavítása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70"/>
    <s v="Gépek berendezések karbantartása, kisjavítása ktg.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71"/>
    <s v="Járművekkel kapcsolatos karbantartási, kisjav. kiadáso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72"/>
    <s v="AHT-n belüli közvetített szolgáltatáso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73"/>
    <s v="AHT-n kívüli közvetített szolgáltatáso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74"/>
    <s v="Vásárolt közszolgáltatások (pld. egészségügyi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75"/>
    <s v="Jogi szolgáltatáso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76"/>
    <s v="ÁFA mentes számlázott(okt.kut.)szellemi tev.kiad.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77"/>
    <s v="ÁFA-s számlázott(okt.kut.)szellemi tev.kiad.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78"/>
    <s v="Sport és kulturális szolgáltatá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79"/>
    <s v="Szakmai szolg. tanfolyamok, továbbképzése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80"/>
    <s v="Egyéb pénzügyi szoltáltatások (bankktg.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81"/>
    <s v="Anyag- és áruszállítás költségei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82"/>
    <s v="Egyéb szállítás költségei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83"/>
    <s v="Postai levél. csomag. feladott távirat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84"/>
    <s v="Takarítá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85"/>
    <s v="Rovarirtá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86"/>
    <s v="Kommunális hulladék szállítási költségei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87"/>
    <s v="Kéményseprési díjak költségei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88"/>
    <s v="Nyomdai költség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89"/>
    <s v="Ingatlanok üzemelt. fenntartási kiad.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90"/>
    <s v="Egyéb üzemelt. Kiadások (mosás, rakodás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91"/>
    <s v="Egyéb más jellegű szolg. Költségei (audit, ell.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92"/>
    <s v="Biztosítási díj (központilag fizetett vagyonbiztosítás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93"/>
    <s v="Külföldi kiküldetések kiadásai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94"/>
    <s v="Belföldi kiküldetések kiadásai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95"/>
    <s v="Reklám- és propaganda költségei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96"/>
    <s v="Nem levonható egyenes adós ÁFA anyag, szolg."/>
    <n v="2998589.530884143"/>
    <n v="2998589.530884143"/>
    <n v="0"/>
    <n v="2998589.53088414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998589.530884143"/>
    <n v="0"/>
    <n v="0"/>
    <n v="0"/>
    <n v="0"/>
    <n v="0"/>
    <n v="0"/>
    <n v="0"/>
    <m/>
    <m/>
    <m/>
    <m/>
    <m/>
    <m/>
    <m/>
    <m/>
    <m/>
    <m/>
    <m/>
    <m/>
  </r>
  <r>
    <m/>
    <x v="69"/>
    <x v="6"/>
    <x v="56"/>
    <s v="Kari kiválósági dologi kiadások"/>
    <x v="8"/>
    <x v="137"/>
    <s v="Egyenes adózású ÁFA befizeté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97"/>
    <s v="Külf.pénzért.szóló köt.p.ügy.real.árfoly.veszt.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98"/>
    <s v="H. adók.e. vám, illeték és adójell. befiz. ráf.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199"/>
    <s v="Díjak, egyéb befiz., ráford. tagsági díjak kiad.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200"/>
    <s v="Turizmusfejlesztési hozzájárulás (4%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201"/>
    <s v="Különféle egyéb dologi kiad. miatti egyéb ráfordítások"/>
    <n v="0.45"/>
    <n v="0.45"/>
    <n v="0"/>
    <n v="0.45"/>
    <m/>
    <m/>
    <m/>
    <m/>
    <m/>
    <m/>
    <m/>
    <m/>
    <m/>
    <m/>
    <m/>
    <m/>
    <m/>
    <m/>
    <m/>
    <m/>
    <m/>
    <m/>
    <m/>
    <n v="0.45"/>
    <m/>
    <m/>
    <m/>
    <m/>
    <m/>
    <m/>
    <m/>
    <m/>
    <m/>
    <m/>
    <m/>
    <m/>
    <m/>
    <m/>
    <m/>
    <m/>
    <m/>
    <m/>
    <m/>
  </r>
  <r>
    <m/>
    <x v="69"/>
    <x v="6"/>
    <x v="56"/>
    <s v="Kari kiválósági dologi kiadások"/>
    <x v="8"/>
    <x v="202"/>
    <s v="Kollégiumok FK keret fele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14."/>
    <x v="0"/>
    <x v="0"/>
    <x v="0"/>
    <s v="Kiadások célfeladatokra (átfutó)"/>
    <x v="5"/>
    <x v="0"/>
    <s v="ÖSSZEGZŐ SOR"/>
    <n v="0"/>
    <n v="0"/>
    <n v="0"/>
    <n v="0"/>
    <m/>
    <m/>
    <m/>
    <m/>
    <m/>
    <m/>
    <m/>
    <m/>
    <m/>
    <m/>
    <m/>
    <m/>
    <m/>
    <m/>
    <m/>
    <m/>
    <n v="0"/>
    <n v="0"/>
    <n v="0"/>
    <m/>
    <n v="0"/>
    <n v="0"/>
    <m/>
    <m/>
    <m/>
    <m/>
    <m/>
    <m/>
    <m/>
    <m/>
    <m/>
    <m/>
    <m/>
    <m/>
    <m/>
    <m/>
    <m/>
    <m/>
    <m/>
  </r>
  <r>
    <m/>
    <x v="0"/>
    <x v="0"/>
    <x v="0"/>
    <s v="Kiadások célfeladatokra (átfutó), maradvány, összesen"/>
    <x v="0"/>
    <x v="0"/>
    <s v="ÖSSZEGZŐ SOR"/>
    <n v="0"/>
    <n v="0"/>
    <n v="0"/>
    <n v="0"/>
    <m/>
    <m/>
    <m/>
    <m/>
    <m/>
    <m/>
    <m/>
    <m/>
    <m/>
    <m/>
    <m/>
    <m/>
    <m/>
    <m/>
    <m/>
    <m/>
    <n v="0"/>
    <n v="0"/>
    <n v="0"/>
    <m/>
    <n v="0"/>
    <n v="0"/>
    <n v="0"/>
    <m/>
    <m/>
    <m/>
    <m/>
    <m/>
    <m/>
    <m/>
    <m/>
    <m/>
    <m/>
    <m/>
    <m/>
    <m/>
    <m/>
    <m/>
    <m/>
  </r>
  <r>
    <m/>
    <x v="59"/>
    <x v="6"/>
    <x v="48"/>
    <s v="Kiadások célfeladatokra (átfutó), maradvány, személyi"/>
    <x v="6"/>
    <x v="0"/>
    <s v="MARADVÁNY"/>
    <m/>
    <n v="0"/>
    <n v="0"/>
    <n v="0"/>
    <m/>
    <m/>
    <m/>
    <m/>
    <m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m/>
  </r>
  <r>
    <m/>
    <x v="66"/>
    <x v="6"/>
    <x v="54"/>
    <s v="Kiadások célfeladatokra (átfutó), maradvány, dologi"/>
    <x v="6"/>
    <x v="0"/>
    <s v="MARADVÁNY"/>
    <m/>
    <n v="0"/>
    <n v="0"/>
    <n v="0"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m/>
    <m/>
    <m/>
    <m/>
    <m/>
    <m/>
    <m/>
    <m/>
  </r>
  <r>
    <m/>
    <x v="0"/>
    <x v="0"/>
    <x v="0"/>
    <s v="Kiadások célfeladatokra (átfutó), idei forrás, összesen"/>
    <x v="0"/>
    <x v="0"/>
    <s v="ÖSSZEGZŐ SOR"/>
    <n v="0"/>
    <n v="0"/>
    <n v="0"/>
    <n v="0"/>
    <m/>
    <m/>
    <m/>
    <m/>
    <m/>
    <m/>
    <m/>
    <m/>
    <m/>
    <m/>
    <m/>
    <m/>
    <m/>
    <m/>
    <m/>
    <m/>
    <n v="0"/>
    <n v="0"/>
    <n v="0"/>
    <m/>
    <n v="0"/>
    <n v="0"/>
    <n v="0"/>
    <m/>
    <m/>
    <m/>
    <m/>
    <m/>
    <m/>
    <m/>
    <m/>
    <m/>
    <m/>
    <m/>
    <m/>
    <m/>
    <m/>
    <m/>
    <m/>
  </r>
  <r>
    <m/>
    <x v="59"/>
    <x v="6"/>
    <x v="48"/>
    <s v="Kiadások célfeladatokra (átfutó), idei forrás, személyi"/>
    <x v="7"/>
    <x v="0"/>
    <s v="űrlapsor szerinti bontás külön tervezendő"/>
    <m/>
    <n v="0"/>
    <n v="0"/>
    <n v="0"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m/>
    <m/>
    <m/>
    <m/>
    <m/>
    <m/>
    <m/>
    <m/>
  </r>
  <r>
    <m/>
    <x v="66"/>
    <x v="6"/>
    <x v="54"/>
    <s v="Kiadások célfeladatokra (átfutó), idei forrás, dologi"/>
    <x v="7"/>
    <x v="0"/>
    <s v="űrlapsor szerinti bontás külön tervezendő"/>
    <n v="0"/>
    <n v="0"/>
    <n v="0"/>
    <n v="0"/>
    <m/>
    <m/>
    <m/>
    <m/>
    <m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m/>
  </r>
  <r>
    <m/>
    <x v="70"/>
    <x v="7"/>
    <x v="57"/>
    <s v="KIADÁSOK ÖSSZESEN"/>
    <x v="0"/>
    <x v="0"/>
    <m/>
    <n v="744011547.28379846"/>
    <n v="744011547.69022119"/>
    <n v="-0.40642275020945817"/>
    <n v="744011547.69022119"/>
    <m/>
    <n v="64268808.564255498"/>
    <n v="66401597.386047892"/>
    <n v="11508583.581264475"/>
    <n v="62775763.648400739"/>
    <n v="23007352.219087724"/>
    <n v="38135905.181016594"/>
    <n v="14259486.639443561"/>
    <n v="38795992.605803646"/>
    <n v="50756076.835279368"/>
    <n v="30388940.683660969"/>
    <n v="13302001.118406294"/>
    <n v="46704610.100015312"/>
    <n v="34065489.437317915"/>
    <n v="63814260"/>
    <n v="11496440"/>
    <n v="386120"/>
    <n v="0"/>
    <n v="0"/>
    <n v="14607069.132306892"/>
    <n v="42844292"/>
    <n v="0"/>
    <n v="0"/>
    <n v="0"/>
    <n v="0"/>
    <n v="0"/>
    <n v="116492758.55791421"/>
    <n v="0"/>
    <n v="0"/>
    <n v="0"/>
    <n v="0"/>
    <n v="0"/>
    <n v="0"/>
    <n v="0"/>
    <n v="0"/>
    <n v="0"/>
    <n v="0"/>
    <n v="0"/>
    <n v="0"/>
  </r>
  <r>
    <m/>
    <x v="71"/>
    <x v="8"/>
    <x v="58"/>
    <s v="KORRIGÁLT EGYENLEG (KARI BELSŐ POZÍCIÓ)"/>
    <x v="0"/>
    <x v="0"/>
    <m/>
    <n v="17687135.571144342"/>
    <n v="17687133.745448001"/>
    <n v="1.8256964880274609"/>
    <n v="271873377.69263148"/>
    <n v="0"/>
    <n v="49421055.486835524"/>
    <n v="-41551691.270536304"/>
    <n v="-2764465.0868304912"/>
    <n v="-25844337.437222287"/>
    <n v="-8751072.0362535249"/>
    <n v="-2975028.5952148135"/>
    <n v="7735018.8982277662"/>
    <n v="2630956.9234969518"/>
    <n v="-4900499.4456215408"/>
    <n v="1261852.1810791288"/>
    <n v="7947890.5456424691"/>
    <n v="38307984.098358519"/>
    <n v="-16347647.929015124"/>
    <n v="-0.43181790411472321"/>
    <n v="-0.12582006677985191"/>
    <n v="13517119.113053955"/>
    <n v="0"/>
    <n v="0"/>
    <n v="-0.70499999821186066"/>
    <n v="0"/>
    <n v="0"/>
    <n v="0"/>
    <n v="0"/>
    <n v="0"/>
    <n v="0"/>
    <n v="-0.43791420757770538"/>
    <n v="1911197"/>
    <n v="178656704.64255401"/>
    <n v="40180860"/>
    <n v="157177.68975872546"/>
    <n v="4701492.2274356307"/>
    <n v="0"/>
    <n v="0"/>
    <n v="0"/>
    <n v="0"/>
    <n v="0"/>
    <n v="0"/>
    <n v="9239068.3874350004"/>
  </r>
  <r>
    <n v="52"/>
    <x v="72"/>
    <x v="1"/>
    <x v="59"/>
    <s v="BDPK KERESZTFINANSZÍROZÁS"/>
    <x v="1"/>
    <x v="0"/>
    <m/>
    <n v="0"/>
    <n v="0"/>
    <n v="0"/>
    <n v="0"/>
    <m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m/>
    <x v="3"/>
    <x v="206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m/>
    <x v="3"/>
    <x v="207"/>
    <n v="0"/>
    <n v="0"/>
    <n v="0"/>
    <n v="0"/>
    <n v="0"/>
    <m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m/>
    <x v="73"/>
    <x v="9"/>
    <x v="60"/>
    <s v="KORRIGÁLT EGYENLEG 2"/>
    <x v="0"/>
    <x v="0"/>
    <m/>
    <n v="17687135.571144342"/>
    <n v="17687133.745448001"/>
    <n v="1.8256964880274609"/>
    <n v="271873377.69263148"/>
    <m/>
    <n v="49421055.486835524"/>
    <n v="-41551691.270536304"/>
    <n v="-2764465.0868304912"/>
    <n v="-25844337.437222287"/>
    <n v="-8751072.0362535249"/>
    <n v="-2975028.5952148135"/>
    <n v="7735018.8982277662"/>
    <n v="2630956.9234969518"/>
    <n v="-4900499.4456215408"/>
    <n v="1261852.1810791288"/>
    <n v="7947890.5456424691"/>
    <n v="38307984.098358519"/>
    <n v="-16347647.929015124"/>
    <n v="-0.43181790411472321"/>
    <n v="-0.12582006677985191"/>
    <n v="13517119.113053955"/>
    <n v="0"/>
    <n v="0"/>
    <n v="-0.70499999821186066"/>
    <n v="0"/>
    <n v="0"/>
    <n v="0"/>
    <n v="0"/>
    <n v="0"/>
    <n v="0"/>
    <n v="-0.43791420757770538"/>
    <n v="1911197"/>
    <n v="178656704.64255401"/>
    <n v="40180860"/>
    <n v="157177.68975872546"/>
    <n v="4701492.2274356307"/>
    <n v="0"/>
    <n v="0"/>
    <n v="0"/>
    <n v="0"/>
    <n v="0"/>
    <n v="0"/>
    <n v="9239068.3874350004"/>
  </r>
  <r>
    <m/>
    <x v="0"/>
    <x v="0"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74"/>
    <x v="10"/>
    <x v="0"/>
    <s v="2022. évi forrás összesen 2.a alapján"/>
    <x v="1"/>
    <x v="0"/>
    <s v=" "/>
    <n v="686112201.13994277"/>
    <n v="686112200.72066915"/>
    <n v="0.41927361488342285"/>
    <n v="940298444.06785262"/>
    <m/>
    <n v="128701791.05524905"/>
    <n v="22537611.028412644"/>
    <n v="4629891.1786561776"/>
    <n v="33855207.238763005"/>
    <n v="12854865.006133778"/>
    <n v="36117012.713425763"/>
    <n v="27399109.663285337"/>
    <n v="38641027.791507199"/>
    <n v="48217852.666580677"/>
    <n v="42117024.742268652"/>
    <n v="30584368.29579052"/>
    <n v="94588871.451067999"/>
    <n v="17511821.931805462"/>
    <n v="8263514.5681820959"/>
    <n v="-691762.12582006631"/>
    <n v="-146950.88694604131"/>
    <n v="5530000"/>
    <n v="0"/>
    <n v="14104476.682306895"/>
    <n v="0"/>
    <n v="0"/>
    <n v="0"/>
    <n v="0"/>
    <n v="0"/>
    <n v="0"/>
    <n v="121296467.12"/>
    <n v="1911197"/>
    <n v="178656704.64255401"/>
    <n v="40180860"/>
    <n v="157177.68975872546"/>
    <n v="4701492.2274356307"/>
    <n v="0"/>
    <n v="0"/>
    <n v="0"/>
    <n v="0"/>
    <n v="0"/>
    <n v="0"/>
    <n v="9239068.3874350004"/>
  </r>
  <r>
    <m/>
    <x v="75"/>
    <x v="10"/>
    <x v="61"/>
    <s v="Tervezett 2022. évi forrás összesen"/>
    <x v="9"/>
    <x v="0"/>
    <m/>
    <n v="686112200.79181743"/>
    <n v="686112201.12066889"/>
    <n v="-0.32885146141052246"/>
    <n v="1152840933.0095263"/>
    <m/>
    <n v="108772925.64920293"/>
    <n v="21232888.70708156"/>
    <n v="4313842.1694109198"/>
    <n v="32360415.443644039"/>
    <n v="12286856.925973758"/>
    <n v="35003300.011669546"/>
    <n v="21806723.77151664"/>
    <n v="37158797.944350637"/>
    <n v="45832082.708816007"/>
    <n v="31171650.081683606"/>
    <n v="20570178.032571629"/>
    <n v="86609455.40611802"/>
    <n v="16892605.910906952"/>
    <n v="37202258.568182096"/>
    <n v="-0.12582006631419063"/>
    <n v="0.11305395868839696"/>
    <n v="0"/>
    <n v="0"/>
    <n v="14104476.682306895"/>
    <n v="42844292"/>
    <n v="0"/>
    <n v="0"/>
    <n v="0"/>
    <n v="0"/>
    <n v="0"/>
    <n v="117949451.12"/>
    <n v="1911197"/>
    <n v="178656704.64255401"/>
    <n v="40180860"/>
    <n v="157177.68975872546"/>
    <n v="4701492.2274356317"/>
    <n v="0"/>
    <n v="0"/>
    <n v="0"/>
    <n v="0"/>
    <n v="0"/>
    <n v="0"/>
    <n v="9239068.3874350004"/>
  </r>
  <r>
    <m/>
    <x v="0"/>
    <x v="0"/>
    <x v="0"/>
    <s v="ebből: 2022 évi támogatás"/>
    <x v="0"/>
    <x v="0"/>
    <m/>
    <m/>
    <n v="629895906.26903129"/>
    <n v="-629895906.26903129"/>
    <n v="1078039205.0032387"/>
    <m/>
    <n v="96918837.506092161"/>
    <n v="19310737.850474603"/>
    <n v="3575798.6908701896"/>
    <n v="28646793.475799486"/>
    <n v="10473602.790351868"/>
    <n v="32616972.645275254"/>
    <n v="19717607.323798418"/>
    <n v="25671425.737262264"/>
    <n v="43254651.787387699"/>
    <n v="28510406.403928928"/>
    <n v="20367274.393484674"/>
    <n v="77883520.702924594"/>
    <n v="16081035.331242086"/>
    <n v="37202258.568182096"/>
    <n v="-0.12582006631419063"/>
    <n v="0.11305395868839696"/>
    <n v="-838713"/>
    <n v="0"/>
    <n v="13056968.074723164"/>
    <n v="42844292"/>
    <n v="0"/>
    <n v="0"/>
    <n v="0"/>
    <n v="0"/>
    <n v="0"/>
    <n v="114602436"/>
    <n v="1911197"/>
    <n v="165388262.27982676"/>
    <n v="40180860"/>
    <n v="157177.68975872546"/>
    <n v="4352322.6915743882"/>
    <n v="0"/>
    <n v="0"/>
    <n v="0"/>
    <n v="0"/>
    <n v="0"/>
    <n v="0"/>
    <n v="9239068.3874350004"/>
  </r>
  <r>
    <m/>
    <x v="0"/>
    <x v="0"/>
    <x v="0"/>
    <s v="ebből: 2022 évi saját bevétel"/>
    <x v="0"/>
    <x v="0"/>
    <m/>
    <m/>
    <n v="56216294.851637721"/>
    <n v="-56216294.851637721"/>
    <n v="74801728.00628756"/>
    <m/>
    <n v="11854088.143110774"/>
    <n v="1922150.8566069589"/>
    <n v="738043.47854072845"/>
    <n v="3713621.9678445561"/>
    <n v="1813254.1356218907"/>
    <n v="2386327.366394287"/>
    <n v="2089116.4477182238"/>
    <n v="11487372.207088379"/>
    <n v="2577430.9214282972"/>
    <n v="2661243.6777546778"/>
    <n v="202903.63908695366"/>
    <n v="8725934.703193415"/>
    <n v="811570.57966486702"/>
    <n v="0"/>
    <n v="0"/>
    <n v="0"/>
    <n v="838713"/>
    <n v="0"/>
    <n v="1047508.6075837308"/>
    <n v="0"/>
    <n v="0"/>
    <n v="0"/>
    <n v="0"/>
    <n v="0"/>
    <n v="0"/>
    <n v="3347015.1199999996"/>
    <n v="0"/>
    <n v="13268442.362727256"/>
    <n v="0"/>
    <n v="0"/>
    <n v="349169.53586124361"/>
    <n v="0"/>
    <n v="0"/>
    <n v="0"/>
    <n v="0"/>
    <n v="0"/>
    <n v="0"/>
    <n v="0"/>
  </r>
  <r>
    <m/>
    <x v="76"/>
    <x v="10"/>
    <x v="62"/>
    <s v="Maradvány forrás összesen"/>
    <x v="4"/>
    <x v="0"/>
    <s v=" "/>
    <n v="75586481.314999998"/>
    <n v="75586481.314999998"/>
    <n v="0"/>
    <n v="75586481.314999998"/>
    <m/>
    <n v="4916939.4018880986"/>
    <n v="3617017.4084300292"/>
    <n v="4430276.3250230653"/>
    <n v="4571010.767534405"/>
    <n v="1969423.2568604404"/>
    <n v="157576.57413222821"/>
    <n v="187781.76615470019"/>
    <n v="4268151.584949946"/>
    <n v="23494.680841835274"/>
    <n v="479142.78305648611"/>
    <n v="679713.6314771357"/>
    <n v="-1596861.2077441954"/>
    <n v="825235.59739582357"/>
    <n v="26612001"/>
    <n v="11496440"/>
    <n v="13903239"/>
    <n v="0"/>
    <n v="0"/>
    <n v="502591.745"/>
    <n v="0"/>
    <n v="0"/>
    <n v="0"/>
    <n v="0"/>
    <n v="0"/>
    <n v="0"/>
    <n v="-1456693"/>
    <n v="0"/>
    <n v="0"/>
    <n v="0"/>
    <n v="0"/>
    <n v="0"/>
    <n v="0"/>
    <n v="0"/>
    <n v="0"/>
    <n v="0"/>
    <n v="0"/>
    <n v="0"/>
    <n v="0"/>
  </r>
  <r>
    <m/>
    <x v="77"/>
    <x v="10"/>
    <x v="63"/>
    <s v="Tervezett 2022. évi forrás + maradvány összesen"/>
    <x v="0"/>
    <x v="0"/>
    <m/>
    <n v="761698682.10681748"/>
    <n v="761698682.43566895"/>
    <n v="-0.32885146141052246"/>
    <n v="1228427414.3245263"/>
    <m/>
    <n v="113689865.05109103"/>
    <n v="24849906.115511589"/>
    <n v="8744118.4944339842"/>
    <n v="36931426.211178444"/>
    <n v="14256280.182834199"/>
    <n v="35160876.585801773"/>
    <n v="21994505.537671339"/>
    <n v="41426949.529300585"/>
    <n v="45855577.38965784"/>
    <n v="31650792.864740092"/>
    <n v="21249891.664048765"/>
    <n v="85012594.198373824"/>
    <n v="17717841.508302774"/>
    <n v="63814259.568182096"/>
    <n v="11496439.874179933"/>
    <n v="13903239.113053959"/>
    <n v="0"/>
    <n v="0"/>
    <n v="14607068.427306894"/>
    <n v="42844292"/>
    <n v="0"/>
    <n v="0"/>
    <n v="0"/>
    <n v="0"/>
    <n v="0"/>
    <n v="116492758.12"/>
    <n v="1911197"/>
    <n v="178656704.64255401"/>
    <n v="40180860"/>
    <n v="157177.68975872546"/>
    <n v="4701492.2274356317"/>
    <n v="0"/>
    <n v="0"/>
    <n v="0"/>
    <n v="0"/>
    <n v="0"/>
    <n v="0"/>
    <n v="9239068.3874350004"/>
  </r>
  <r>
    <m/>
    <x v="78"/>
    <x v="10"/>
    <x v="0"/>
    <s v="Kiadás 2.a) összesen"/>
    <x v="5"/>
    <x v="0"/>
    <s v=" "/>
    <n v="744011547.16114736"/>
    <n v="744011547.2902211"/>
    <n v="-0.12907374650239944"/>
    <n v="744011547.69022119"/>
    <m/>
    <n v="64268808.564255498"/>
    <n v="66401597.386047892"/>
    <n v="11508583.581264475"/>
    <n v="62775763.648400746"/>
    <n v="23007352.219087724"/>
    <n v="38135905.181016594"/>
    <n v="14259486.639443561"/>
    <n v="38795992.605803646"/>
    <n v="50756076.835279368"/>
    <n v="30388940.683660969"/>
    <n v="13302001.118406294"/>
    <n v="46704610.100015312"/>
    <n v="34065489.437317915"/>
    <n v="63814260"/>
    <n v="11496440"/>
    <n v="386120"/>
    <n v="0"/>
    <n v="0"/>
    <n v="14607069.132306892"/>
    <n v="42844292"/>
    <n v="0"/>
    <n v="0"/>
    <n v="0"/>
    <n v="0"/>
    <n v="0"/>
    <n v="116492758.55791421"/>
    <n v="0"/>
    <n v="0"/>
    <n v="0"/>
    <n v="0"/>
    <n v="0"/>
    <n v="0"/>
    <n v="0"/>
    <n v="0"/>
    <n v="0"/>
    <n v="0"/>
    <n v="0"/>
    <n v="0"/>
  </r>
  <r>
    <m/>
    <x v="79"/>
    <x v="10"/>
    <x v="64"/>
    <s v="Tervezett kiadás 2022. évi forrásból összesen"/>
    <x v="7"/>
    <x v="0"/>
    <s v=" "/>
    <n v="680348307.53879845"/>
    <n v="680348307.69022119"/>
    <n v="-0.15142275020480156"/>
    <n v="680348307.69022119"/>
    <m/>
    <n v="59351869"/>
    <n v="62784580"/>
    <n v="7078307"/>
    <n v="58204753"/>
    <n v="21037929"/>
    <n v="37978329"/>
    <n v="14071705"/>
    <n v="34527841"/>
    <n v="50732582"/>
    <n v="29909798"/>
    <n v="12622287"/>
    <n v="46687687"/>
    <n v="33240254"/>
    <n v="37202259"/>
    <n v="0"/>
    <n v="19907"/>
    <n v="0"/>
    <n v="0"/>
    <n v="14104477.132306892"/>
    <n v="42844292"/>
    <n v="0"/>
    <n v="0"/>
    <n v="0"/>
    <n v="0"/>
    <n v="0"/>
    <n v="117949451.55791421"/>
    <n v="0"/>
    <n v="0"/>
    <n v="0"/>
    <n v="0"/>
    <n v="0"/>
    <n v="0"/>
    <n v="0"/>
    <n v="0"/>
    <n v="0"/>
    <n v="0"/>
    <n v="0"/>
    <n v="0"/>
  </r>
  <r>
    <m/>
    <x v="80"/>
    <x v="10"/>
    <x v="65"/>
    <s v="Tervezett kiadás maradványból összesen"/>
    <x v="6"/>
    <x v="0"/>
    <s v=" "/>
    <n v="63663239.744999997"/>
    <n v="63663240"/>
    <n v="-0.25500000000465661"/>
    <n v="63663240"/>
    <m/>
    <n v="4916939.5642554983"/>
    <n v="3617017.3860478918"/>
    <n v="4430276.5812644754"/>
    <n v="4571010.6484007426"/>
    <n v="1969423.2190877246"/>
    <n v="157576.18101659551"/>
    <n v="187781.63944356181"/>
    <n v="4268151.605803648"/>
    <n v="23494.835279367569"/>
    <n v="479142.68366096891"/>
    <n v="679714.11840629368"/>
    <n v="16923.100015313055"/>
    <n v="825235.43731791817"/>
    <n v="26612001"/>
    <n v="11496440"/>
    <n v="366213"/>
    <n v="0"/>
    <n v="0"/>
    <n v="502592"/>
    <n v="0"/>
    <n v="0"/>
    <n v="0"/>
    <n v="0"/>
    <n v="0"/>
    <n v="0"/>
    <n v="-1456693"/>
    <n v="0"/>
    <n v="0"/>
    <n v="0"/>
    <n v="0"/>
    <n v="0"/>
    <n v="0"/>
    <n v="0"/>
    <n v="0"/>
    <n v="0"/>
    <n v="0"/>
    <n v="0"/>
    <n v="0"/>
  </r>
  <r>
    <m/>
    <x v="81"/>
    <x v="10"/>
    <x v="66"/>
    <s v="Tervezett kiadás mindösszesen"/>
    <x v="0"/>
    <x v="0"/>
    <s v=" "/>
    <n v="744011547.28379846"/>
    <n v="744011547.69022119"/>
    <n v="-0.40642275020945817"/>
    <n v="744011547.69022119"/>
    <m/>
    <n v="64268808.564255498"/>
    <n v="66401597.386047892"/>
    <n v="11508583.581264475"/>
    <n v="62775763.648400739"/>
    <n v="23007352.219087724"/>
    <n v="38135905.181016594"/>
    <n v="14259486.639443561"/>
    <n v="38795992.605803646"/>
    <n v="50756076.835279368"/>
    <n v="30388940.683660969"/>
    <n v="13302001.118406294"/>
    <n v="46704610.100015312"/>
    <n v="34065489.437317915"/>
    <n v="63814260"/>
    <n v="11496440"/>
    <n v="386120"/>
    <n v="0"/>
    <n v="0"/>
    <n v="14607069.132306892"/>
    <n v="42844292"/>
    <n v="0"/>
    <n v="0"/>
    <n v="0"/>
    <n v="0"/>
    <n v="0"/>
    <n v="116492758.55791421"/>
    <n v="0"/>
    <n v="0"/>
    <n v="0"/>
    <n v="0"/>
    <n v="0"/>
    <n v="0"/>
    <n v="0"/>
    <n v="0"/>
    <n v="0"/>
    <n v="0"/>
    <n v="0"/>
    <n v="0"/>
  </r>
  <r>
    <m/>
    <x v="82"/>
    <x v="10"/>
    <x v="0"/>
    <s v="Keresztfinanszírozás előtti egyenleg, 2022. évi forrás"/>
    <x v="0"/>
    <x v="0"/>
    <m/>
    <n v="5763893.2530189753"/>
    <n v="5763893.4304476976"/>
    <n v="-0.1774287112057209"/>
    <n v="472492625.31930506"/>
    <m/>
    <n v="49421056.649202928"/>
    <n v="-41551691.292918444"/>
    <n v="-2764464.8305890802"/>
    <n v="-25844337.556355961"/>
    <n v="-8751072.0740262419"/>
    <n v="-2975028.9883304536"/>
    <n v="7735018.7715166397"/>
    <n v="2630956.9443506375"/>
    <n v="-4900499.2911839932"/>
    <n v="1261852.0816836059"/>
    <n v="7947891.0325716287"/>
    <n v="39921768.40611802"/>
    <n v="-16347648.089093048"/>
    <n v="-0.43181790411472321"/>
    <n v="-0.12582006631419063"/>
    <n v="-19906.886946041312"/>
    <n v="0"/>
    <n v="0"/>
    <n v="-0.44999999739229679"/>
    <n v="0"/>
    <n v="0"/>
    <n v="0"/>
    <n v="0"/>
    <n v="0"/>
    <n v="0"/>
    <n v="-0.43791420757770538"/>
    <n v="1911197"/>
    <n v="178656704.64255401"/>
    <n v="40180860"/>
    <n v="157177.68975872546"/>
    <n v="4701492.2274356317"/>
    <n v="0"/>
    <n v="0"/>
    <n v="0"/>
    <n v="0"/>
    <n v="0"/>
    <n v="0"/>
    <n v="9239068.3874350004"/>
  </r>
  <r>
    <m/>
    <x v="83"/>
    <x v="10"/>
    <x v="0"/>
    <s v="Keresztfinanszírozás előtti egyenleg, maradvány"/>
    <x v="0"/>
    <x v="0"/>
    <m/>
    <n v="11923241.57"/>
    <n v="11923241.314999998"/>
    <n v="0.25500000000465661"/>
    <n v="11923241.314999998"/>
    <m/>
    <n v="-0.16236739978194237"/>
    <n v="2.238213736563921E-2"/>
    <n v="-0.25624141003936529"/>
    <n v="0.11913366243243217"/>
    <n v="3.7772715790197253E-2"/>
    <n v="0.39311563270166516"/>
    <n v="0.12671113837859593"/>
    <n v="-2.085370197892189E-2"/>
    <n v="-0.15443753229556023"/>
    <n v="9.9395517201628536E-2"/>
    <n v="-0.48692915798164904"/>
    <n v="-1613784.3077595085"/>
    <n v="0.16007790539879352"/>
    <n v="0"/>
    <n v="0"/>
    <n v="13537026"/>
    <n v="0"/>
    <n v="0"/>
    <n v="-0.2550000000046566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x v="84"/>
    <x v="10"/>
    <x v="67"/>
    <s v="Keresztfinanszírozás előtti egyenleg, összesen"/>
    <x v="0"/>
    <x v="0"/>
    <s v=" "/>
    <n v="17687134.823019028"/>
    <n v="17687134.745447755"/>
    <n v="7.7571288798935711E-2"/>
    <n v="484415866.63430512"/>
    <m/>
    <n v="49421056.486835532"/>
    <n v="-41551691.270536304"/>
    <n v="-2764465.0868304912"/>
    <n v="-25844337.437222295"/>
    <n v="-8751072.0362535249"/>
    <n v="-2975028.5952148214"/>
    <n v="7735018.8982277773"/>
    <n v="2630956.9234969392"/>
    <n v="-4900499.4456215277"/>
    <n v="1261852.1810791232"/>
    <n v="7947890.5456424709"/>
    <n v="38307984.098358512"/>
    <n v="-16347647.929015141"/>
    <n v="-0.43181790411472321"/>
    <n v="-0.12582006677985191"/>
    <n v="13517119.113053959"/>
    <n v="0"/>
    <n v="0"/>
    <n v="-0.70499999821186066"/>
    <n v="0"/>
    <n v="0"/>
    <n v="0"/>
    <n v="0"/>
    <n v="0"/>
    <n v="0"/>
    <n v="-0.43791420757770538"/>
    <n v="1911197"/>
    <n v="178656704.64255401"/>
    <n v="40180860"/>
    <n v="157177.68975872546"/>
    <n v="4701492.2274356317"/>
    <n v="0"/>
    <n v="0"/>
    <n v="0"/>
    <n v="0"/>
    <n v="0"/>
    <n v="0"/>
    <n v="9239068.3874350004"/>
  </r>
  <r>
    <m/>
    <x v="0"/>
    <x v="0"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85"/>
    <x v="0"/>
    <x v="0"/>
    <s v="Belső keresztfinanszírozás, támogatás"/>
    <x v="0"/>
    <x v="208"/>
    <s v="T Belső keresztfinanszírozás"/>
    <n v="0"/>
    <n v="-1.862645149230957E-9"/>
    <n v="1.862645149230957E-9"/>
    <n v="-1.862645149230957E-9"/>
    <m/>
    <n v="-49421056.486835532"/>
    <n v="41551691.270536304"/>
    <n v="2764465.0868304912"/>
    <n v="25844337.437222295"/>
    <n v="8751072.0362535249"/>
    <n v="2975028.5952148214"/>
    <n v="-7735018.8982277773"/>
    <n v="-2630956.9234969392"/>
    <n v="4900499.4456215277"/>
    <n v="-1261852.1810791232"/>
    <n v="-7947890.5456424709"/>
    <n v="-39921768.307759508"/>
    <n v="16347648"/>
    <n v="0"/>
    <n v="0"/>
    <n v="5783801.471362387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x v="0"/>
    <x v="0"/>
    <x v="0"/>
    <m/>
    <x v="0"/>
    <x v="0"/>
    <m/>
    <n v="0"/>
    <n v="0"/>
    <n v="0"/>
    <n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</r>
  <r>
    <m/>
    <x v="0"/>
    <x v="0"/>
    <x v="0"/>
    <m/>
    <x v="0"/>
    <x v="0"/>
    <m/>
    <m/>
    <n v="0"/>
    <n v="0"/>
    <n v="0"/>
    <m/>
    <n v="-41533124"/>
    <n v="41533124"/>
    <m/>
    <m/>
    <n v="7735019"/>
    <m/>
    <n v="-77350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m/>
    <x v="0"/>
    <x v="0"/>
    <m/>
    <m/>
    <n v="0"/>
    <n v="0"/>
    <n v="0"/>
    <m/>
    <n v="-2726454"/>
    <m/>
    <n v="2726454"/>
    <m/>
    <n v="847684"/>
    <m/>
    <m/>
    <n v="-847684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m/>
    <x v="0"/>
    <x v="0"/>
    <m/>
    <n v="0"/>
    <n v="0"/>
    <n v="0"/>
    <n v="0"/>
    <m/>
    <n v="-399590"/>
    <m/>
    <m/>
    <n v="399590"/>
    <m/>
    <n v="1823190"/>
    <m/>
    <n v="-182319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m/>
    <x v="0"/>
    <x v="0"/>
    <m/>
    <n v="0"/>
    <n v="0"/>
    <n v="0"/>
    <n v="0"/>
    <m/>
    <m/>
    <m/>
    <m/>
    <m/>
    <m/>
    <n v="1017892"/>
    <m/>
    <m/>
    <m/>
    <n v="-1017892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m/>
    <x v="0"/>
    <x v="0"/>
    <m/>
    <m/>
    <n v="0"/>
    <n v="0"/>
    <n v="0"/>
    <m/>
    <m/>
    <m/>
    <m/>
    <m/>
    <m/>
    <m/>
    <m/>
    <m/>
    <n v="4613562"/>
    <m/>
    <n v="-4613562"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m/>
    <x v="0"/>
    <x v="0"/>
    <m/>
    <m/>
    <n v="0"/>
    <n v="0"/>
    <n v="0"/>
    <m/>
    <m/>
    <m/>
    <m/>
    <n v="415276"/>
    <m/>
    <m/>
    <m/>
    <m/>
    <m/>
    <n v="-415276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m/>
    <x v="0"/>
    <x v="0"/>
    <m/>
    <m/>
    <n v="0"/>
    <n v="0"/>
    <n v="0"/>
    <m/>
    <m/>
    <m/>
    <m/>
    <n v="3393650"/>
    <m/>
    <m/>
    <m/>
    <m/>
    <m/>
    <m/>
    <n v="-3393650"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m/>
    <x v="0"/>
    <x v="0"/>
    <m/>
    <m/>
    <n v="0"/>
    <n v="0"/>
    <n v="0"/>
    <m/>
    <m/>
    <m/>
    <m/>
    <m/>
    <m/>
    <m/>
    <m/>
    <m/>
    <m/>
    <m/>
    <m/>
    <n v="-16411527"/>
    <n v="16411527"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m/>
    <x v="0"/>
    <x v="0"/>
    <m/>
    <m/>
    <n v="0"/>
    <n v="0"/>
    <n v="0"/>
    <m/>
    <m/>
    <m/>
    <m/>
    <n v="21456042"/>
    <m/>
    <m/>
    <m/>
    <m/>
    <m/>
    <m/>
    <m/>
    <n v="-21456042"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m/>
    <x v="0"/>
    <x v="0"/>
    <m/>
    <m/>
    <n v="0"/>
    <n v="0"/>
    <n v="0"/>
    <m/>
    <n v="-4761888"/>
    <m/>
    <m/>
    <m/>
    <m/>
    <m/>
    <m/>
    <m/>
    <m/>
    <m/>
    <m/>
    <n v="-440415"/>
    <n v="-63879"/>
    <m/>
    <m/>
    <n v="5266182"/>
    <m/>
    <m/>
    <m/>
    <m/>
    <m/>
    <m/>
    <m/>
    <m/>
    <m/>
    <m/>
    <m/>
    <m/>
    <m/>
    <m/>
    <m/>
    <m/>
    <m/>
    <m/>
    <m/>
    <m/>
    <m/>
    <m/>
  </r>
  <r>
    <m/>
    <x v="0"/>
    <x v="0"/>
    <x v="0"/>
    <m/>
    <x v="0"/>
    <x v="0"/>
    <m/>
    <m/>
    <n v="0"/>
    <n v="0"/>
    <n v="0"/>
    <m/>
    <m/>
    <m/>
    <m/>
    <m/>
    <m/>
    <m/>
    <m/>
    <m/>
    <m/>
    <m/>
    <m/>
    <n v="-1613784.3077595085"/>
    <m/>
    <m/>
    <m/>
    <n v="1613784.3077595085"/>
    <m/>
    <m/>
    <m/>
    <m/>
    <m/>
    <m/>
    <m/>
    <m/>
    <m/>
    <m/>
    <m/>
    <m/>
    <m/>
    <m/>
    <m/>
    <m/>
    <m/>
    <m/>
    <m/>
    <m/>
    <m/>
    <m/>
  </r>
  <r>
    <m/>
    <x v="0"/>
    <x v="0"/>
    <x v="0"/>
    <m/>
    <x v="0"/>
    <x v="0"/>
    <m/>
    <m/>
    <m/>
    <m/>
    <m/>
    <m/>
    <n v="-0.4868355318903923"/>
    <n v="18567.27053630352"/>
    <n v="38011.0868304912"/>
    <n v="179779.43722229451"/>
    <n v="168369.03625352494"/>
    <n v="133946.5952148214"/>
    <n v="0.10177222266793251"/>
    <n v="39917.076503060758"/>
    <n v="286937.44562152773"/>
    <n v="171315.81892087683"/>
    <n v="59321.454357529059"/>
    <m/>
    <m/>
    <m/>
    <m/>
    <n v="-1096164.8363971207"/>
    <m/>
    <m/>
    <m/>
    <m/>
    <m/>
    <m/>
    <m/>
    <m/>
    <m/>
    <m/>
    <m/>
    <m/>
    <m/>
    <m/>
    <m/>
    <m/>
    <m/>
    <m/>
    <m/>
    <m/>
    <m/>
    <m/>
  </r>
  <r>
    <m/>
    <x v="85"/>
    <x v="0"/>
    <x v="0"/>
    <s v="Belső keresztfinanszírozás, maradvány"/>
    <x v="0"/>
    <x v="0"/>
    <s v="MARADVÁNY"/>
    <m/>
    <n v="0"/>
    <n v="0"/>
    <n v="0"/>
    <m/>
    <m/>
    <m/>
    <m/>
    <m/>
    <m/>
    <m/>
    <m/>
    <m/>
    <m/>
    <m/>
    <m/>
    <n v="1613784.3077595085"/>
    <m/>
    <m/>
    <m/>
    <n v="-1613784.3077595085"/>
    <m/>
    <m/>
    <m/>
    <m/>
    <m/>
    <m/>
    <m/>
    <m/>
    <m/>
    <m/>
    <m/>
    <m/>
    <m/>
    <m/>
    <m/>
    <m/>
    <m/>
    <m/>
    <m/>
    <m/>
    <m/>
    <m/>
  </r>
  <r>
    <m/>
    <x v="0"/>
    <x v="0"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86"/>
    <x v="0"/>
    <x v="0"/>
    <s v="Keresztfinanszírozás utáni egyenleg"/>
    <x v="0"/>
    <x v="0"/>
    <m/>
    <n v="17687134.823019028"/>
    <n v="17687134.745448031"/>
    <n v="7.7570997178554535E-2"/>
    <n v="484415866.63430542"/>
    <m/>
    <n v="0"/>
    <n v="0"/>
    <n v="0"/>
    <n v="0"/>
    <n v="0"/>
    <n v="0"/>
    <n v="0"/>
    <n v="0"/>
    <n v="0"/>
    <n v="0"/>
    <n v="0"/>
    <n v="9.8358511924743652E-2"/>
    <n v="7.0984859019517899E-2"/>
    <n v="-0.43181790411472321"/>
    <n v="-0.12582006677985191"/>
    <n v="17687136.276656836"/>
    <n v="0"/>
    <n v="0"/>
    <n v="-0.70499999821186066"/>
    <n v="0"/>
    <n v="0"/>
    <n v="0"/>
    <n v="0"/>
    <n v="0"/>
    <n v="0"/>
    <n v="-0.43791420757770538"/>
    <n v="1911197"/>
    <n v="178656704.64255401"/>
    <n v="40180860"/>
    <n v="157177.68975872546"/>
    <n v="4701492.2274356317"/>
    <n v="0"/>
    <n v="0"/>
    <n v="0"/>
    <n v="0"/>
    <n v="0"/>
    <n v="0"/>
    <n v="9239068.3874350004"/>
  </r>
  <r>
    <m/>
    <x v="0"/>
    <x v="0"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name="Kimutatás2" cacheId="1" applyNumberFormats="0" applyBorderFormats="0" applyFontFormats="0" applyPatternFormats="0" applyAlignmentFormats="0" applyWidthHeightFormats="1" dataCaption="Értékek" updatedVersion="6" minRefreshableVersion="3" useAutoFormatting="1" itemPrintTitles="1" createdVersion="6" indent="0" compact="0" compactData="0" gridDropZones="1" multipleFieldFilters="0">
  <location ref="A5:T233" firstHeaderRow="1" firstDataRow="2" firstDataCol="2"/>
  <pivotFields count="38">
    <pivotField axis="axisRow" compact="0" outline="0" showAll="0" defaultSubtotal="0">
      <items count="212">
        <item x="68"/>
        <item x="1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6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2"/>
        <item x="8"/>
        <item x="207"/>
        <item x="78"/>
        <item x="74"/>
        <item x="76"/>
        <item x="80"/>
        <item x="72"/>
        <item x="7"/>
        <item m="1" x="210"/>
        <item x="66"/>
        <item x="64"/>
        <item x="82"/>
        <item x="208"/>
        <item x="9"/>
        <item x="2"/>
        <item x="61"/>
        <item x="81"/>
        <item x="63"/>
        <item x="4"/>
        <item x="206"/>
        <item x="71"/>
        <item x="75"/>
        <item x="77"/>
        <item m="1" x="211"/>
        <item x="73"/>
        <item x="67"/>
        <item x="65"/>
        <item x="3"/>
        <item x="70"/>
        <item x="209"/>
        <item x="69"/>
        <item x="5"/>
        <item x="79"/>
        <item x="0"/>
        <item x="203"/>
        <item x="204"/>
        <item x="205"/>
      </items>
    </pivotField>
    <pivotField axis="axisRow" compact="0" outline="0" showAll="0" defaultSubtotal="0">
      <items count="223">
        <item x="1"/>
        <item x="220"/>
        <item x="213"/>
        <item x="211"/>
        <item x="161"/>
        <item x="160"/>
        <item x="170"/>
        <item x="55"/>
        <item x="56"/>
        <item x="178"/>
        <item x="179"/>
        <item x="95"/>
        <item x="187"/>
        <item x="15"/>
        <item x="200"/>
        <item x="122"/>
        <item x="19"/>
        <item x="198"/>
        <item x="62"/>
        <item x="153"/>
        <item x="107"/>
        <item x="206"/>
        <item x="147"/>
        <item x="13"/>
        <item x="113"/>
        <item x="99"/>
        <item x="102"/>
        <item x="156"/>
        <item x="163"/>
        <item x="116"/>
        <item x="98"/>
        <item x="173"/>
        <item x="134"/>
        <item x="197"/>
        <item x="60"/>
        <item x="61"/>
        <item x="186"/>
        <item x="145"/>
        <item x="188"/>
        <item x="23"/>
        <item x="196"/>
        <item x="50"/>
        <item x="52"/>
        <item x="51"/>
        <item x="203"/>
        <item x="138"/>
        <item x="32"/>
        <item x="33"/>
        <item x="31"/>
        <item x="47"/>
        <item x="48"/>
        <item x="46"/>
        <item x="7"/>
        <item x="42"/>
        <item x="41"/>
        <item x="39"/>
        <item x="36"/>
        <item x="40"/>
        <item x="44"/>
        <item x="34"/>
        <item x="45"/>
        <item x="43"/>
        <item x="38"/>
        <item x="37"/>
        <item x="35"/>
        <item x="49"/>
        <item x="101"/>
        <item x="24"/>
        <item x="59"/>
        <item x="58"/>
        <item x="129"/>
        <item x="119"/>
        <item x="123"/>
        <item x="167"/>
        <item x="176"/>
        <item x="14"/>
        <item x="143"/>
        <item x="205"/>
        <item x="150"/>
        <item x="103"/>
        <item x="91"/>
        <item x="96"/>
        <item x="158"/>
        <item x="159"/>
        <item x="174"/>
        <item x="175"/>
        <item x="195"/>
        <item x="148"/>
        <item x="112"/>
        <item x="111"/>
        <item x="177"/>
        <item x="181"/>
        <item x="110"/>
        <item x="17"/>
        <item x="57"/>
        <item x="152"/>
        <item x="193"/>
        <item x="108"/>
        <item x="140"/>
        <item x="139"/>
        <item x="53"/>
        <item x="22"/>
        <item x="209"/>
        <item x="192"/>
        <item x="146"/>
        <item x="30"/>
        <item x="28"/>
        <item x="29"/>
        <item x="132"/>
        <item x="131"/>
        <item x="93"/>
        <item x="204"/>
        <item x="199"/>
        <item x="121"/>
        <item x="208"/>
        <item x="124"/>
        <item x="135"/>
        <item x="126"/>
        <item x="127"/>
        <item x="125"/>
        <item x="25"/>
        <item x="117"/>
        <item x="83"/>
        <item x="85"/>
        <item x="151"/>
        <item x="142"/>
        <item x="115"/>
        <item x="114"/>
        <item x="130"/>
        <item x="54"/>
        <item x="63"/>
        <item x="3"/>
        <item x="84"/>
        <item x="94"/>
        <item x="128"/>
        <item x="212"/>
        <item x="164"/>
        <item x="165"/>
        <item x="202"/>
        <item x="70"/>
        <item x="97"/>
        <item x="194"/>
        <item x="149"/>
        <item x="16"/>
        <item x="92"/>
        <item x="2"/>
        <item x="11"/>
        <item x="20"/>
        <item x="189"/>
        <item x="172"/>
        <item x="141"/>
        <item x="201"/>
        <item x="100"/>
        <item x="133"/>
        <item x="191"/>
        <item x="120"/>
        <item x="64"/>
        <item x="8"/>
        <item x="10"/>
        <item x="219"/>
        <item x="221"/>
        <item x="90"/>
        <item x="74"/>
        <item x="78"/>
        <item x="68"/>
        <item x="9"/>
        <item x="66"/>
        <item x="76"/>
        <item x="82"/>
        <item x="80"/>
        <item x="184"/>
        <item x="183"/>
        <item x="155"/>
        <item x="157"/>
        <item x="182"/>
        <item x="136"/>
        <item x="137"/>
        <item x="118"/>
        <item x="27"/>
        <item x="65"/>
        <item x="4"/>
        <item x="6"/>
        <item x="218"/>
        <item x="222"/>
        <item x="72"/>
        <item x="75"/>
        <item x="79"/>
        <item x="69"/>
        <item x="5"/>
        <item x="67"/>
        <item x="77"/>
        <item x="73"/>
        <item x="71"/>
        <item x="81"/>
        <item x="190"/>
        <item x="185"/>
        <item x="18"/>
        <item x="168"/>
        <item x="154"/>
        <item x="106"/>
        <item x="207"/>
        <item x="162"/>
        <item x="210"/>
        <item x="26"/>
        <item x="105"/>
        <item x="104"/>
        <item x="217"/>
        <item x="171"/>
        <item x="180"/>
        <item x="12"/>
        <item x="109"/>
        <item x="144"/>
        <item x="21"/>
        <item x="166"/>
        <item x="169"/>
        <item x="0"/>
        <item x="86"/>
        <item x="87"/>
        <item x="88"/>
        <item x="89"/>
        <item x="214"/>
        <item x="215"/>
        <item x="216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compact="0" outline="0" showAll="0" defaultSubtotal="0"/>
    <pivotField dataField="1" compact="0" outline="0" showAll="0" defaultSubtotal="0"/>
    <pivotField dataField="1"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compact="0" outline="0" showAll="0" defaultSubtotal="0"/>
    <pivotField dataField="1" compact="0" outline="0" showAll="0" defaultSubtotal="0"/>
    <pivotField dataField="1" compact="0" outline="0" showAll="0" defaultSubtotal="0"/>
    <pivotField compact="0" outline="0" showAll="0" defaultSubtotal="0"/>
  </pivotFields>
  <rowFields count="2">
    <field x="0"/>
    <field x="1"/>
  </rowFields>
  <rowItems count="227">
    <i>
      <x/>
      <x v="139"/>
    </i>
    <i>
      <x v="1"/>
      <x/>
    </i>
    <i>
      <x v="2"/>
      <x v="144"/>
    </i>
    <i>
      <x v="3"/>
      <x v="110"/>
    </i>
    <i>
      <x v="4"/>
      <x v="133"/>
    </i>
    <i>
      <x v="5"/>
      <x v="11"/>
    </i>
    <i>
      <x v="6"/>
      <x v="81"/>
    </i>
    <i>
      <x v="7"/>
      <x v="140"/>
    </i>
    <i>
      <x v="8"/>
      <x v="30"/>
    </i>
    <i>
      <x v="9"/>
      <x v="25"/>
    </i>
    <i>
      <x v="10"/>
      <x v="152"/>
    </i>
    <i>
      <x v="11"/>
      <x v="66"/>
    </i>
    <i>
      <x v="12"/>
      <x v="26"/>
    </i>
    <i>
      <x v="13"/>
      <x v="79"/>
    </i>
    <i>
      <x v="14"/>
      <x v="205"/>
    </i>
    <i>
      <x v="15"/>
      <x v="204"/>
    </i>
    <i>
      <x v="16"/>
      <x v="204"/>
    </i>
    <i>
      <x v="17"/>
      <x v="199"/>
    </i>
    <i>
      <x v="18"/>
      <x v="20"/>
    </i>
    <i>
      <x v="19"/>
      <x v="97"/>
    </i>
    <i>
      <x v="20"/>
      <x v="210"/>
    </i>
    <i>
      <x v="21"/>
      <x v="92"/>
    </i>
    <i>
      <x v="22"/>
      <x v="89"/>
    </i>
    <i>
      <x v="23"/>
      <x v="88"/>
    </i>
    <i>
      <x v="24"/>
      <x v="24"/>
    </i>
    <i>
      <x v="25"/>
      <x v="127"/>
    </i>
    <i>
      <x v="26"/>
      <x v="126"/>
    </i>
    <i>
      <x v="27"/>
      <x v="29"/>
    </i>
    <i>
      <x v="28"/>
      <x v="121"/>
    </i>
    <i>
      <x v="29"/>
      <x v="177"/>
    </i>
    <i>
      <x v="30"/>
      <x v="71"/>
    </i>
    <i>
      <x v="31"/>
      <x v="155"/>
    </i>
    <i>
      <x v="32"/>
      <x v="113"/>
    </i>
    <i>
      <x v="33"/>
      <x v="15"/>
    </i>
    <i>
      <x v="34"/>
      <x v="72"/>
    </i>
    <i>
      <x v="35"/>
      <x v="115"/>
    </i>
    <i>
      <x v="36"/>
      <x v="119"/>
    </i>
    <i>
      <x v="37"/>
      <x v="117"/>
    </i>
    <i>
      <x v="38"/>
      <x v="118"/>
    </i>
    <i>
      <x v="39"/>
      <x v="134"/>
    </i>
    <i>
      <x v="40"/>
      <x v="70"/>
    </i>
    <i>
      <x v="41"/>
      <x v="128"/>
    </i>
    <i>
      <x v="42"/>
      <x v="109"/>
    </i>
    <i>
      <x v="43"/>
      <x v="108"/>
    </i>
    <i>
      <x v="44"/>
      <x v="153"/>
    </i>
    <i>
      <x v="45"/>
      <x v="32"/>
    </i>
    <i>
      <x v="46"/>
      <x v="116"/>
    </i>
    <i>
      <x v="47"/>
      <x v="175"/>
    </i>
    <i>
      <x v="48"/>
      <x v="176"/>
    </i>
    <i>
      <x v="49"/>
      <x v="204"/>
    </i>
    <i>
      <x v="50"/>
      <x v="45"/>
    </i>
    <i>
      <x v="51"/>
      <x v="99"/>
    </i>
    <i>
      <x v="52"/>
      <x v="98"/>
    </i>
    <i>
      <x v="53"/>
      <x v="150"/>
    </i>
    <i>
      <x v="54"/>
      <x v="125"/>
    </i>
    <i>
      <x v="55"/>
      <x v="76"/>
    </i>
    <i>
      <x v="56"/>
      <x v="211"/>
    </i>
    <i>
      <x v="57"/>
      <x v="37"/>
    </i>
    <i>
      <x v="58"/>
      <x v="104"/>
    </i>
    <i>
      <x v="59"/>
      <x v="22"/>
    </i>
    <i>
      <x v="60"/>
      <x v="87"/>
    </i>
    <i>
      <x v="61"/>
      <x v="142"/>
    </i>
    <i>
      <x v="62"/>
      <x v="78"/>
    </i>
    <i>
      <x v="63"/>
      <x v="124"/>
    </i>
    <i>
      <x v="64"/>
      <x v="95"/>
    </i>
    <i>
      <x v="65"/>
      <x v="19"/>
    </i>
    <i>
      <x v="66"/>
      <x v="198"/>
    </i>
    <i>
      <x v="67"/>
      <x v="172"/>
    </i>
    <i>
      <x v="68"/>
      <x v="27"/>
    </i>
    <i>
      <x v="69"/>
      <x v="173"/>
    </i>
    <i>
      <x v="70"/>
      <x v="82"/>
    </i>
    <i>
      <x v="71"/>
      <x v="83"/>
    </i>
    <i>
      <x v="72"/>
      <x v="5"/>
    </i>
    <i>
      <x v="73"/>
      <x v="4"/>
    </i>
    <i>
      <x v="74"/>
      <x v="201"/>
    </i>
    <i>
      <x v="75"/>
      <x v="28"/>
    </i>
    <i>
      <x v="76"/>
      <x v="136"/>
    </i>
    <i>
      <x v="77"/>
      <x v="137"/>
    </i>
    <i>
      <x v="78"/>
      <x v="213"/>
    </i>
    <i>
      <x v="79"/>
      <x v="73"/>
    </i>
    <i>
      <x v="80"/>
      <x v="197"/>
    </i>
    <i>
      <x v="81"/>
      <x v="214"/>
    </i>
    <i>
      <x v="82"/>
      <x v="6"/>
    </i>
    <i>
      <x v="83"/>
      <x v="207"/>
    </i>
    <i>
      <x v="84"/>
      <x v="149"/>
    </i>
    <i>
      <x v="85"/>
      <x v="31"/>
    </i>
    <i>
      <x v="86"/>
      <x v="84"/>
    </i>
    <i>
      <x v="87"/>
      <x v="85"/>
    </i>
    <i>
      <x v="88"/>
      <x v="74"/>
    </i>
    <i>
      <x v="89"/>
      <x v="90"/>
    </i>
    <i>
      <x v="90"/>
      <x v="9"/>
    </i>
    <i>
      <x v="91"/>
      <x v="10"/>
    </i>
    <i>
      <x v="92"/>
      <x v="208"/>
    </i>
    <i>
      <x v="93"/>
      <x v="91"/>
    </i>
    <i>
      <x v="94"/>
      <x v="174"/>
    </i>
    <i>
      <x v="95"/>
      <x v="171"/>
    </i>
    <i>
      <x v="96"/>
      <x v="170"/>
    </i>
    <i>
      <x v="97"/>
      <x v="195"/>
    </i>
    <i>
      <x v="98"/>
      <x v="36"/>
    </i>
    <i>
      <x v="99"/>
      <x v="12"/>
    </i>
    <i>
      <x v="100"/>
      <x v="38"/>
    </i>
    <i>
      <x v="101"/>
      <x v="148"/>
    </i>
    <i>
      <x v="102"/>
      <x v="194"/>
    </i>
    <i>
      <x v="103"/>
      <x v="154"/>
    </i>
    <i>
      <x v="104"/>
      <x v="103"/>
    </i>
    <i>
      <x v="105"/>
      <x v="96"/>
    </i>
    <i>
      <x v="106"/>
      <x v="141"/>
    </i>
    <i>
      <x v="107"/>
      <x v="86"/>
    </i>
    <i>
      <x v="108"/>
      <x v="40"/>
    </i>
    <i>
      <x v="109"/>
      <x v="33"/>
    </i>
    <i>
      <x v="110"/>
      <x v="17"/>
    </i>
    <i>
      <x v="111"/>
      <x v="112"/>
    </i>
    <i>
      <x v="112"/>
      <x v="14"/>
    </i>
    <i>
      <x v="113"/>
      <x v="151"/>
    </i>
    <i>
      <x v="114"/>
      <x v="138"/>
    </i>
    <i>
      <x v="115"/>
      <x v="44"/>
    </i>
    <i>
      <x v="116"/>
      <x v="111"/>
    </i>
    <i>
      <x v="117"/>
      <x v="77"/>
    </i>
    <i>
      <x v="118"/>
      <x v="21"/>
    </i>
    <i>
      <x v="119"/>
      <x v="200"/>
    </i>
    <i>
      <x v="120"/>
      <x v="114"/>
    </i>
    <i>
      <x v="121"/>
      <x v="102"/>
    </i>
    <i>
      <x v="122"/>
      <x v="209"/>
    </i>
    <i>
      <x v="123"/>
      <x v="23"/>
    </i>
    <i>
      <x v="124"/>
      <x v="75"/>
    </i>
    <i>
      <x v="125"/>
      <x v="13"/>
    </i>
    <i>
      <x v="126"/>
      <x v="143"/>
    </i>
    <i>
      <x v="127"/>
      <x v="93"/>
    </i>
    <i>
      <x v="128"/>
      <x v="196"/>
    </i>
    <i>
      <x v="129"/>
      <x v="16"/>
    </i>
    <i>
      <x v="130"/>
      <x v="147"/>
    </i>
    <i>
      <x v="131"/>
      <x v="212"/>
    </i>
    <i>
      <x v="132"/>
      <x v="101"/>
    </i>
    <i>
      <x v="133"/>
      <x v="39"/>
    </i>
    <i>
      <x v="134"/>
      <x v="67"/>
    </i>
    <i>
      <x v="135"/>
      <x v="120"/>
    </i>
    <i>
      <x v="136"/>
      <x v="203"/>
    </i>
    <i>
      <x v="137"/>
      <x v="178"/>
    </i>
    <i>
      <x v="138"/>
      <x v="106"/>
    </i>
    <i>
      <x v="139"/>
      <x v="107"/>
    </i>
    <i>
      <x v="140"/>
      <x v="105"/>
    </i>
    <i>
      <x v="141"/>
      <x v="48"/>
    </i>
    <i>
      <x v="142"/>
      <x v="46"/>
    </i>
    <i>
      <x v="143"/>
      <x v="47"/>
    </i>
    <i>
      <x v="144"/>
      <x v="52"/>
    </i>
    <i>
      <x v="145"/>
      <x v="59"/>
    </i>
    <i>
      <x v="146"/>
      <x v="64"/>
    </i>
    <i>
      <x v="147"/>
      <x v="56"/>
    </i>
    <i>
      <x v="148"/>
      <x v="63"/>
    </i>
    <i>
      <x v="149"/>
      <x v="62"/>
    </i>
    <i>
      <x v="150"/>
      <x v="55"/>
    </i>
    <i>
      <x v="151"/>
      <x v="57"/>
    </i>
    <i>
      <x v="152"/>
      <x v="54"/>
    </i>
    <i>
      <x v="153"/>
      <x v="53"/>
    </i>
    <i>
      <x v="154"/>
      <x v="61"/>
    </i>
    <i>
      <x v="155"/>
      <x v="58"/>
    </i>
    <i>
      <x v="156"/>
      <x v="60"/>
    </i>
    <i>
      <x v="157"/>
      <x v="51"/>
    </i>
    <i>
      <x v="158"/>
      <x v="49"/>
    </i>
    <i>
      <x v="159"/>
      <x v="50"/>
    </i>
    <i>
      <x v="160"/>
      <x v="65"/>
    </i>
    <i>
      <x v="161"/>
      <x v="41"/>
    </i>
    <i>
      <x v="162"/>
      <x v="43"/>
    </i>
    <i>
      <x v="163"/>
      <x v="42"/>
    </i>
    <i>
      <x v="164"/>
      <x v="100"/>
    </i>
    <i>
      <x v="165"/>
      <x v="129"/>
    </i>
    <i>
      <x v="166"/>
      <x v="7"/>
    </i>
    <i>
      <x v="167"/>
      <x v="8"/>
    </i>
    <i>
      <x v="168"/>
      <x v="94"/>
    </i>
    <i>
      <x v="169"/>
      <x v="69"/>
    </i>
    <i>
      <x v="170"/>
      <x v="68"/>
    </i>
    <i>
      <x v="171"/>
      <x v="34"/>
    </i>
    <i>
      <x v="172"/>
      <x v="35"/>
    </i>
    <i>
      <x v="173"/>
      <x v="18"/>
    </i>
    <i>
      <x v="174"/>
      <x v="156"/>
    </i>
    <i>
      <x v="175"/>
      <x v="165"/>
    </i>
    <i>
      <x v="176"/>
      <x v="159"/>
    </i>
    <i>
      <x v="177"/>
      <x v="169"/>
    </i>
    <i>
      <x v="178"/>
      <x v="167"/>
    </i>
    <i>
      <x v="179"/>
      <x v="163"/>
    </i>
    <i>
      <x v="180"/>
      <x v="168"/>
    </i>
    <i>
      <x v="181"/>
      <x v="162"/>
    </i>
    <i>
      <x v="182"/>
      <x v="157"/>
    </i>
    <i>
      <x v="184"/>
      <x v="164"/>
    </i>
    <i>
      <x v="185"/>
      <x v="166"/>
    </i>
    <i>
      <x v="186"/>
      <x v="161"/>
    </i>
    <i>
      <x v="187"/>
      <x v="160"/>
    </i>
    <i>
      <x v="188"/>
      <x v="158"/>
    </i>
    <i>
      <x v="189"/>
      <x v="131"/>
    </i>
    <i>
      <x v="190"/>
      <x v="130"/>
    </i>
    <i>
      <x v="191"/>
      <x v="132"/>
    </i>
    <i>
      <x v="192"/>
      <x v="179"/>
    </i>
    <i>
      <x v="193"/>
      <x v="188"/>
    </i>
    <i>
      <x v="194"/>
      <x v="182"/>
    </i>
    <i>
      <x v="195"/>
      <x v="191"/>
    </i>
    <i>
      <x v="196"/>
      <x v="190"/>
    </i>
    <i>
      <x v="197"/>
      <x v="186"/>
    </i>
    <i>
      <x v="199"/>
      <x v="185"/>
    </i>
    <i>
      <x v="200"/>
      <x v="187"/>
    </i>
    <i>
      <x v="201"/>
      <x v="189"/>
    </i>
    <i>
      <x v="202"/>
      <x v="180"/>
    </i>
    <i>
      <x v="203"/>
      <x v="184"/>
    </i>
    <i>
      <x v="204"/>
      <x v="183"/>
    </i>
    <i>
      <x v="205"/>
      <x v="192"/>
    </i>
    <i>
      <x v="206"/>
      <x v="181"/>
    </i>
    <i>
      <x v="207"/>
      <x v="193"/>
    </i>
    <i>
      <x v="208"/>
      <x v="1"/>
    </i>
    <i r="1">
      <x v="2"/>
    </i>
    <i r="1">
      <x v="3"/>
    </i>
    <i r="1">
      <x v="80"/>
    </i>
    <i r="1">
      <x v="122"/>
    </i>
    <i r="1">
      <x v="123"/>
    </i>
    <i r="1">
      <x v="135"/>
    </i>
    <i r="1">
      <x v="139"/>
    </i>
    <i r="1">
      <x v="145"/>
    </i>
    <i r="1">
      <x v="146"/>
    </i>
    <i r="1">
      <x v="202"/>
    </i>
    <i r="1">
      <x v="206"/>
    </i>
    <i r="1">
      <x v="215"/>
    </i>
    <i r="1">
      <x v="216"/>
    </i>
    <i r="1">
      <x v="217"/>
    </i>
    <i r="1">
      <x v="218"/>
    </i>
    <i r="1">
      <x v="219"/>
    </i>
    <i>
      <x v="209"/>
      <x v="220"/>
    </i>
    <i>
      <x v="210"/>
      <x v="221"/>
    </i>
    <i>
      <x v="211"/>
      <x v="222"/>
    </i>
    <i t="grand">
      <x/>
    </i>
  </rowItems>
  <colFields count="1">
    <field x="-2"/>
  </colFields>
  <colItems count="1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  <i i="17">
      <x v="17"/>
    </i>
  </colItems>
  <dataFields count="18">
    <dataField name="Összeg / Pedagógiai és Pszichológiai Intézet" fld="7" baseField="2" baseItem="3072" numFmtId="172"/>
    <dataField name="Összeg / Sporttudományi Intézet" fld="8" baseField="0" baseItem="1"/>
    <dataField name="Összeg / PPK Általános" fld="9" baseField="1" baseItem="0"/>
    <dataField name="Összeg / Kari kiválósági munkaszám" fld="10" baseField="1" baseItem="0"/>
    <dataField name="Összeg / Képzési munkaszámok" fld="15" baseField="1" baseItem="0"/>
    <dataField name="Összeg / Üzemeltetés" fld="16" baseField="1" baseItem="0"/>
    <dataField name="Összeg / Közterületesítés különbözet" fld="17" baseField="1" baseItem="0"/>
    <dataField name="Összeg / ÁKTH SZH" fld="18" baseField="1" baseItem="0"/>
    <dataField name="Összeg / SZOCHO átadás " fld="19" baseField="1" baseItem="0"/>
    <dataField name="Összeg / Kiválósági Alap 0,5%" fld="21" baseField="1" baseItem="0"/>
    <dataField name="Összeg / Kiválósági Alap 5%" fld="22" baseField="1" baseItem="0"/>
    <dataField name="Összeg / Szhely. tanárképzés gyakorlat" fld="29" baseField="1" baseItem="0"/>
    <dataField name="Összeg / Átoktatás bevételből" fld="30" baseField="1" baseItem="0"/>
    <dataField name="Összeg / Átoktatás támogatásból" fld="31" baseField="1" baseItem="0"/>
    <dataField name="Összeg / Átoktatás stipendiumból" fld="32" baseField="1" baseItem="0"/>
    <dataField name="Összeg / Átoktatás egyéb" fld="33" baseField="1" baseItem="0"/>
    <dataField name="Összeg / Kiválósági ösztöndíj" fld="35" baseField="1" baseItem="0"/>
    <dataField name="Összeg / SEK Keresztfinansz." fld="36" baseField="1" baseItem="0"/>
  </dataFields>
  <formats count="458">
    <format dxfId="732">
      <pivotArea type="all" dataOnly="0" outline="0" fieldPosition="0"/>
    </format>
    <format dxfId="731">
      <pivotArea dataOnly="0" labelOnly="1" outline="0" axis="axisValues" fieldPosition="0"/>
    </format>
    <format dxfId="730">
      <pivotArea outline="0" fieldPosition="0">
        <references count="1">
          <reference field="4294967294" count="1">
            <x v="0"/>
          </reference>
        </references>
      </pivotArea>
    </format>
    <format dxfId="729">
      <pivotArea type="origin" dataOnly="0" labelOnly="1" outline="0" fieldPosition="0"/>
    </format>
    <format dxfId="728">
      <pivotArea field="-2" type="button" dataOnly="0" labelOnly="1" outline="0" axis="axisCol" fieldPosition="0"/>
    </format>
    <format dxfId="727">
      <pivotArea type="topRight" dataOnly="0" labelOnly="1" outline="0" fieldPosition="0"/>
    </format>
    <format dxfId="726">
      <pivotArea field="0" type="button" dataOnly="0" labelOnly="1" outline="0" axis="axisRow" fieldPosition="0"/>
    </format>
    <format dxfId="725">
      <pivotArea field="1" type="button" dataOnly="0" labelOnly="1" outline="0" axis="axisRow" fieldPosition="1"/>
    </format>
    <format dxfId="72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723">
      <pivotArea type="all" dataOnly="0" outline="0" fieldPosition="0"/>
    </format>
    <format dxfId="722">
      <pivotArea outline="0" collapsedLevelsAreSubtotals="1" fieldPosition="0"/>
    </format>
    <format dxfId="721">
      <pivotArea type="origin" dataOnly="0" labelOnly="1" outline="0" fieldPosition="0"/>
    </format>
    <format dxfId="720">
      <pivotArea field="-2" type="button" dataOnly="0" labelOnly="1" outline="0" axis="axisCol" fieldPosition="0"/>
    </format>
    <format dxfId="719">
      <pivotArea type="topRight" dataOnly="0" labelOnly="1" outline="0" fieldPosition="0"/>
    </format>
    <format dxfId="718">
      <pivotArea field="0" type="button" dataOnly="0" labelOnly="1" outline="0" axis="axisRow" fieldPosition="0"/>
    </format>
    <format dxfId="717">
      <pivotArea field="1" type="button" dataOnly="0" labelOnly="1" outline="0" axis="axisRow" fieldPosition="1"/>
    </format>
    <format dxfId="716">
      <pivotArea dataOnly="0" labelOnly="1" outline="0" fieldPosition="0">
        <references count="1">
          <reference field="0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715">
      <pivotArea dataOnly="0" labelOnly="1" outline="0" fieldPosition="0">
        <references count="1">
          <reference field="0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714">
      <pivotArea dataOnly="0" labelOnly="1" outline="0" fieldPosition="0">
        <references count="1">
          <reference field="0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713">
      <pivotArea dataOnly="0" labelOnly="1" outline="0" fieldPosition="0">
        <references count="1">
          <reference field="0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712">
      <pivotArea dataOnly="0" labelOnly="1" outline="0" fieldPosition="0">
        <references count="1">
          <reference field="0" count="9">
            <x v="200"/>
            <x v="201"/>
            <x v="202"/>
            <x v="203"/>
            <x v="204"/>
            <x v="205"/>
            <x v="206"/>
            <x v="207"/>
            <x v="208"/>
          </reference>
        </references>
      </pivotArea>
    </format>
    <format dxfId="711">
      <pivotArea dataOnly="0" labelOnly="1" grandRow="1" outline="0" fieldPosition="0"/>
    </format>
    <format dxfId="710">
      <pivotArea dataOnly="0" labelOnly="1" outline="0" fieldPosition="0">
        <references count="2">
          <reference field="0" count="1" selected="0">
            <x v="0"/>
          </reference>
          <reference field="1" count="1">
            <x v="139"/>
          </reference>
        </references>
      </pivotArea>
    </format>
    <format dxfId="709">
      <pivotArea dataOnly="0" labelOnly="1" outline="0" fieldPosition="0">
        <references count="2">
          <reference field="0" count="1" selected="0">
            <x v="1"/>
          </reference>
          <reference field="1" count="1">
            <x v="0"/>
          </reference>
        </references>
      </pivotArea>
    </format>
    <format dxfId="708">
      <pivotArea dataOnly="0" labelOnly="1" outline="0" fieldPosition="0">
        <references count="2">
          <reference field="0" count="1" selected="0">
            <x v="2"/>
          </reference>
          <reference field="1" count="1">
            <x v="144"/>
          </reference>
        </references>
      </pivotArea>
    </format>
    <format dxfId="707">
      <pivotArea dataOnly="0" labelOnly="1" outline="0" fieldPosition="0">
        <references count="2">
          <reference field="0" count="1" selected="0">
            <x v="3"/>
          </reference>
          <reference field="1" count="1">
            <x v="110"/>
          </reference>
        </references>
      </pivotArea>
    </format>
    <format dxfId="706">
      <pivotArea dataOnly="0" labelOnly="1" outline="0" fieldPosition="0">
        <references count="2">
          <reference field="0" count="1" selected="0">
            <x v="4"/>
          </reference>
          <reference field="1" count="1">
            <x v="133"/>
          </reference>
        </references>
      </pivotArea>
    </format>
    <format dxfId="705">
      <pivotArea dataOnly="0" labelOnly="1" outline="0" fieldPosition="0">
        <references count="2">
          <reference field="0" count="1" selected="0">
            <x v="5"/>
          </reference>
          <reference field="1" count="1">
            <x v="11"/>
          </reference>
        </references>
      </pivotArea>
    </format>
    <format dxfId="704">
      <pivotArea dataOnly="0" labelOnly="1" outline="0" fieldPosition="0">
        <references count="2">
          <reference field="0" count="1" selected="0">
            <x v="6"/>
          </reference>
          <reference field="1" count="1">
            <x v="81"/>
          </reference>
        </references>
      </pivotArea>
    </format>
    <format dxfId="703">
      <pivotArea dataOnly="0" labelOnly="1" outline="0" fieldPosition="0">
        <references count="2">
          <reference field="0" count="1" selected="0">
            <x v="7"/>
          </reference>
          <reference field="1" count="1">
            <x v="140"/>
          </reference>
        </references>
      </pivotArea>
    </format>
    <format dxfId="702">
      <pivotArea dataOnly="0" labelOnly="1" outline="0" fieldPosition="0">
        <references count="2">
          <reference field="0" count="1" selected="0">
            <x v="8"/>
          </reference>
          <reference field="1" count="1">
            <x v="30"/>
          </reference>
        </references>
      </pivotArea>
    </format>
    <format dxfId="701">
      <pivotArea dataOnly="0" labelOnly="1" outline="0" fieldPosition="0">
        <references count="2">
          <reference field="0" count="1" selected="0">
            <x v="9"/>
          </reference>
          <reference field="1" count="1">
            <x v="25"/>
          </reference>
        </references>
      </pivotArea>
    </format>
    <format dxfId="700">
      <pivotArea dataOnly="0" labelOnly="1" outline="0" fieldPosition="0">
        <references count="2">
          <reference field="0" count="1" selected="0">
            <x v="10"/>
          </reference>
          <reference field="1" count="1">
            <x v="152"/>
          </reference>
        </references>
      </pivotArea>
    </format>
    <format dxfId="699">
      <pivotArea dataOnly="0" labelOnly="1" outline="0" fieldPosition="0">
        <references count="2">
          <reference field="0" count="1" selected="0">
            <x v="11"/>
          </reference>
          <reference field="1" count="1">
            <x v="66"/>
          </reference>
        </references>
      </pivotArea>
    </format>
    <format dxfId="698">
      <pivotArea dataOnly="0" labelOnly="1" outline="0" fieldPosition="0">
        <references count="2">
          <reference field="0" count="1" selected="0">
            <x v="12"/>
          </reference>
          <reference field="1" count="1">
            <x v="26"/>
          </reference>
        </references>
      </pivotArea>
    </format>
    <format dxfId="697">
      <pivotArea dataOnly="0" labelOnly="1" outline="0" fieldPosition="0">
        <references count="2">
          <reference field="0" count="1" selected="0">
            <x v="13"/>
          </reference>
          <reference field="1" count="1">
            <x v="79"/>
          </reference>
        </references>
      </pivotArea>
    </format>
    <format dxfId="696">
      <pivotArea dataOnly="0" labelOnly="1" outline="0" fieldPosition="0">
        <references count="2">
          <reference field="0" count="1" selected="0">
            <x v="14"/>
          </reference>
          <reference field="1" count="1">
            <x v="205"/>
          </reference>
        </references>
      </pivotArea>
    </format>
    <format dxfId="695">
      <pivotArea dataOnly="0" labelOnly="1" outline="0" fieldPosition="0">
        <references count="2">
          <reference field="0" count="1" selected="0">
            <x v="15"/>
          </reference>
          <reference field="1" count="1">
            <x v="204"/>
          </reference>
        </references>
      </pivotArea>
    </format>
    <format dxfId="694">
      <pivotArea dataOnly="0" labelOnly="1" outline="0" fieldPosition="0">
        <references count="2">
          <reference field="0" count="1" selected="0">
            <x v="16"/>
          </reference>
          <reference field="1" count="1">
            <x v="204"/>
          </reference>
        </references>
      </pivotArea>
    </format>
    <format dxfId="693">
      <pivotArea dataOnly="0" labelOnly="1" outline="0" fieldPosition="0">
        <references count="2">
          <reference field="0" count="1" selected="0">
            <x v="17"/>
          </reference>
          <reference field="1" count="1">
            <x v="199"/>
          </reference>
        </references>
      </pivotArea>
    </format>
    <format dxfId="692">
      <pivotArea dataOnly="0" labelOnly="1" outline="0" fieldPosition="0">
        <references count="2">
          <reference field="0" count="1" selected="0">
            <x v="18"/>
          </reference>
          <reference field="1" count="1">
            <x v="20"/>
          </reference>
        </references>
      </pivotArea>
    </format>
    <format dxfId="691">
      <pivotArea dataOnly="0" labelOnly="1" outline="0" fieldPosition="0">
        <references count="2">
          <reference field="0" count="1" selected="0">
            <x v="19"/>
          </reference>
          <reference field="1" count="1">
            <x v="97"/>
          </reference>
        </references>
      </pivotArea>
    </format>
    <format dxfId="690">
      <pivotArea dataOnly="0" labelOnly="1" outline="0" fieldPosition="0">
        <references count="2">
          <reference field="0" count="1" selected="0">
            <x v="20"/>
          </reference>
          <reference field="1" count="1">
            <x v="210"/>
          </reference>
        </references>
      </pivotArea>
    </format>
    <format dxfId="689">
      <pivotArea dataOnly="0" labelOnly="1" outline="0" fieldPosition="0">
        <references count="2">
          <reference field="0" count="1" selected="0">
            <x v="21"/>
          </reference>
          <reference field="1" count="1">
            <x v="92"/>
          </reference>
        </references>
      </pivotArea>
    </format>
    <format dxfId="688">
      <pivotArea dataOnly="0" labelOnly="1" outline="0" fieldPosition="0">
        <references count="2">
          <reference field="0" count="1" selected="0">
            <x v="22"/>
          </reference>
          <reference field="1" count="1">
            <x v="89"/>
          </reference>
        </references>
      </pivotArea>
    </format>
    <format dxfId="687">
      <pivotArea dataOnly="0" labelOnly="1" outline="0" fieldPosition="0">
        <references count="2">
          <reference field="0" count="1" selected="0">
            <x v="23"/>
          </reference>
          <reference field="1" count="1">
            <x v="88"/>
          </reference>
        </references>
      </pivotArea>
    </format>
    <format dxfId="686">
      <pivotArea dataOnly="0" labelOnly="1" outline="0" fieldPosition="0">
        <references count="2">
          <reference field="0" count="1" selected="0">
            <x v="24"/>
          </reference>
          <reference field="1" count="1">
            <x v="24"/>
          </reference>
        </references>
      </pivotArea>
    </format>
    <format dxfId="685">
      <pivotArea dataOnly="0" labelOnly="1" outline="0" fieldPosition="0">
        <references count="2">
          <reference field="0" count="1" selected="0">
            <x v="25"/>
          </reference>
          <reference field="1" count="1">
            <x v="127"/>
          </reference>
        </references>
      </pivotArea>
    </format>
    <format dxfId="684">
      <pivotArea dataOnly="0" labelOnly="1" outline="0" fieldPosition="0">
        <references count="2">
          <reference field="0" count="1" selected="0">
            <x v="26"/>
          </reference>
          <reference field="1" count="1">
            <x v="126"/>
          </reference>
        </references>
      </pivotArea>
    </format>
    <format dxfId="683">
      <pivotArea dataOnly="0" labelOnly="1" outline="0" fieldPosition="0">
        <references count="2">
          <reference field="0" count="1" selected="0">
            <x v="27"/>
          </reference>
          <reference field="1" count="1">
            <x v="29"/>
          </reference>
        </references>
      </pivotArea>
    </format>
    <format dxfId="682">
      <pivotArea dataOnly="0" labelOnly="1" outline="0" fieldPosition="0">
        <references count="2">
          <reference field="0" count="1" selected="0">
            <x v="28"/>
          </reference>
          <reference field="1" count="1">
            <x v="121"/>
          </reference>
        </references>
      </pivotArea>
    </format>
    <format dxfId="681">
      <pivotArea dataOnly="0" labelOnly="1" outline="0" fieldPosition="0">
        <references count="2">
          <reference field="0" count="1" selected="0">
            <x v="29"/>
          </reference>
          <reference field="1" count="1">
            <x v="177"/>
          </reference>
        </references>
      </pivotArea>
    </format>
    <format dxfId="680">
      <pivotArea dataOnly="0" labelOnly="1" outline="0" fieldPosition="0">
        <references count="2">
          <reference field="0" count="1" selected="0">
            <x v="30"/>
          </reference>
          <reference field="1" count="1">
            <x v="71"/>
          </reference>
        </references>
      </pivotArea>
    </format>
    <format dxfId="679">
      <pivotArea dataOnly="0" labelOnly="1" outline="0" fieldPosition="0">
        <references count="2">
          <reference field="0" count="1" selected="0">
            <x v="31"/>
          </reference>
          <reference field="1" count="1">
            <x v="155"/>
          </reference>
        </references>
      </pivotArea>
    </format>
    <format dxfId="678">
      <pivotArea dataOnly="0" labelOnly="1" outline="0" fieldPosition="0">
        <references count="2">
          <reference field="0" count="1" selected="0">
            <x v="32"/>
          </reference>
          <reference field="1" count="1">
            <x v="113"/>
          </reference>
        </references>
      </pivotArea>
    </format>
    <format dxfId="677">
      <pivotArea dataOnly="0" labelOnly="1" outline="0" fieldPosition="0">
        <references count="2">
          <reference field="0" count="1" selected="0">
            <x v="33"/>
          </reference>
          <reference field="1" count="1">
            <x v="15"/>
          </reference>
        </references>
      </pivotArea>
    </format>
    <format dxfId="676">
      <pivotArea dataOnly="0" labelOnly="1" outline="0" fieldPosition="0">
        <references count="2">
          <reference field="0" count="1" selected="0">
            <x v="34"/>
          </reference>
          <reference field="1" count="1">
            <x v="72"/>
          </reference>
        </references>
      </pivotArea>
    </format>
    <format dxfId="675">
      <pivotArea dataOnly="0" labelOnly="1" outline="0" fieldPosition="0">
        <references count="2">
          <reference field="0" count="1" selected="0">
            <x v="35"/>
          </reference>
          <reference field="1" count="1">
            <x v="115"/>
          </reference>
        </references>
      </pivotArea>
    </format>
    <format dxfId="674">
      <pivotArea dataOnly="0" labelOnly="1" outline="0" fieldPosition="0">
        <references count="2">
          <reference field="0" count="1" selected="0">
            <x v="36"/>
          </reference>
          <reference field="1" count="1">
            <x v="119"/>
          </reference>
        </references>
      </pivotArea>
    </format>
    <format dxfId="673">
      <pivotArea dataOnly="0" labelOnly="1" outline="0" fieldPosition="0">
        <references count="2">
          <reference field="0" count="1" selected="0">
            <x v="37"/>
          </reference>
          <reference field="1" count="1">
            <x v="117"/>
          </reference>
        </references>
      </pivotArea>
    </format>
    <format dxfId="672">
      <pivotArea dataOnly="0" labelOnly="1" outline="0" fieldPosition="0">
        <references count="2">
          <reference field="0" count="1" selected="0">
            <x v="38"/>
          </reference>
          <reference field="1" count="1">
            <x v="118"/>
          </reference>
        </references>
      </pivotArea>
    </format>
    <format dxfId="671">
      <pivotArea dataOnly="0" labelOnly="1" outline="0" fieldPosition="0">
        <references count="2">
          <reference field="0" count="1" selected="0">
            <x v="39"/>
          </reference>
          <reference field="1" count="1">
            <x v="134"/>
          </reference>
        </references>
      </pivotArea>
    </format>
    <format dxfId="670">
      <pivotArea dataOnly="0" labelOnly="1" outline="0" fieldPosition="0">
        <references count="2">
          <reference field="0" count="1" selected="0">
            <x v="40"/>
          </reference>
          <reference field="1" count="1">
            <x v="70"/>
          </reference>
        </references>
      </pivotArea>
    </format>
    <format dxfId="669">
      <pivotArea dataOnly="0" labelOnly="1" outline="0" fieldPosition="0">
        <references count="2">
          <reference field="0" count="1" selected="0">
            <x v="41"/>
          </reference>
          <reference field="1" count="1">
            <x v="128"/>
          </reference>
        </references>
      </pivotArea>
    </format>
    <format dxfId="668">
      <pivotArea dataOnly="0" labelOnly="1" outline="0" fieldPosition="0">
        <references count="2">
          <reference field="0" count="1" selected="0">
            <x v="42"/>
          </reference>
          <reference field="1" count="1">
            <x v="109"/>
          </reference>
        </references>
      </pivotArea>
    </format>
    <format dxfId="667">
      <pivotArea dataOnly="0" labelOnly="1" outline="0" fieldPosition="0">
        <references count="2">
          <reference field="0" count="1" selected="0">
            <x v="43"/>
          </reference>
          <reference field="1" count="1">
            <x v="108"/>
          </reference>
        </references>
      </pivotArea>
    </format>
    <format dxfId="666">
      <pivotArea dataOnly="0" labelOnly="1" outline="0" fieldPosition="0">
        <references count="2">
          <reference field="0" count="1" selected="0">
            <x v="44"/>
          </reference>
          <reference field="1" count="1">
            <x v="153"/>
          </reference>
        </references>
      </pivotArea>
    </format>
    <format dxfId="665">
      <pivotArea dataOnly="0" labelOnly="1" outline="0" fieldPosition="0">
        <references count="2">
          <reference field="0" count="1" selected="0">
            <x v="45"/>
          </reference>
          <reference field="1" count="1">
            <x v="32"/>
          </reference>
        </references>
      </pivotArea>
    </format>
    <format dxfId="664">
      <pivotArea dataOnly="0" labelOnly="1" outline="0" fieldPosition="0">
        <references count="2">
          <reference field="0" count="1" selected="0">
            <x v="46"/>
          </reference>
          <reference field="1" count="1">
            <x v="116"/>
          </reference>
        </references>
      </pivotArea>
    </format>
    <format dxfId="663">
      <pivotArea dataOnly="0" labelOnly="1" outline="0" fieldPosition="0">
        <references count="2">
          <reference field="0" count="1" selected="0">
            <x v="47"/>
          </reference>
          <reference field="1" count="1">
            <x v="175"/>
          </reference>
        </references>
      </pivotArea>
    </format>
    <format dxfId="662">
      <pivotArea dataOnly="0" labelOnly="1" outline="0" fieldPosition="0">
        <references count="2">
          <reference field="0" count="1" selected="0">
            <x v="48"/>
          </reference>
          <reference field="1" count="1">
            <x v="176"/>
          </reference>
        </references>
      </pivotArea>
    </format>
    <format dxfId="661">
      <pivotArea dataOnly="0" labelOnly="1" outline="0" fieldPosition="0">
        <references count="2">
          <reference field="0" count="1" selected="0">
            <x v="49"/>
          </reference>
          <reference field="1" count="1">
            <x v="204"/>
          </reference>
        </references>
      </pivotArea>
    </format>
    <format dxfId="660">
      <pivotArea dataOnly="0" labelOnly="1" outline="0" fieldPosition="0">
        <references count="2">
          <reference field="0" count="1" selected="0">
            <x v="50"/>
          </reference>
          <reference field="1" count="1">
            <x v="45"/>
          </reference>
        </references>
      </pivotArea>
    </format>
    <format dxfId="659">
      <pivotArea dataOnly="0" labelOnly="1" outline="0" fieldPosition="0">
        <references count="2">
          <reference field="0" count="1" selected="0">
            <x v="51"/>
          </reference>
          <reference field="1" count="1">
            <x v="99"/>
          </reference>
        </references>
      </pivotArea>
    </format>
    <format dxfId="658">
      <pivotArea dataOnly="0" labelOnly="1" outline="0" fieldPosition="0">
        <references count="2">
          <reference field="0" count="1" selected="0">
            <x v="52"/>
          </reference>
          <reference field="1" count="1">
            <x v="98"/>
          </reference>
        </references>
      </pivotArea>
    </format>
    <format dxfId="657">
      <pivotArea dataOnly="0" labelOnly="1" outline="0" fieldPosition="0">
        <references count="2">
          <reference field="0" count="1" selected="0">
            <x v="53"/>
          </reference>
          <reference field="1" count="1">
            <x v="150"/>
          </reference>
        </references>
      </pivotArea>
    </format>
    <format dxfId="656">
      <pivotArea dataOnly="0" labelOnly="1" outline="0" fieldPosition="0">
        <references count="2">
          <reference field="0" count="1" selected="0">
            <x v="54"/>
          </reference>
          <reference field="1" count="1">
            <x v="125"/>
          </reference>
        </references>
      </pivotArea>
    </format>
    <format dxfId="655">
      <pivotArea dataOnly="0" labelOnly="1" outline="0" fieldPosition="0">
        <references count="2">
          <reference field="0" count="1" selected="0">
            <x v="55"/>
          </reference>
          <reference field="1" count="1">
            <x v="76"/>
          </reference>
        </references>
      </pivotArea>
    </format>
    <format dxfId="654">
      <pivotArea dataOnly="0" labelOnly="1" outline="0" fieldPosition="0">
        <references count="2">
          <reference field="0" count="1" selected="0">
            <x v="56"/>
          </reference>
          <reference field="1" count="1">
            <x v="211"/>
          </reference>
        </references>
      </pivotArea>
    </format>
    <format dxfId="653">
      <pivotArea dataOnly="0" labelOnly="1" outline="0" fieldPosition="0">
        <references count="2">
          <reference field="0" count="1" selected="0">
            <x v="57"/>
          </reference>
          <reference field="1" count="1">
            <x v="37"/>
          </reference>
        </references>
      </pivotArea>
    </format>
    <format dxfId="652">
      <pivotArea dataOnly="0" labelOnly="1" outline="0" fieldPosition="0">
        <references count="2">
          <reference field="0" count="1" selected="0">
            <x v="58"/>
          </reference>
          <reference field="1" count="1">
            <x v="104"/>
          </reference>
        </references>
      </pivotArea>
    </format>
    <format dxfId="651">
      <pivotArea dataOnly="0" labelOnly="1" outline="0" fieldPosition="0">
        <references count="2">
          <reference field="0" count="1" selected="0">
            <x v="59"/>
          </reference>
          <reference field="1" count="1">
            <x v="22"/>
          </reference>
        </references>
      </pivotArea>
    </format>
    <format dxfId="650">
      <pivotArea dataOnly="0" labelOnly="1" outline="0" fieldPosition="0">
        <references count="2">
          <reference field="0" count="1" selected="0">
            <x v="60"/>
          </reference>
          <reference field="1" count="1">
            <x v="87"/>
          </reference>
        </references>
      </pivotArea>
    </format>
    <format dxfId="649">
      <pivotArea dataOnly="0" labelOnly="1" outline="0" fieldPosition="0">
        <references count="2">
          <reference field="0" count="1" selected="0">
            <x v="61"/>
          </reference>
          <reference field="1" count="1">
            <x v="142"/>
          </reference>
        </references>
      </pivotArea>
    </format>
    <format dxfId="648">
      <pivotArea dataOnly="0" labelOnly="1" outline="0" fieldPosition="0">
        <references count="2">
          <reference field="0" count="1" selected="0">
            <x v="62"/>
          </reference>
          <reference field="1" count="1">
            <x v="78"/>
          </reference>
        </references>
      </pivotArea>
    </format>
    <format dxfId="647">
      <pivotArea dataOnly="0" labelOnly="1" outline="0" fieldPosition="0">
        <references count="2">
          <reference field="0" count="1" selected="0">
            <x v="63"/>
          </reference>
          <reference field="1" count="1">
            <x v="124"/>
          </reference>
        </references>
      </pivotArea>
    </format>
    <format dxfId="646">
      <pivotArea dataOnly="0" labelOnly="1" outline="0" fieldPosition="0">
        <references count="2">
          <reference field="0" count="1" selected="0">
            <x v="64"/>
          </reference>
          <reference field="1" count="1">
            <x v="95"/>
          </reference>
        </references>
      </pivotArea>
    </format>
    <format dxfId="645">
      <pivotArea dataOnly="0" labelOnly="1" outline="0" fieldPosition="0">
        <references count="2">
          <reference field="0" count="1" selected="0">
            <x v="65"/>
          </reference>
          <reference field="1" count="1">
            <x v="19"/>
          </reference>
        </references>
      </pivotArea>
    </format>
    <format dxfId="644">
      <pivotArea dataOnly="0" labelOnly="1" outline="0" fieldPosition="0">
        <references count="2">
          <reference field="0" count="1" selected="0">
            <x v="66"/>
          </reference>
          <reference field="1" count="1">
            <x v="198"/>
          </reference>
        </references>
      </pivotArea>
    </format>
    <format dxfId="643">
      <pivotArea dataOnly="0" labelOnly="1" outline="0" fieldPosition="0">
        <references count="2">
          <reference field="0" count="1" selected="0">
            <x v="67"/>
          </reference>
          <reference field="1" count="1">
            <x v="172"/>
          </reference>
        </references>
      </pivotArea>
    </format>
    <format dxfId="642">
      <pivotArea dataOnly="0" labelOnly="1" outline="0" fieldPosition="0">
        <references count="2">
          <reference field="0" count="1" selected="0">
            <x v="68"/>
          </reference>
          <reference field="1" count="1">
            <x v="27"/>
          </reference>
        </references>
      </pivotArea>
    </format>
    <format dxfId="641">
      <pivotArea dataOnly="0" labelOnly="1" outline="0" fieldPosition="0">
        <references count="2">
          <reference field="0" count="1" selected="0">
            <x v="69"/>
          </reference>
          <reference field="1" count="1">
            <x v="173"/>
          </reference>
        </references>
      </pivotArea>
    </format>
    <format dxfId="640">
      <pivotArea dataOnly="0" labelOnly="1" outline="0" fieldPosition="0">
        <references count="2">
          <reference field="0" count="1" selected="0">
            <x v="70"/>
          </reference>
          <reference field="1" count="1">
            <x v="82"/>
          </reference>
        </references>
      </pivotArea>
    </format>
    <format dxfId="639">
      <pivotArea dataOnly="0" labelOnly="1" outline="0" fieldPosition="0">
        <references count="2">
          <reference field="0" count="1" selected="0">
            <x v="71"/>
          </reference>
          <reference field="1" count="1">
            <x v="83"/>
          </reference>
        </references>
      </pivotArea>
    </format>
    <format dxfId="638">
      <pivotArea dataOnly="0" labelOnly="1" outline="0" fieldPosition="0">
        <references count="2">
          <reference field="0" count="1" selected="0">
            <x v="72"/>
          </reference>
          <reference field="1" count="1">
            <x v="5"/>
          </reference>
        </references>
      </pivotArea>
    </format>
    <format dxfId="637">
      <pivotArea dataOnly="0" labelOnly="1" outline="0" fieldPosition="0">
        <references count="2">
          <reference field="0" count="1" selected="0">
            <x v="73"/>
          </reference>
          <reference field="1" count="1">
            <x v="4"/>
          </reference>
        </references>
      </pivotArea>
    </format>
    <format dxfId="636">
      <pivotArea dataOnly="0" labelOnly="1" outline="0" fieldPosition="0">
        <references count="2">
          <reference field="0" count="1" selected="0">
            <x v="74"/>
          </reference>
          <reference field="1" count="1">
            <x v="201"/>
          </reference>
        </references>
      </pivotArea>
    </format>
    <format dxfId="635">
      <pivotArea dataOnly="0" labelOnly="1" outline="0" fieldPosition="0">
        <references count="2">
          <reference field="0" count="1" selected="0">
            <x v="75"/>
          </reference>
          <reference field="1" count="1">
            <x v="28"/>
          </reference>
        </references>
      </pivotArea>
    </format>
    <format dxfId="634">
      <pivotArea dataOnly="0" labelOnly="1" outline="0" fieldPosition="0">
        <references count="2">
          <reference field="0" count="1" selected="0">
            <x v="76"/>
          </reference>
          <reference field="1" count="1">
            <x v="136"/>
          </reference>
        </references>
      </pivotArea>
    </format>
    <format dxfId="633">
      <pivotArea dataOnly="0" labelOnly="1" outline="0" fieldPosition="0">
        <references count="2">
          <reference field="0" count="1" selected="0">
            <x v="77"/>
          </reference>
          <reference field="1" count="1">
            <x v="137"/>
          </reference>
        </references>
      </pivotArea>
    </format>
    <format dxfId="632">
      <pivotArea dataOnly="0" labelOnly="1" outline="0" fieldPosition="0">
        <references count="2">
          <reference field="0" count="1" selected="0">
            <x v="78"/>
          </reference>
          <reference field="1" count="1">
            <x v="213"/>
          </reference>
        </references>
      </pivotArea>
    </format>
    <format dxfId="631">
      <pivotArea dataOnly="0" labelOnly="1" outline="0" fieldPosition="0">
        <references count="2">
          <reference field="0" count="1" selected="0">
            <x v="79"/>
          </reference>
          <reference field="1" count="1">
            <x v="73"/>
          </reference>
        </references>
      </pivotArea>
    </format>
    <format dxfId="630">
      <pivotArea dataOnly="0" labelOnly="1" outline="0" fieldPosition="0">
        <references count="2">
          <reference field="0" count="1" selected="0">
            <x v="80"/>
          </reference>
          <reference field="1" count="1">
            <x v="197"/>
          </reference>
        </references>
      </pivotArea>
    </format>
    <format dxfId="629">
      <pivotArea dataOnly="0" labelOnly="1" outline="0" fieldPosition="0">
        <references count="2">
          <reference field="0" count="1" selected="0">
            <x v="81"/>
          </reference>
          <reference field="1" count="1">
            <x v="214"/>
          </reference>
        </references>
      </pivotArea>
    </format>
    <format dxfId="628">
      <pivotArea dataOnly="0" labelOnly="1" outline="0" fieldPosition="0">
        <references count="2">
          <reference field="0" count="1" selected="0">
            <x v="82"/>
          </reference>
          <reference field="1" count="1">
            <x v="6"/>
          </reference>
        </references>
      </pivotArea>
    </format>
    <format dxfId="627">
      <pivotArea dataOnly="0" labelOnly="1" outline="0" fieldPosition="0">
        <references count="2">
          <reference field="0" count="1" selected="0">
            <x v="83"/>
          </reference>
          <reference field="1" count="1">
            <x v="207"/>
          </reference>
        </references>
      </pivotArea>
    </format>
    <format dxfId="626">
      <pivotArea dataOnly="0" labelOnly="1" outline="0" fieldPosition="0">
        <references count="2">
          <reference field="0" count="1" selected="0">
            <x v="84"/>
          </reference>
          <reference field="1" count="1">
            <x v="149"/>
          </reference>
        </references>
      </pivotArea>
    </format>
    <format dxfId="625">
      <pivotArea dataOnly="0" labelOnly="1" outline="0" fieldPosition="0">
        <references count="2">
          <reference field="0" count="1" selected="0">
            <x v="85"/>
          </reference>
          <reference field="1" count="1">
            <x v="31"/>
          </reference>
        </references>
      </pivotArea>
    </format>
    <format dxfId="624">
      <pivotArea dataOnly="0" labelOnly="1" outline="0" fieldPosition="0">
        <references count="2">
          <reference field="0" count="1" selected="0">
            <x v="86"/>
          </reference>
          <reference field="1" count="1">
            <x v="84"/>
          </reference>
        </references>
      </pivotArea>
    </format>
    <format dxfId="623">
      <pivotArea dataOnly="0" labelOnly="1" outline="0" fieldPosition="0">
        <references count="2">
          <reference field="0" count="1" selected="0">
            <x v="87"/>
          </reference>
          <reference field="1" count="1">
            <x v="85"/>
          </reference>
        </references>
      </pivotArea>
    </format>
    <format dxfId="622">
      <pivotArea dataOnly="0" labelOnly="1" outline="0" fieldPosition="0">
        <references count="2">
          <reference field="0" count="1" selected="0">
            <x v="88"/>
          </reference>
          <reference field="1" count="1">
            <x v="74"/>
          </reference>
        </references>
      </pivotArea>
    </format>
    <format dxfId="621">
      <pivotArea dataOnly="0" labelOnly="1" outline="0" fieldPosition="0">
        <references count="2">
          <reference field="0" count="1" selected="0">
            <x v="89"/>
          </reference>
          <reference field="1" count="1">
            <x v="90"/>
          </reference>
        </references>
      </pivotArea>
    </format>
    <format dxfId="620">
      <pivotArea dataOnly="0" labelOnly="1" outline="0" fieldPosition="0">
        <references count="2">
          <reference field="0" count="1" selected="0">
            <x v="90"/>
          </reference>
          <reference field="1" count="1">
            <x v="9"/>
          </reference>
        </references>
      </pivotArea>
    </format>
    <format dxfId="619">
      <pivotArea dataOnly="0" labelOnly="1" outline="0" fieldPosition="0">
        <references count="2">
          <reference field="0" count="1" selected="0">
            <x v="91"/>
          </reference>
          <reference field="1" count="1">
            <x v="10"/>
          </reference>
        </references>
      </pivotArea>
    </format>
    <format dxfId="618">
      <pivotArea dataOnly="0" labelOnly="1" outline="0" fieldPosition="0">
        <references count="2">
          <reference field="0" count="1" selected="0">
            <x v="92"/>
          </reference>
          <reference field="1" count="1">
            <x v="208"/>
          </reference>
        </references>
      </pivotArea>
    </format>
    <format dxfId="617">
      <pivotArea dataOnly="0" labelOnly="1" outline="0" fieldPosition="0">
        <references count="2">
          <reference field="0" count="1" selected="0">
            <x v="93"/>
          </reference>
          <reference field="1" count="1">
            <x v="91"/>
          </reference>
        </references>
      </pivotArea>
    </format>
    <format dxfId="616">
      <pivotArea dataOnly="0" labelOnly="1" outline="0" fieldPosition="0">
        <references count="2">
          <reference field="0" count="1" selected="0">
            <x v="94"/>
          </reference>
          <reference field="1" count="1">
            <x v="174"/>
          </reference>
        </references>
      </pivotArea>
    </format>
    <format dxfId="615">
      <pivotArea dataOnly="0" labelOnly="1" outline="0" fieldPosition="0">
        <references count="2">
          <reference field="0" count="1" selected="0">
            <x v="95"/>
          </reference>
          <reference field="1" count="1">
            <x v="171"/>
          </reference>
        </references>
      </pivotArea>
    </format>
    <format dxfId="614">
      <pivotArea dataOnly="0" labelOnly="1" outline="0" fieldPosition="0">
        <references count="2">
          <reference field="0" count="1" selected="0">
            <x v="96"/>
          </reference>
          <reference field="1" count="1">
            <x v="170"/>
          </reference>
        </references>
      </pivotArea>
    </format>
    <format dxfId="613">
      <pivotArea dataOnly="0" labelOnly="1" outline="0" fieldPosition="0">
        <references count="2">
          <reference field="0" count="1" selected="0">
            <x v="97"/>
          </reference>
          <reference field="1" count="1">
            <x v="195"/>
          </reference>
        </references>
      </pivotArea>
    </format>
    <format dxfId="612">
      <pivotArea dataOnly="0" labelOnly="1" outline="0" fieldPosition="0">
        <references count="2">
          <reference field="0" count="1" selected="0">
            <x v="98"/>
          </reference>
          <reference field="1" count="1">
            <x v="36"/>
          </reference>
        </references>
      </pivotArea>
    </format>
    <format dxfId="611">
      <pivotArea dataOnly="0" labelOnly="1" outline="0" fieldPosition="0">
        <references count="2">
          <reference field="0" count="1" selected="0">
            <x v="99"/>
          </reference>
          <reference field="1" count="1">
            <x v="12"/>
          </reference>
        </references>
      </pivotArea>
    </format>
    <format dxfId="610">
      <pivotArea dataOnly="0" labelOnly="1" outline="0" fieldPosition="0">
        <references count="2">
          <reference field="0" count="1" selected="0">
            <x v="100"/>
          </reference>
          <reference field="1" count="1">
            <x v="38"/>
          </reference>
        </references>
      </pivotArea>
    </format>
    <format dxfId="609">
      <pivotArea dataOnly="0" labelOnly="1" outline="0" fieldPosition="0">
        <references count="2">
          <reference field="0" count="1" selected="0">
            <x v="101"/>
          </reference>
          <reference field="1" count="1">
            <x v="148"/>
          </reference>
        </references>
      </pivotArea>
    </format>
    <format dxfId="608">
      <pivotArea dataOnly="0" labelOnly="1" outline="0" fieldPosition="0">
        <references count="2">
          <reference field="0" count="1" selected="0">
            <x v="102"/>
          </reference>
          <reference field="1" count="1">
            <x v="194"/>
          </reference>
        </references>
      </pivotArea>
    </format>
    <format dxfId="607">
      <pivotArea dataOnly="0" labelOnly="1" outline="0" fieldPosition="0">
        <references count="2">
          <reference field="0" count="1" selected="0">
            <x v="103"/>
          </reference>
          <reference field="1" count="1">
            <x v="154"/>
          </reference>
        </references>
      </pivotArea>
    </format>
    <format dxfId="606">
      <pivotArea dataOnly="0" labelOnly="1" outline="0" fieldPosition="0">
        <references count="2">
          <reference field="0" count="1" selected="0">
            <x v="104"/>
          </reference>
          <reference field="1" count="1">
            <x v="103"/>
          </reference>
        </references>
      </pivotArea>
    </format>
    <format dxfId="605">
      <pivotArea dataOnly="0" labelOnly="1" outline="0" fieldPosition="0">
        <references count="2">
          <reference field="0" count="1" selected="0">
            <x v="105"/>
          </reference>
          <reference field="1" count="1">
            <x v="96"/>
          </reference>
        </references>
      </pivotArea>
    </format>
    <format dxfId="604">
      <pivotArea dataOnly="0" labelOnly="1" outline="0" fieldPosition="0">
        <references count="2">
          <reference field="0" count="1" selected="0">
            <x v="106"/>
          </reference>
          <reference field="1" count="1">
            <x v="141"/>
          </reference>
        </references>
      </pivotArea>
    </format>
    <format dxfId="603">
      <pivotArea dataOnly="0" labelOnly="1" outline="0" fieldPosition="0">
        <references count="2">
          <reference field="0" count="1" selected="0">
            <x v="107"/>
          </reference>
          <reference field="1" count="1">
            <x v="86"/>
          </reference>
        </references>
      </pivotArea>
    </format>
    <format dxfId="602">
      <pivotArea dataOnly="0" labelOnly="1" outline="0" fieldPosition="0">
        <references count="2">
          <reference field="0" count="1" selected="0">
            <x v="108"/>
          </reference>
          <reference field="1" count="1">
            <x v="40"/>
          </reference>
        </references>
      </pivotArea>
    </format>
    <format dxfId="601">
      <pivotArea dataOnly="0" labelOnly="1" outline="0" fieldPosition="0">
        <references count="2">
          <reference field="0" count="1" selected="0">
            <x v="109"/>
          </reference>
          <reference field="1" count="1">
            <x v="33"/>
          </reference>
        </references>
      </pivotArea>
    </format>
    <format dxfId="600">
      <pivotArea dataOnly="0" labelOnly="1" outline="0" fieldPosition="0">
        <references count="2">
          <reference field="0" count="1" selected="0">
            <x v="110"/>
          </reference>
          <reference field="1" count="1">
            <x v="17"/>
          </reference>
        </references>
      </pivotArea>
    </format>
    <format dxfId="599">
      <pivotArea dataOnly="0" labelOnly="1" outline="0" fieldPosition="0">
        <references count="2">
          <reference field="0" count="1" selected="0">
            <x v="111"/>
          </reference>
          <reference field="1" count="1">
            <x v="112"/>
          </reference>
        </references>
      </pivotArea>
    </format>
    <format dxfId="598">
      <pivotArea dataOnly="0" labelOnly="1" outline="0" fieldPosition="0">
        <references count="2">
          <reference field="0" count="1" selected="0">
            <x v="112"/>
          </reference>
          <reference field="1" count="1">
            <x v="14"/>
          </reference>
        </references>
      </pivotArea>
    </format>
    <format dxfId="597">
      <pivotArea dataOnly="0" labelOnly="1" outline="0" fieldPosition="0">
        <references count="2">
          <reference field="0" count="1" selected="0">
            <x v="113"/>
          </reference>
          <reference field="1" count="1">
            <x v="151"/>
          </reference>
        </references>
      </pivotArea>
    </format>
    <format dxfId="596">
      <pivotArea dataOnly="0" labelOnly="1" outline="0" fieldPosition="0">
        <references count="2">
          <reference field="0" count="1" selected="0">
            <x v="114"/>
          </reference>
          <reference field="1" count="1">
            <x v="138"/>
          </reference>
        </references>
      </pivotArea>
    </format>
    <format dxfId="595">
      <pivotArea dataOnly="0" labelOnly="1" outline="0" fieldPosition="0">
        <references count="2">
          <reference field="0" count="1" selected="0">
            <x v="115"/>
          </reference>
          <reference field="1" count="1">
            <x v="44"/>
          </reference>
        </references>
      </pivotArea>
    </format>
    <format dxfId="594">
      <pivotArea dataOnly="0" labelOnly="1" outline="0" fieldPosition="0">
        <references count="2">
          <reference field="0" count="1" selected="0">
            <x v="116"/>
          </reference>
          <reference field="1" count="1">
            <x v="111"/>
          </reference>
        </references>
      </pivotArea>
    </format>
    <format dxfId="593">
      <pivotArea dataOnly="0" labelOnly="1" outline="0" fieldPosition="0">
        <references count="2">
          <reference field="0" count="1" selected="0">
            <x v="117"/>
          </reference>
          <reference field="1" count="1">
            <x v="77"/>
          </reference>
        </references>
      </pivotArea>
    </format>
    <format dxfId="592">
      <pivotArea dataOnly="0" labelOnly="1" outline="0" fieldPosition="0">
        <references count="2">
          <reference field="0" count="1" selected="0">
            <x v="118"/>
          </reference>
          <reference field="1" count="1">
            <x v="21"/>
          </reference>
        </references>
      </pivotArea>
    </format>
    <format dxfId="591">
      <pivotArea dataOnly="0" labelOnly="1" outline="0" fieldPosition="0">
        <references count="2">
          <reference field="0" count="1" selected="0">
            <x v="119"/>
          </reference>
          <reference field="1" count="1">
            <x v="200"/>
          </reference>
        </references>
      </pivotArea>
    </format>
    <format dxfId="590">
      <pivotArea dataOnly="0" labelOnly="1" outline="0" fieldPosition="0">
        <references count="2">
          <reference field="0" count="1" selected="0">
            <x v="120"/>
          </reference>
          <reference field="1" count="1">
            <x v="114"/>
          </reference>
        </references>
      </pivotArea>
    </format>
    <format dxfId="589">
      <pivotArea dataOnly="0" labelOnly="1" outline="0" fieldPosition="0">
        <references count="2">
          <reference field="0" count="1" selected="0">
            <x v="121"/>
          </reference>
          <reference field="1" count="1">
            <x v="102"/>
          </reference>
        </references>
      </pivotArea>
    </format>
    <format dxfId="588">
      <pivotArea dataOnly="0" labelOnly="1" outline="0" fieldPosition="0">
        <references count="2">
          <reference field="0" count="1" selected="0">
            <x v="122"/>
          </reference>
          <reference field="1" count="1">
            <x v="209"/>
          </reference>
        </references>
      </pivotArea>
    </format>
    <format dxfId="587">
      <pivotArea dataOnly="0" labelOnly="1" outline="0" fieldPosition="0">
        <references count="2">
          <reference field="0" count="1" selected="0">
            <x v="123"/>
          </reference>
          <reference field="1" count="1">
            <x v="23"/>
          </reference>
        </references>
      </pivotArea>
    </format>
    <format dxfId="586">
      <pivotArea dataOnly="0" labelOnly="1" outline="0" fieldPosition="0">
        <references count="2">
          <reference field="0" count="1" selected="0">
            <x v="124"/>
          </reference>
          <reference field="1" count="1">
            <x v="75"/>
          </reference>
        </references>
      </pivotArea>
    </format>
    <format dxfId="585">
      <pivotArea dataOnly="0" labelOnly="1" outline="0" fieldPosition="0">
        <references count="2">
          <reference field="0" count="1" selected="0">
            <x v="125"/>
          </reference>
          <reference field="1" count="1">
            <x v="13"/>
          </reference>
        </references>
      </pivotArea>
    </format>
    <format dxfId="584">
      <pivotArea dataOnly="0" labelOnly="1" outline="0" fieldPosition="0">
        <references count="2">
          <reference field="0" count="1" selected="0">
            <x v="126"/>
          </reference>
          <reference field="1" count="1">
            <x v="143"/>
          </reference>
        </references>
      </pivotArea>
    </format>
    <format dxfId="583">
      <pivotArea dataOnly="0" labelOnly="1" outline="0" fieldPosition="0">
        <references count="2">
          <reference field="0" count="1" selected="0">
            <x v="127"/>
          </reference>
          <reference field="1" count="1">
            <x v="93"/>
          </reference>
        </references>
      </pivotArea>
    </format>
    <format dxfId="582">
      <pivotArea dataOnly="0" labelOnly="1" outline="0" fieldPosition="0">
        <references count="2">
          <reference field="0" count="1" selected="0">
            <x v="128"/>
          </reference>
          <reference field="1" count="1">
            <x v="196"/>
          </reference>
        </references>
      </pivotArea>
    </format>
    <format dxfId="581">
      <pivotArea dataOnly="0" labelOnly="1" outline="0" fieldPosition="0">
        <references count="2">
          <reference field="0" count="1" selected="0">
            <x v="129"/>
          </reference>
          <reference field="1" count="1">
            <x v="16"/>
          </reference>
        </references>
      </pivotArea>
    </format>
    <format dxfId="580">
      <pivotArea dataOnly="0" labelOnly="1" outline="0" fieldPosition="0">
        <references count="2">
          <reference field="0" count="1" selected="0">
            <x v="130"/>
          </reference>
          <reference field="1" count="1">
            <x v="147"/>
          </reference>
        </references>
      </pivotArea>
    </format>
    <format dxfId="579">
      <pivotArea dataOnly="0" labelOnly="1" outline="0" fieldPosition="0">
        <references count="2">
          <reference field="0" count="1" selected="0">
            <x v="131"/>
          </reference>
          <reference field="1" count="1">
            <x v="212"/>
          </reference>
        </references>
      </pivotArea>
    </format>
    <format dxfId="578">
      <pivotArea dataOnly="0" labelOnly="1" outline="0" fieldPosition="0">
        <references count="2">
          <reference field="0" count="1" selected="0">
            <x v="132"/>
          </reference>
          <reference field="1" count="1">
            <x v="101"/>
          </reference>
        </references>
      </pivotArea>
    </format>
    <format dxfId="577">
      <pivotArea dataOnly="0" labelOnly="1" outline="0" fieldPosition="0">
        <references count="2">
          <reference field="0" count="1" selected="0">
            <x v="133"/>
          </reference>
          <reference field="1" count="1">
            <x v="39"/>
          </reference>
        </references>
      </pivotArea>
    </format>
    <format dxfId="576">
      <pivotArea dataOnly="0" labelOnly="1" outline="0" fieldPosition="0">
        <references count="2">
          <reference field="0" count="1" selected="0">
            <x v="134"/>
          </reference>
          <reference field="1" count="1">
            <x v="67"/>
          </reference>
        </references>
      </pivotArea>
    </format>
    <format dxfId="575">
      <pivotArea dataOnly="0" labelOnly="1" outline="0" fieldPosition="0">
        <references count="2">
          <reference field="0" count="1" selected="0">
            <x v="135"/>
          </reference>
          <reference field="1" count="1">
            <x v="120"/>
          </reference>
        </references>
      </pivotArea>
    </format>
    <format dxfId="574">
      <pivotArea dataOnly="0" labelOnly="1" outline="0" fieldPosition="0">
        <references count="2">
          <reference field="0" count="1" selected="0">
            <x v="136"/>
          </reference>
          <reference field="1" count="1">
            <x v="203"/>
          </reference>
        </references>
      </pivotArea>
    </format>
    <format dxfId="573">
      <pivotArea dataOnly="0" labelOnly="1" outline="0" fieldPosition="0">
        <references count="2">
          <reference field="0" count="1" selected="0">
            <x v="137"/>
          </reference>
          <reference field="1" count="1">
            <x v="178"/>
          </reference>
        </references>
      </pivotArea>
    </format>
    <format dxfId="572">
      <pivotArea dataOnly="0" labelOnly="1" outline="0" fieldPosition="0">
        <references count="2">
          <reference field="0" count="1" selected="0">
            <x v="138"/>
          </reference>
          <reference field="1" count="1">
            <x v="106"/>
          </reference>
        </references>
      </pivotArea>
    </format>
    <format dxfId="571">
      <pivotArea dataOnly="0" labelOnly="1" outline="0" fieldPosition="0">
        <references count="2">
          <reference field="0" count="1" selected="0">
            <x v="139"/>
          </reference>
          <reference field="1" count="1">
            <x v="107"/>
          </reference>
        </references>
      </pivotArea>
    </format>
    <format dxfId="570">
      <pivotArea dataOnly="0" labelOnly="1" outline="0" fieldPosition="0">
        <references count="2">
          <reference field="0" count="1" selected="0">
            <x v="140"/>
          </reference>
          <reference field="1" count="1">
            <x v="105"/>
          </reference>
        </references>
      </pivotArea>
    </format>
    <format dxfId="569">
      <pivotArea dataOnly="0" labelOnly="1" outline="0" fieldPosition="0">
        <references count="2">
          <reference field="0" count="1" selected="0">
            <x v="141"/>
          </reference>
          <reference field="1" count="1">
            <x v="48"/>
          </reference>
        </references>
      </pivotArea>
    </format>
    <format dxfId="568">
      <pivotArea dataOnly="0" labelOnly="1" outline="0" fieldPosition="0">
        <references count="2">
          <reference field="0" count="1" selected="0">
            <x v="142"/>
          </reference>
          <reference field="1" count="1">
            <x v="46"/>
          </reference>
        </references>
      </pivotArea>
    </format>
    <format dxfId="567">
      <pivotArea dataOnly="0" labelOnly="1" outline="0" fieldPosition="0">
        <references count="2">
          <reference field="0" count="1" selected="0">
            <x v="143"/>
          </reference>
          <reference field="1" count="1">
            <x v="47"/>
          </reference>
        </references>
      </pivotArea>
    </format>
    <format dxfId="566">
      <pivotArea dataOnly="0" labelOnly="1" outline="0" fieldPosition="0">
        <references count="2">
          <reference field="0" count="1" selected="0">
            <x v="144"/>
          </reference>
          <reference field="1" count="1">
            <x v="52"/>
          </reference>
        </references>
      </pivotArea>
    </format>
    <format dxfId="565">
      <pivotArea dataOnly="0" labelOnly="1" outline="0" fieldPosition="0">
        <references count="2">
          <reference field="0" count="1" selected="0">
            <x v="145"/>
          </reference>
          <reference field="1" count="1">
            <x v="59"/>
          </reference>
        </references>
      </pivotArea>
    </format>
    <format dxfId="564">
      <pivotArea dataOnly="0" labelOnly="1" outline="0" fieldPosition="0">
        <references count="2">
          <reference field="0" count="1" selected="0">
            <x v="146"/>
          </reference>
          <reference field="1" count="1">
            <x v="64"/>
          </reference>
        </references>
      </pivotArea>
    </format>
    <format dxfId="563">
      <pivotArea dataOnly="0" labelOnly="1" outline="0" fieldPosition="0">
        <references count="2">
          <reference field="0" count="1" selected="0">
            <x v="147"/>
          </reference>
          <reference field="1" count="1">
            <x v="56"/>
          </reference>
        </references>
      </pivotArea>
    </format>
    <format dxfId="562">
      <pivotArea dataOnly="0" labelOnly="1" outline="0" fieldPosition="0">
        <references count="2">
          <reference field="0" count="1" selected="0">
            <x v="148"/>
          </reference>
          <reference field="1" count="1">
            <x v="63"/>
          </reference>
        </references>
      </pivotArea>
    </format>
    <format dxfId="561">
      <pivotArea dataOnly="0" labelOnly="1" outline="0" fieldPosition="0">
        <references count="2">
          <reference field="0" count="1" selected="0">
            <x v="149"/>
          </reference>
          <reference field="1" count="1">
            <x v="62"/>
          </reference>
        </references>
      </pivotArea>
    </format>
    <format dxfId="560">
      <pivotArea dataOnly="0" labelOnly="1" outline="0" fieldPosition="0">
        <references count="2">
          <reference field="0" count="1" selected="0">
            <x v="150"/>
          </reference>
          <reference field="1" count="1">
            <x v="55"/>
          </reference>
        </references>
      </pivotArea>
    </format>
    <format dxfId="559">
      <pivotArea dataOnly="0" labelOnly="1" outline="0" fieldPosition="0">
        <references count="2">
          <reference field="0" count="1" selected="0">
            <x v="151"/>
          </reference>
          <reference field="1" count="1">
            <x v="57"/>
          </reference>
        </references>
      </pivotArea>
    </format>
    <format dxfId="558">
      <pivotArea dataOnly="0" labelOnly="1" outline="0" fieldPosition="0">
        <references count="2">
          <reference field="0" count="1" selected="0">
            <x v="152"/>
          </reference>
          <reference field="1" count="1">
            <x v="54"/>
          </reference>
        </references>
      </pivotArea>
    </format>
    <format dxfId="557">
      <pivotArea dataOnly="0" labelOnly="1" outline="0" fieldPosition="0">
        <references count="2">
          <reference field="0" count="1" selected="0">
            <x v="153"/>
          </reference>
          <reference field="1" count="1">
            <x v="53"/>
          </reference>
        </references>
      </pivotArea>
    </format>
    <format dxfId="556">
      <pivotArea dataOnly="0" labelOnly="1" outline="0" fieldPosition="0">
        <references count="2">
          <reference field="0" count="1" selected="0">
            <x v="154"/>
          </reference>
          <reference field="1" count="1">
            <x v="61"/>
          </reference>
        </references>
      </pivotArea>
    </format>
    <format dxfId="555">
      <pivotArea dataOnly="0" labelOnly="1" outline="0" fieldPosition="0">
        <references count="2">
          <reference field="0" count="1" selected="0">
            <x v="155"/>
          </reference>
          <reference field="1" count="1">
            <x v="58"/>
          </reference>
        </references>
      </pivotArea>
    </format>
    <format dxfId="554">
      <pivotArea dataOnly="0" labelOnly="1" outline="0" fieldPosition="0">
        <references count="2">
          <reference field="0" count="1" selected="0">
            <x v="156"/>
          </reference>
          <reference field="1" count="1">
            <x v="60"/>
          </reference>
        </references>
      </pivotArea>
    </format>
    <format dxfId="553">
      <pivotArea dataOnly="0" labelOnly="1" outline="0" fieldPosition="0">
        <references count="2">
          <reference field="0" count="1" selected="0">
            <x v="157"/>
          </reference>
          <reference field="1" count="1">
            <x v="51"/>
          </reference>
        </references>
      </pivotArea>
    </format>
    <format dxfId="552">
      <pivotArea dataOnly="0" labelOnly="1" outline="0" fieldPosition="0">
        <references count="2">
          <reference field="0" count="1" selected="0">
            <x v="158"/>
          </reference>
          <reference field="1" count="1">
            <x v="49"/>
          </reference>
        </references>
      </pivotArea>
    </format>
    <format dxfId="551">
      <pivotArea dataOnly="0" labelOnly="1" outline="0" fieldPosition="0">
        <references count="2">
          <reference field="0" count="1" selected="0">
            <x v="159"/>
          </reference>
          <reference field="1" count="1">
            <x v="50"/>
          </reference>
        </references>
      </pivotArea>
    </format>
    <format dxfId="550">
      <pivotArea dataOnly="0" labelOnly="1" outline="0" fieldPosition="0">
        <references count="2">
          <reference field="0" count="1" selected="0">
            <x v="160"/>
          </reference>
          <reference field="1" count="1">
            <x v="65"/>
          </reference>
        </references>
      </pivotArea>
    </format>
    <format dxfId="549">
      <pivotArea dataOnly="0" labelOnly="1" outline="0" fieldPosition="0">
        <references count="2">
          <reference field="0" count="1" selected="0">
            <x v="161"/>
          </reference>
          <reference field="1" count="1">
            <x v="41"/>
          </reference>
        </references>
      </pivotArea>
    </format>
    <format dxfId="548">
      <pivotArea dataOnly="0" labelOnly="1" outline="0" fieldPosition="0">
        <references count="2">
          <reference field="0" count="1" selected="0">
            <x v="162"/>
          </reference>
          <reference field="1" count="1">
            <x v="43"/>
          </reference>
        </references>
      </pivotArea>
    </format>
    <format dxfId="547">
      <pivotArea dataOnly="0" labelOnly="1" outline="0" fieldPosition="0">
        <references count="2">
          <reference field="0" count="1" selected="0">
            <x v="163"/>
          </reference>
          <reference field="1" count="1">
            <x v="42"/>
          </reference>
        </references>
      </pivotArea>
    </format>
    <format dxfId="546">
      <pivotArea dataOnly="0" labelOnly="1" outline="0" fieldPosition="0">
        <references count="2">
          <reference field="0" count="1" selected="0">
            <x v="164"/>
          </reference>
          <reference field="1" count="1">
            <x v="100"/>
          </reference>
        </references>
      </pivotArea>
    </format>
    <format dxfId="545">
      <pivotArea dataOnly="0" labelOnly="1" outline="0" fieldPosition="0">
        <references count="2">
          <reference field="0" count="1" selected="0">
            <x v="165"/>
          </reference>
          <reference field="1" count="1">
            <x v="129"/>
          </reference>
        </references>
      </pivotArea>
    </format>
    <format dxfId="544">
      <pivotArea dataOnly="0" labelOnly="1" outline="0" fieldPosition="0">
        <references count="2">
          <reference field="0" count="1" selected="0">
            <x v="166"/>
          </reference>
          <reference field="1" count="1">
            <x v="7"/>
          </reference>
        </references>
      </pivotArea>
    </format>
    <format dxfId="543">
      <pivotArea dataOnly="0" labelOnly="1" outline="0" fieldPosition="0">
        <references count="2">
          <reference field="0" count="1" selected="0">
            <x v="167"/>
          </reference>
          <reference field="1" count="1">
            <x v="8"/>
          </reference>
        </references>
      </pivotArea>
    </format>
    <format dxfId="542">
      <pivotArea dataOnly="0" labelOnly="1" outline="0" fieldPosition="0">
        <references count="2">
          <reference field="0" count="1" selected="0">
            <x v="168"/>
          </reference>
          <reference field="1" count="1">
            <x v="94"/>
          </reference>
        </references>
      </pivotArea>
    </format>
    <format dxfId="541">
      <pivotArea dataOnly="0" labelOnly="1" outline="0" fieldPosition="0">
        <references count="2">
          <reference field="0" count="1" selected="0">
            <x v="169"/>
          </reference>
          <reference field="1" count="1">
            <x v="69"/>
          </reference>
        </references>
      </pivotArea>
    </format>
    <format dxfId="540">
      <pivotArea dataOnly="0" labelOnly="1" outline="0" fieldPosition="0">
        <references count="2">
          <reference field="0" count="1" selected="0">
            <x v="170"/>
          </reference>
          <reference field="1" count="1">
            <x v="68"/>
          </reference>
        </references>
      </pivotArea>
    </format>
    <format dxfId="539">
      <pivotArea dataOnly="0" labelOnly="1" outline="0" fieldPosition="0">
        <references count="2">
          <reference field="0" count="1" selected="0">
            <x v="171"/>
          </reference>
          <reference field="1" count="1">
            <x v="34"/>
          </reference>
        </references>
      </pivotArea>
    </format>
    <format dxfId="538">
      <pivotArea dataOnly="0" labelOnly="1" outline="0" fieldPosition="0">
        <references count="2">
          <reference field="0" count="1" selected="0">
            <x v="172"/>
          </reference>
          <reference field="1" count="1">
            <x v="35"/>
          </reference>
        </references>
      </pivotArea>
    </format>
    <format dxfId="537">
      <pivotArea dataOnly="0" labelOnly="1" outline="0" fieldPosition="0">
        <references count="2">
          <reference field="0" count="1" selected="0">
            <x v="173"/>
          </reference>
          <reference field="1" count="1">
            <x v="18"/>
          </reference>
        </references>
      </pivotArea>
    </format>
    <format dxfId="536">
      <pivotArea dataOnly="0" labelOnly="1" outline="0" fieldPosition="0">
        <references count="2">
          <reference field="0" count="1" selected="0">
            <x v="174"/>
          </reference>
          <reference field="1" count="1">
            <x v="156"/>
          </reference>
        </references>
      </pivotArea>
    </format>
    <format dxfId="535">
      <pivotArea dataOnly="0" labelOnly="1" outline="0" fieldPosition="0">
        <references count="2">
          <reference field="0" count="1" selected="0">
            <x v="175"/>
          </reference>
          <reference field="1" count="1">
            <x v="165"/>
          </reference>
        </references>
      </pivotArea>
    </format>
    <format dxfId="534">
      <pivotArea dataOnly="0" labelOnly="1" outline="0" fieldPosition="0">
        <references count="2">
          <reference field="0" count="1" selected="0">
            <x v="176"/>
          </reference>
          <reference field="1" count="1">
            <x v="159"/>
          </reference>
        </references>
      </pivotArea>
    </format>
    <format dxfId="533">
      <pivotArea dataOnly="0" labelOnly="1" outline="0" fieldPosition="0">
        <references count="2">
          <reference field="0" count="1" selected="0">
            <x v="177"/>
          </reference>
          <reference field="1" count="1">
            <x v="169"/>
          </reference>
        </references>
      </pivotArea>
    </format>
    <format dxfId="532">
      <pivotArea dataOnly="0" labelOnly="1" outline="0" fieldPosition="0">
        <references count="2">
          <reference field="0" count="1" selected="0">
            <x v="178"/>
          </reference>
          <reference field="1" count="1">
            <x v="167"/>
          </reference>
        </references>
      </pivotArea>
    </format>
    <format dxfId="531">
      <pivotArea dataOnly="0" labelOnly="1" outline="0" fieldPosition="0">
        <references count="2">
          <reference field="0" count="1" selected="0">
            <x v="179"/>
          </reference>
          <reference field="1" count="1">
            <x v="163"/>
          </reference>
        </references>
      </pivotArea>
    </format>
    <format dxfId="530">
      <pivotArea dataOnly="0" labelOnly="1" outline="0" fieldPosition="0">
        <references count="2">
          <reference field="0" count="1" selected="0">
            <x v="180"/>
          </reference>
          <reference field="1" count="1">
            <x v="168"/>
          </reference>
        </references>
      </pivotArea>
    </format>
    <format dxfId="529">
      <pivotArea dataOnly="0" labelOnly="1" outline="0" fieldPosition="0">
        <references count="2">
          <reference field="0" count="1" selected="0">
            <x v="181"/>
          </reference>
          <reference field="1" count="1">
            <x v="162"/>
          </reference>
        </references>
      </pivotArea>
    </format>
    <format dxfId="528">
      <pivotArea dataOnly="0" labelOnly="1" outline="0" fieldPosition="0">
        <references count="2">
          <reference field="0" count="1" selected="0">
            <x v="182"/>
          </reference>
          <reference field="1" count="1">
            <x v="157"/>
          </reference>
        </references>
      </pivotArea>
    </format>
    <format dxfId="527">
      <pivotArea dataOnly="0" labelOnly="1" outline="0" fieldPosition="0">
        <references count="2">
          <reference field="0" count="1" selected="0">
            <x v="184"/>
          </reference>
          <reference field="1" count="1">
            <x v="164"/>
          </reference>
        </references>
      </pivotArea>
    </format>
    <format dxfId="526">
      <pivotArea dataOnly="0" labelOnly="1" outline="0" fieldPosition="0">
        <references count="2">
          <reference field="0" count="1" selected="0">
            <x v="185"/>
          </reference>
          <reference field="1" count="1">
            <x v="166"/>
          </reference>
        </references>
      </pivotArea>
    </format>
    <format dxfId="525">
      <pivotArea dataOnly="0" labelOnly="1" outline="0" fieldPosition="0">
        <references count="2">
          <reference field="0" count="1" selected="0">
            <x v="186"/>
          </reference>
          <reference field="1" count="1">
            <x v="161"/>
          </reference>
        </references>
      </pivotArea>
    </format>
    <format dxfId="524">
      <pivotArea dataOnly="0" labelOnly="1" outline="0" fieldPosition="0">
        <references count="2">
          <reference field="0" count="1" selected="0">
            <x v="187"/>
          </reference>
          <reference field="1" count="1">
            <x v="160"/>
          </reference>
        </references>
      </pivotArea>
    </format>
    <format dxfId="523">
      <pivotArea dataOnly="0" labelOnly="1" outline="0" fieldPosition="0">
        <references count="2">
          <reference field="0" count="1" selected="0">
            <x v="188"/>
          </reference>
          <reference field="1" count="1">
            <x v="158"/>
          </reference>
        </references>
      </pivotArea>
    </format>
    <format dxfId="522">
      <pivotArea dataOnly="0" labelOnly="1" outline="0" fieldPosition="0">
        <references count="2">
          <reference field="0" count="1" selected="0">
            <x v="189"/>
          </reference>
          <reference field="1" count="1">
            <x v="131"/>
          </reference>
        </references>
      </pivotArea>
    </format>
    <format dxfId="521">
      <pivotArea dataOnly="0" labelOnly="1" outline="0" fieldPosition="0">
        <references count="2">
          <reference field="0" count="1" selected="0">
            <x v="190"/>
          </reference>
          <reference field="1" count="1">
            <x v="130"/>
          </reference>
        </references>
      </pivotArea>
    </format>
    <format dxfId="520">
      <pivotArea dataOnly="0" labelOnly="1" outline="0" fieldPosition="0">
        <references count="2">
          <reference field="0" count="1" selected="0">
            <x v="191"/>
          </reference>
          <reference field="1" count="1">
            <x v="132"/>
          </reference>
        </references>
      </pivotArea>
    </format>
    <format dxfId="519">
      <pivotArea dataOnly="0" labelOnly="1" outline="0" fieldPosition="0">
        <references count="2">
          <reference field="0" count="1" selected="0">
            <x v="192"/>
          </reference>
          <reference field="1" count="1">
            <x v="179"/>
          </reference>
        </references>
      </pivotArea>
    </format>
    <format dxfId="518">
      <pivotArea dataOnly="0" labelOnly="1" outline="0" fieldPosition="0">
        <references count="2">
          <reference field="0" count="1" selected="0">
            <x v="193"/>
          </reference>
          <reference field="1" count="1">
            <x v="188"/>
          </reference>
        </references>
      </pivotArea>
    </format>
    <format dxfId="517">
      <pivotArea dataOnly="0" labelOnly="1" outline="0" fieldPosition="0">
        <references count="2">
          <reference field="0" count="1" selected="0">
            <x v="194"/>
          </reference>
          <reference field="1" count="1">
            <x v="182"/>
          </reference>
        </references>
      </pivotArea>
    </format>
    <format dxfId="516">
      <pivotArea dataOnly="0" labelOnly="1" outline="0" fieldPosition="0">
        <references count="2">
          <reference field="0" count="1" selected="0">
            <x v="195"/>
          </reference>
          <reference field="1" count="1">
            <x v="191"/>
          </reference>
        </references>
      </pivotArea>
    </format>
    <format dxfId="515">
      <pivotArea dataOnly="0" labelOnly="1" outline="0" fieldPosition="0">
        <references count="2">
          <reference field="0" count="1" selected="0">
            <x v="196"/>
          </reference>
          <reference field="1" count="1">
            <x v="190"/>
          </reference>
        </references>
      </pivotArea>
    </format>
    <format dxfId="514">
      <pivotArea dataOnly="0" labelOnly="1" outline="0" fieldPosition="0">
        <references count="2">
          <reference field="0" count="1" selected="0">
            <x v="197"/>
          </reference>
          <reference field="1" count="1">
            <x v="186"/>
          </reference>
        </references>
      </pivotArea>
    </format>
    <format dxfId="513">
      <pivotArea dataOnly="0" labelOnly="1" outline="0" fieldPosition="0">
        <references count="2">
          <reference field="0" count="1" selected="0">
            <x v="199"/>
          </reference>
          <reference field="1" count="1">
            <x v="185"/>
          </reference>
        </references>
      </pivotArea>
    </format>
    <format dxfId="512">
      <pivotArea dataOnly="0" labelOnly="1" outline="0" fieldPosition="0">
        <references count="2">
          <reference field="0" count="1" selected="0">
            <x v="200"/>
          </reference>
          <reference field="1" count="1">
            <x v="187"/>
          </reference>
        </references>
      </pivotArea>
    </format>
    <format dxfId="511">
      <pivotArea dataOnly="0" labelOnly="1" outline="0" fieldPosition="0">
        <references count="2">
          <reference field="0" count="1" selected="0">
            <x v="201"/>
          </reference>
          <reference field="1" count="1">
            <x v="189"/>
          </reference>
        </references>
      </pivotArea>
    </format>
    <format dxfId="510">
      <pivotArea dataOnly="0" labelOnly="1" outline="0" fieldPosition="0">
        <references count="2">
          <reference field="0" count="1" selected="0">
            <x v="202"/>
          </reference>
          <reference field="1" count="1">
            <x v="180"/>
          </reference>
        </references>
      </pivotArea>
    </format>
    <format dxfId="509">
      <pivotArea dataOnly="0" labelOnly="1" outline="0" fieldPosition="0">
        <references count="2">
          <reference field="0" count="1" selected="0">
            <x v="203"/>
          </reference>
          <reference field="1" count="1">
            <x v="184"/>
          </reference>
        </references>
      </pivotArea>
    </format>
    <format dxfId="508">
      <pivotArea dataOnly="0" labelOnly="1" outline="0" fieldPosition="0">
        <references count="2">
          <reference field="0" count="1" selected="0">
            <x v="204"/>
          </reference>
          <reference field="1" count="1">
            <x v="183"/>
          </reference>
        </references>
      </pivotArea>
    </format>
    <format dxfId="507">
      <pivotArea dataOnly="0" labelOnly="1" outline="0" fieldPosition="0">
        <references count="2">
          <reference field="0" count="1" selected="0">
            <x v="205"/>
          </reference>
          <reference field="1" count="1">
            <x v="192"/>
          </reference>
        </references>
      </pivotArea>
    </format>
    <format dxfId="506">
      <pivotArea dataOnly="0" labelOnly="1" outline="0" fieldPosition="0">
        <references count="2">
          <reference field="0" count="1" selected="0">
            <x v="206"/>
          </reference>
          <reference field="1" count="1">
            <x v="181"/>
          </reference>
        </references>
      </pivotArea>
    </format>
    <format dxfId="505">
      <pivotArea dataOnly="0" labelOnly="1" outline="0" fieldPosition="0">
        <references count="2">
          <reference field="0" count="1" selected="0">
            <x v="207"/>
          </reference>
          <reference field="1" count="1">
            <x v="193"/>
          </reference>
        </references>
      </pivotArea>
    </format>
    <format dxfId="504">
      <pivotArea dataOnly="0" labelOnly="1" outline="0" fieldPosition="0">
        <references count="2">
          <reference field="0" count="1" selected="0">
            <x v="208"/>
          </reference>
          <reference field="1" count="13">
            <x v="1"/>
            <x v="2"/>
            <x v="3"/>
            <x v="80"/>
            <x v="122"/>
            <x v="123"/>
            <x v="135"/>
            <x v="139"/>
            <x v="145"/>
            <x v="146"/>
            <x v="202"/>
            <x v="206"/>
            <x v="215"/>
          </reference>
        </references>
      </pivotArea>
    </format>
    <format dxfId="503">
      <pivotArea dataOnly="0" labelOnly="1" outline="0" fieldPosition="0">
        <references count="1">
          <reference field="4294967294" count="5">
            <x v="0"/>
            <x v="1"/>
            <x v="2"/>
            <x v="4"/>
            <x v="5"/>
          </reference>
        </references>
      </pivotArea>
    </format>
    <format dxfId="502">
      <pivotArea outline="0" fieldPosition="0">
        <references count="3">
          <reference field="4294967294" count="1" selected="0">
            <x v="4"/>
          </reference>
          <reference field="0" count="9" selected="0">
            <x v="139"/>
            <x v="144"/>
            <x v="175"/>
            <x v="182"/>
            <x v="188"/>
            <x v="189"/>
            <x v="190"/>
            <x v="193"/>
            <x v="202"/>
          </reference>
          <reference field="1" count="9" selected="0">
            <x v="52"/>
            <x v="107"/>
            <x v="130"/>
            <x v="131"/>
            <x v="157"/>
            <x v="158"/>
            <x v="165"/>
            <x v="180"/>
            <x v="188"/>
          </reference>
        </references>
      </pivotArea>
    </format>
    <format dxfId="501">
      <pivotArea field="0" type="button" dataOnly="0" labelOnly="1" outline="0" axis="axisRow" fieldPosition="0"/>
    </format>
    <format dxfId="500">
      <pivotArea field="1" type="button" dataOnly="0" labelOnly="1" outline="0" axis="axisRow" fieldPosition="1"/>
    </format>
    <format dxfId="499">
      <pivotArea dataOnly="0" labelOnly="1" outline="0" fieldPosition="0">
        <references count="1">
          <reference field="4294967294" count="1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</reference>
        </references>
      </pivotArea>
    </format>
    <format dxfId="498">
      <pivotArea type="all" dataOnly="0" outline="0" fieldPosition="0"/>
    </format>
    <format dxfId="497">
      <pivotArea outline="0" collapsedLevelsAreSubtotals="1" fieldPosition="0"/>
    </format>
    <format dxfId="496">
      <pivotArea type="origin" dataOnly="0" labelOnly="1" outline="0" fieldPosition="0"/>
    </format>
    <format dxfId="495">
      <pivotArea field="-2" type="button" dataOnly="0" labelOnly="1" outline="0" axis="axisCol" fieldPosition="0"/>
    </format>
    <format dxfId="494">
      <pivotArea type="topRight" dataOnly="0" labelOnly="1" outline="0" fieldPosition="0"/>
    </format>
    <format dxfId="493">
      <pivotArea field="0" type="button" dataOnly="0" labelOnly="1" outline="0" axis="axisRow" fieldPosition="0"/>
    </format>
    <format dxfId="492">
      <pivotArea field="1" type="button" dataOnly="0" labelOnly="1" outline="0" axis="axisRow" fieldPosition="1"/>
    </format>
    <format dxfId="491">
      <pivotArea dataOnly="0" labelOnly="1" outline="0" fieldPosition="0">
        <references count="1">
          <reference field="0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90">
      <pivotArea dataOnly="0" labelOnly="1" outline="0" fieldPosition="0">
        <references count="1">
          <reference field="0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489">
      <pivotArea dataOnly="0" labelOnly="1" outline="0" fieldPosition="0">
        <references count="1">
          <reference field="0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488">
      <pivotArea dataOnly="0" labelOnly="1" outline="0" fieldPosition="0">
        <references count="1">
          <reference field="0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487">
      <pivotArea dataOnly="0" labelOnly="1" outline="0" fieldPosition="0">
        <references count="1">
          <reference field="0" count="9">
            <x v="200"/>
            <x v="201"/>
            <x v="202"/>
            <x v="203"/>
            <x v="204"/>
            <x v="205"/>
            <x v="206"/>
            <x v="207"/>
            <x v="208"/>
          </reference>
        </references>
      </pivotArea>
    </format>
    <format dxfId="486">
      <pivotArea dataOnly="0" labelOnly="1" grandRow="1" outline="0" fieldPosition="0"/>
    </format>
    <format dxfId="485">
      <pivotArea dataOnly="0" labelOnly="1" outline="0" fieldPosition="0">
        <references count="2">
          <reference field="0" count="1" selected="0">
            <x v="0"/>
          </reference>
          <reference field="1" count="1">
            <x v="139"/>
          </reference>
        </references>
      </pivotArea>
    </format>
    <format dxfId="484">
      <pivotArea dataOnly="0" labelOnly="1" outline="0" fieldPosition="0">
        <references count="2">
          <reference field="0" count="1" selected="0">
            <x v="1"/>
          </reference>
          <reference field="1" count="1">
            <x v="0"/>
          </reference>
        </references>
      </pivotArea>
    </format>
    <format dxfId="483">
      <pivotArea dataOnly="0" labelOnly="1" outline="0" fieldPosition="0">
        <references count="2">
          <reference field="0" count="1" selected="0">
            <x v="2"/>
          </reference>
          <reference field="1" count="1">
            <x v="144"/>
          </reference>
        </references>
      </pivotArea>
    </format>
    <format dxfId="482">
      <pivotArea dataOnly="0" labelOnly="1" outline="0" fieldPosition="0">
        <references count="2">
          <reference field="0" count="1" selected="0">
            <x v="3"/>
          </reference>
          <reference field="1" count="1">
            <x v="110"/>
          </reference>
        </references>
      </pivotArea>
    </format>
    <format dxfId="481">
      <pivotArea dataOnly="0" labelOnly="1" outline="0" fieldPosition="0">
        <references count="2">
          <reference field="0" count="1" selected="0">
            <x v="4"/>
          </reference>
          <reference field="1" count="1">
            <x v="133"/>
          </reference>
        </references>
      </pivotArea>
    </format>
    <format dxfId="480">
      <pivotArea dataOnly="0" labelOnly="1" outline="0" fieldPosition="0">
        <references count="2">
          <reference field="0" count="1" selected="0">
            <x v="5"/>
          </reference>
          <reference field="1" count="1">
            <x v="11"/>
          </reference>
        </references>
      </pivotArea>
    </format>
    <format dxfId="479">
      <pivotArea dataOnly="0" labelOnly="1" outline="0" fieldPosition="0">
        <references count="2">
          <reference field="0" count="1" selected="0">
            <x v="6"/>
          </reference>
          <reference field="1" count="1">
            <x v="81"/>
          </reference>
        </references>
      </pivotArea>
    </format>
    <format dxfId="478">
      <pivotArea dataOnly="0" labelOnly="1" outline="0" fieldPosition="0">
        <references count="2">
          <reference field="0" count="1" selected="0">
            <x v="7"/>
          </reference>
          <reference field="1" count="1">
            <x v="140"/>
          </reference>
        </references>
      </pivotArea>
    </format>
    <format dxfId="477">
      <pivotArea dataOnly="0" labelOnly="1" outline="0" fieldPosition="0">
        <references count="2">
          <reference field="0" count="1" selected="0">
            <x v="8"/>
          </reference>
          <reference field="1" count="1">
            <x v="30"/>
          </reference>
        </references>
      </pivotArea>
    </format>
    <format dxfId="476">
      <pivotArea dataOnly="0" labelOnly="1" outline="0" fieldPosition="0">
        <references count="2">
          <reference field="0" count="1" selected="0">
            <x v="9"/>
          </reference>
          <reference field="1" count="1">
            <x v="25"/>
          </reference>
        </references>
      </pivotArea>
    </format>
    <format dxfId="475">
      <pivotArea dataOnly="0" labelOnly="1" outline="0" fieldPosition="0">
        <references count="2">
          <reference field="0" count="1" selected="0">
            <x v="10"/>
          </reference>
          <reference field="1" count="1">
            <x v="152"/>
          </reference>
        </references>
      </pivotArea>
    </format>
    <format dxfId="474">
      <pivotArea dataOnly="0" labelOnly="1" outline="0" fieldPosition="0">
        <references count="2">
          <reference field="0" count="1" selected="0">
            <x v="11"/>
          </reference>
          <reference field="1" count="1">
            <x v="66"/>
          </reference>
        </references>
      </pivotArea>
    </format>
    <format dxfId="473">
      <pivotArea dataOnly="0" labelOnly="1" outline="0" fieldPosition="0">
        <references count="2">
          <reference field="0" count="1" selected="0">
            <x v="12"/>
          </reference>
          <reference field="1" count="1">
            <x v="26"/>
          </reference>
        </references>
      </pivotArea>
    </format>
    <format dxfId="472">
      <pivotArea dataOnly="0" labelOnly="1" outline="0" fieldPosition="0">
        <references count="2">
          <reference field="0" count="1" selected="0">
            <x v="13"/>
          </reference>
          <reference field="1" count="1">
            <x v="79"/>
          </reference>
        </references>
      </pivotArea>
    </format>
    <format dxfId="471">
      <pivotArea dataOnly="0" labelOnly="1" outline="0" fieldPosition="0">
        <references count="2">
          <reference field="0" count="1" selected="0">
            <x v="14"/>
          </reference>
          <reference field="1" count="1">
            <x v="205"/>
          </reference>
        </references>
      </pivotArea>
    </format>
    <format dxfId="470">
      <pivotArea dataOnly="0" labelOnly="1" outline="0" fieldPosition="0">
        <references count="2">
          <reference field="0" count="1" selected="0">
            <x v="15"/>
          </reference>
          <reference field="1" count="1">
            <x v="204"/>
          </reference>
        </references>
      </pivotArea>
    </format>
    <format dxfId="469">
      <pivotArea dataOnly="0" labelOnly="1" outline="0" fieldPosition="0">
        <references count="2">
          <reference field="0" count="1" selected="0">
            <x v="16"/>
          </reference>
          <reference field="1" count="1">
            <x v="204"/>
          </reference>
        </references>
      </pivotArea>
    </format>
    <format dxfId="468">
      <pivotArea dataOnly="0" labelOnly="1" outline="0" fieldPosition="0">
        <references count="2">
          <reference field="0" count="1" selected="0">
            <x v="17"/>
          </reference>
          <reference field="1" count="1">
            <x v="199"/>
          </reference>
        </references>
      </pivotArea>
    </format>
    <format dxfId="467">
      <pivotArea dataOnly="0" labelOnly="1" outline="0" fieldPosition="0">
        <references count="2">
          <reference field="0" count="1" selected="0">
            <x v="18"/>
          </reference>
          <reference field="1" count="1">
            <x v="20"/>
          </reference>
        </references>
      </pivotArea>
    </format>
    <format dxfId="466">
      <pivotArea dataOnly="0" labelOnly="1" outline="0" fieldPosition="0">
        <references count="2">
          <reference field="0" count="1" selected="0">
            <x v="19"/>
          </reference>
          <reference field="1" count="1">
            <x v="97"/>
          </reference>
        </references>
      </pivotArea>
    </format>
    <format dxfId="465">
      <pivotArea dataOnly="0" labelOnly="1" outline="0" fieldPosition="0">
        <references count="2">
          <reference field="0" count="1" selected="0">
            <x v="20"/>
          </reference>
          <reference field="1" count="1">
            <x v="210"/>
          </reference>
        </references>
      </pivotArea>
    </format>
    <format dxfId="464">
      <pivotArea dataOnly="0" labelOnly="1" outline="0" fieldPosition="0">
        <references count="2">
          <reference field="0" count="1" selected="0">
            <x v="21"/>
          </reference>
          <reference field="1" count="1">
            <x v="92"/>
          </reference>
        </references>
      </pivotArea>
    </format>
    <format dxfId="463">
      <pivotArea dataOnly="0" labelOnly="1" outline="0" fieldPosition="0">
        <references count="2">
          <reference field="0" count="1" selected="0">
            <x v="22"/>
          </reference>
          <reference field="1" count="1">
            <x v="89"/>
          </reference>
        </references>
      </pivotArea>
    </format>
    <format dxfId="462">
      <pivotArea dataOnly="0" labelOnly="1" outline="0" fieldPosition="0">
        <references count="2">
          <reference field="0" count="1" selected="0">
            <x v="23"/>
          </reference>
          <reference field="1" count="1">
            <x v="88"/>
          </reference>
        </references>
      </pivotArea>
    </format>
    <format dxfId="461">
      <pivotArea dataOnly="0" labelOnly="1" outline="0" fieldPosition="0">
        <references count="2">
          <reference field="0" count="1" selected="0">
            <x v="24"/>
          </reference>
          <reference field="1" count="1">
            <x v="24"/>
          </reference>
        </references>
      </pivotArea>
    </format>
    <format dxfId="460">
      <pivotArea dataOnly="0" labelOnly="1" outline="0" fieldPosition="0">
        <references count="2">
          <reference field="0" count="1" selected="0">
            <x v="25"/>
          </reference>
          <reference field="1" count="1">
            <x v="127"/>
          </reference>
        </references>
      </pivotArea>
    </format>
    <format dxfId="459">
      <pivotArea dataOnly="0" labelOnly="1" outline="0" fieldPosition="0">
        <references count="2">
          <reference field="0" count="1" selected="0">
            <x v="26"/>
          </reference>
          <reference field="1" count="1">
            <x v="126"/>
          </reference>
        </references>
      </pivotArea>
    </format>
    <format dxfId="458">
      <pivotArea dataOnly="0" labelOnly="1" outline="0" fieldPosition="0">
        <references count="2">
          <reference field="0" count="1" selected="0">
            <x v="27"/>
          </reference>
          <reference field="1" count="1">
            <x v="29"/>
          </reference>
        </references>
      </pivotArea>
    </format>
    <format dxfId="457">
      <pivotArea dataOnly="0" labelOnly="1" outline="0" fieldPosition="0">
        <references count="2">
          <reference field="0" count="1" selected="0">
            <x v="28"/>
          </reference>
          <reference field="1" count="1">
            <x v="121"/>
          </reference>
        </references>
      </pivotArea>
    </format>
    <format dxfId="456">
      <pivotArea dataOnly="0" labelOnly="1" outline="0" fieldPosition="0">
        <references count="2">
          <reference field="0" count="1" selected="0">
            <x v="29"/>
          </reference>
          <reference field="1" count="1">
            <x v="177"/>
          </reference>
        </references>
      </pivotArea>
    </format>
    <format dxfId="455">
      <pivotArea dataOnly="0" labelOnly="1" outline="0" fieldPosition="0">
        <references count="2">
          <reference field="0" count="1" selected="0">
            <x v="30"/>
          </reference>
          <reference field="1" count="1">
            <x v="71"/>
          </reference>
        </references>
      </pivotArea>
    </format>
    <format dxfId="454">
      <pivotArea dataOnly="0" labelOnly="1" outline="0" fieldPosition="0">
        <references count="2">
          <reference field="0" count="1" selected="0">
            <x v="31"/>
          </reference>
          <reference field="1" count="1">
            <x v="155"/>
          </reference>
        </references>
      </pivotArea>
    </format>
    <format dxfId="453">
      <pivotArea dataOnly="0" labelOnly="1" outline="0" fieldPosition="0">
        <references count="2">
          <reference field="0" count="1" selected="0">
            <x v="32"/>
          </reference>
          <reference field="1" count="1">
            <x v="113"/>
          </reference>
        </references>
      </pivotArea>
    </format>
    <format dxfId="452">
      <pivotArea dataOnly="0" labelOnly="1" outline="0" fieldPosition="0">
        <references count="2">
          <reference field="0" count="1" selected="0">
            <x v="33"/>
          </reference>
          <reference field="1" count="1">
            <x v="15"/>
          </reference>
        </references>
      </pivotArea>
    </format>
    <format dxfId="451">
      <pivotArea dataOnly="0" labelOnly="1" outline="0" fieldPosition="0">
        <references count="2">
          <reference field="0" count="1" selected="0">
            <x v="34"/>
          </reference>
          <reference field="1" count="1">
            <x v="72"/>
          </reference>
        </references>
      </pivotArea>
    </format>
    <format dxfId="450">
      <pivotArea dataOnly="0" labelOnly="1" outline="0" fieldPosition="0">
        <references count="2">
          <reference field="0" count="1" selected="0">
            <x v="35"/>
          </reference>
          <reference field="1" count="1">
            <x v="115"/>
          </reference>
        </references>
      </pivotArea>
    </format>
    <format dxfId="449">
      <pivotArea dataOnly="0" labelOnly="1" outline="0" fieldPosition="0">
        <references count="2">
          <reference field="0" count="1" selected="0">
            <x v="36"/>
          </reference>
          <reference field="1" count="1">
            <x v="119"/>
          </reference>
        </references>
      </pivotArea>
    </format>
    <format dxfId="448">
      <pivotArea dataOnly="0" labelOnly="1" outline="0" fieldPosition="0">
        <references count="2">
          <reference field="0" count="1" selected="0">
            <x v="37"/>
          </reference>
          <reference field="1" count="1">
            <x v="117"/>
          </reference>
        </references>
      </pivotArea>
    </format>
    <format dxfId="447">
      <pivotArea dataOnly="0" labelOnly="1" outline="0" fieldPosition="0">
        <references count="2">
          <reference field="0" count="1" selected="0">
            <x v="38"/>
          </reference>
          <reference field="1" count="1">
            <x v="118"/>
          </reference>
        </references>
      </pivotArea>
    </format>
    <format dxfId="446">
      <pivotArea dataOnly="0" labelOnly="1" outline="0" fieldPosition="0">
        <references count="2">
          <reference field="0" count="1" selected="0">
            <x v="39"/>
          </reference>
          <reference field="1" count="1">
            <x v="134"/>
          </reference>
        </references>
      </pivotArea>
    </format>
    <format dxfId="445">
      <pivotArea dataOnly="0" labelOnly="1" outline="0" fieldPosition="0">
        <references count="2">
          <reference field="0" count="1" selected="0">
            <x v="40"/>
          </reference>
          <reference field="1" count="1">
            <x v="70"/>
          </reference>
        </references>
      </pivotArea>
    </format>
    <format dxfId="444">
      <pivotArea dataOnly="0" labelOnly="1" outline="0" fieldPosition="0">
        <references count="2">
          <reference field="0" count="1" selected="0">
            <x v="41"/>
          </reference>
          <reference field="1" count="1">
            <x v="128"/>
          </reference>
        </references>
      </pivotArea>
    </format>
    <format dxfId="443">
      <pivotArea dataOnly="0" labelOnly="1" outline="0" fieldPosition="0">
        <references count="2">
          <reference field="0" count="1" selected="0">
            <x v="42"/>
          </reference>
          <reference field="1" count="1">
            <x v="109"/>
          </reference>
        </references>
      </pivotArea>
    </format>
    <format dxfId="442">
      <pivotArea dataOnly="0" labelOnly="1" outline="0" fieldPosition="0">
        <references count="2">
          <reference field="0" count="1" selected="0">
            <x v="43"/>
          </reference>
          <reference field="1" count="1">
            <x v="108"/>
          </reference>
        </references>
      </pivotArea>
    </format>
    <format dxfId="441">
      <pivotArea dataOnly="0" labelOnly="1" outline="0" fieldPosition="0">
        <references count="2">
          <reference field="0" count="1" selected="0">
            <x v="44"/>
          </reference>
          <reference field="1" count="1">
            <x v="153"/>
          </reference>
        </references>
      </pivotArea>
    </format>
    <format dxfId="440">
      <pivotArea dataOnly="0" labelOnly="1" outline="0" fieldPosition="0">
        <references count="2">
          <reference field="0" count="1" selected="0">
            <x v="45"/>
          </reference>
          <reference field="1" count="1">
            <x v="32"/>
          </reference>
        </references>
      </pivotArea>
    </format>
    <format dxfId="439">
      <pivotArea dataOnly="0" labelOnly="1" outline="0" fieldPosition="0">
        <references count="2">
          <reference field="0" count="1" selected="0">
            <x v="46"/>
          </reference>
          <reference field="1" count="1">
            <x v="116"/>
          </reference>
        </references>
      </pivotArea>
    </format>
    <format dxfId="438">
      <pivotArea dataOnly="0" labelOnly="1" outline="0" fieldPosition="0">
        <references count="2">
          <reference field="0" count="1" selected="0">
            <x v="47"/>
          </reference>
          <reference field="1" count="1">
            <x v="175"/>
          </reference>
        </references>
      </pivotArea>
    </format>
    <format dxfId="437">
      <pivotArea dataOnly="0" labelOnly="1" outline="0" fieldPosition="0">
        <references count="2">
          <reference field="0" count="1" selected="0">
            <x v="48"/>
          </reference>
          <reference field="1" count="1">
            <x v="176"/>
          </reference>
        </references>
      </pivotArea>
    </format>
    <format dxfId="436">
      <pivotArea dataOnly="0" labelOnly="1" outline="0" fieldPosition="0">
        <references count="2">
          <reference field="0" count="1" selected="0">
            <x v="49"/>
          </reference>
          <reference field="1" count="1">
            <x v="204"/>
          </reference>
        </references>
      </pivotArea>
    </format>
    <format dxfId="435">
      <pivotArea dataOnly="0" labelOnly="1" outline="0" fieldPosition="0">
        <references count="2">
          <reference field="0" count="1" selected="0">
            <x v="50"/>
          </reference>
          <reference field="1" count="1">
            <x v="45"/>
          </reference>
        </references>
      </pivotArea>
    </format>
    <format dxfId="434">
      <pivotArea dataOnly="0" labelOnly="1" outline="0" fieldPosition="0">
        <references count="2">
          <reference field="0" count="1" selected="0">
            <x v="51"/>
          </reference>
          <reference field="1" count="1">
            <x v="99"/>
          </reference>
        </references>
      </pivotArea>
    </format>
    <format dxfId="433">
      <pivotArea dataOnly="0" labelOnly="1" outline="0" fieldPosition="0">
        <references count="2">
          <reference field="0" count="1" selected="0">
            <x v="52"/>
          </reference>
          <reference field="1" count="1">
            <x v="98"/>
          </reference>
        </references>
      </pivotArea>
    </format>
    <format dxfId="432">
      <pivotArea dataOnly="0" labelOnly="1" outline="0" fieldPosition="0">
        <references count="2">
          <reference field="0" count="1" selected="0">
            <x v="53"/>
          </reference>
          <reference field="1" count="1">
            <x v="150"/>
          </reference>
        </references>
      </pivotArea>
    </format>
    <format dxfId="431">
      <pivotArea dataOnly="0" labelOnly="1" outline="0" fieldPosition="0">
        <references count="2">
          <reference field="0" count="1" selected="0">
            <x v="54"/>
          </reference>
          <reference field="1" count="1">
            <x v="125"/>
          </reference>
        </references>
      </pivotArea>
    </format>
    <format dxfId="430">
      <pivotArea dataOnly="0" labelOnly="1" outline="0" fieldPosition="0">
        <references count="2">
          <reference field="0" count="1" selected="0">
            <x v="55"/>
          </reference>
          <reference field="1" count="1">
            <x v="76"/>
          </reference>
        </references>
      </pivotArea>
    </format>
    <format dxfId="429">
      <pivotArea dataOnly="0" labelOnly="1" outline="0" fieldPosition="0">
        <references count="2">
          <reference field="0" count="1" selected="0">
            <x v="56"/>
          </reference>
          <reference field="1" count="1">
            <x v="211"/>
          </reference>
        </references>
      </pivotArea>
    </format>
    <format dxfId="428">
      <pivotArea dataOnly="0" labelOnly="1" outline="0" fieldPosition="0">
        <references count="2">
          <reference field="0" count="1" selected="0">
            <x v="57"/>
          </reference>
          <reference field="1" count="1">
            <x v="37"/>
          </reference>
        </references>
      </pivotArea>
    </format>
    <format dxfId="427">
      <pivotArea dataOnly="0" labelOnly="1" outline="0" fieldPosition="0">
        <references count="2">
          <reference field="0" count="1" selected="0">
            <x v="58"/>
          </reference>
          <reference field="1" count="1">
            <x v="104"/>
          </reference>
        </references>
      </pivotArea>
    </format>
    <format dxfId="426">
      <pivotArea dataOnly="0" labelOnly="1" outline="0" fieldPosition="0">
        <references count="2">
          <reference field="0" count="1" selected="0">
            <x v="59"/>
          </reference>
          <reference field="1" count="1">
            <x v="22"/>
          </reference>
        </references>
      </pivotArea>
    </format>
    <format dxfId="425">
      <pivotArea dataOnly="0" labelOnly="1" outline="0" fieldPosition="0">
        <references count="2">
          <reference field="0" count="1" selected="0">
            <x v="60"/>
          </reference>
          <reference field="1" count="1">
            <x v="87"/>
          </reference>
        </references>
      </pivotArea>
    </format>
    <format dxfId="424">
      <pivotArea dataOnly="0" labelOnly="1" outline="0" fieldPosition="0">
        <references count="2">
          <reference field="0" count="1" selected="0">
            <x v="61"/>
          </reference>
          <reference field="1" count="1">
            <x v="142"/>
          </reference>
        </references>
      </pivotArea>
    </format>
    <format dxfId="423">
      <pivotArea dataOnly="0" labelOnly="1" outline="0" fieldPosition="0">
        <references count="2">
          <reference field="0" count="1" selected="0">
            <x v="62"/>
          </reference>
          <reference field="1" count="1">
            <x v="78"/>
          </reference>
        </references>
      </pivotArea>
    </format>
    <format dxfId="422">
      <pivotArea dataOnly="0" labelOnly="1" outline="0" fieldPosition="0">
        <references count="2">
          <reference field="0" count="1" selected="0">
            <x v="63"/>
          </reference>
          <reference field="1" count="1">
            <x v="124"/>
          </reference>
        </references>
      </pivotArea>
    </format>
    <format dxfId="421">
      <pivotArea dataOnly="0" labelOnly="1" outline="0" fieldPosition="0">
        <references count="2">
          <reference field="0" count="1" selected="0">
            <x v="64"/>
          </reference>
          <reference field="1" count="1">
            <x v="95"/>
          </reference>
        </references>
      </pivotArea>
    </format>
    <format dxfId="420">
      <pivotArea dataOnly="0" labelOnly="1" outline="0" fieldPosition="0">
        <references count="2">
          <reference field="0" count="1" selected="0">
            <x v="65"/>
          </reference>
          <reference field="1" count="1">
            <x v="19"/>
          </reference>
        </references>
      </pivotArea>
    </format>
    <format dxfId="419">
      <pivotArea dataOnly="0" labelOnly="1" outline="0" fieldPosition="0">
        <references count="2">
          <reference field="0" count="1" selected="0">
            <x v="66"/>
          </reference>
          <reference field="1" count="1">
            <x v="198"/>
          </reference>
        </references>
      </pivotArea>
    </format>
    <format dxfId="418">
      <pivotArea dataOnly="0" labelOnly="1" outline="0" fieldPosition="0">
        <references count="2">
          <reference field="0" count="1" selected="0">
            <x v="67"/>
          </reference>
          <reference field="1" count="1">
            <x v="172"/>
          </reference>
        </references>
      </pivotArea>
    </format>
    <format dxfId="417">
      <pivotArea dataOnly="0" labelOnly="1" outline="0" fieldPosition="0">
        <references count="2">
          <reference field="0" count="1" selected="0">
            <x v="68"/>
          </reference>
          <reference field="1" count="1">
            <x v="27"/>
          </reference>
        </references>
      </pivotArea>
    </format>
    <format dxfId="416">
      <pivotArea dataOnly="0" labelOnly="1" outline="0" fieldPosition="0">
        <references count="2">
          <reference field="0" count="1" selected="0">
            <x v="69"/>
          </reference>
          <reference field="1" count="1">
            <x v="173"/>
          </reference>
        </references>
      </pivotArea>
    </format>
    <format dxfId="415">
      <pivotArea dataOnly="0" labelOnly="1" outline="0" fieldPosition="0">
        <references count="2">
          <reference field="0" count="1" selected="0">
            <x v="70"/>
          </reference>
          <reference field="1" count="1">
            <x v="82"/>
          </reference>
        </references>
      </pivotArea>
    </format>
    <format dxfId="414">
      <pivotArea dataOnly="0" labelOnly="1" outline="0" fieldPosition="0">
        <references count="2">
          <reference field="0" count="1" selected="0">
            <x v="71"/>
          </reference>
          <reference field="1" count="1">
            <x v="83"/>
          </reference>
        </references>
      </pivotArea>
    </format>
    <format dxfId="413">
      <pivotArea dataOnly="0" labelOnly="1" outline="0" fieldPosition="0">
        <references count="2">
          <reference field="0" count="1" selected="0">
            <x v="72"/>
          </reference>
          <reference field="1" count="1">
            <x v="5"/>
          </reference>
        </references>
      </pivotArea>
    </format>
    <format dxfId="412">
      <pivotArea dataOnly="0" labelOnly="1" outline="0" fieldPosition="0">
        <references count="2">
          <reference field="0" count="1" selected="0">
            <x v="73"/>
          </reference>
          <reference field="1" count="1">
            <x v="4"/>
          </reference>
        </references>
      </pivotArea>
    </format>
    <format dxfId="411">
      <pivotArea dataOnly="0" labelOnly="1" outline="0" fieldPosition="0">
        <references count="2">
          <reference field="0" count="1" selected="0">
            <x v="74"/>
          </reference>
          <reference field="1" count="1">
            <x v="201"/>
          </reference>
        </references>
      </pivotArea>
    </format>
    <format dxfId="410">
      <pivotArea dataOnly="0" labelOnly="1" outline="0" fieldPosition="0">
        <references count="2">
          <reference field="0" count="1" selected="0">
            <x v="75"/>
          </reference>
          <reference field="1" count="1">
            <x v="28"/>
          </reference>
        </references>
      </pivotArea>
    </format>
    <format dxfId="409">
      <pivotArea dataOnly="0" labelOnly="1" outline="0" fieldPosition="0">
        <references count="2">
          <reference field="0" count="1" selected="0">
            <x v="76"/>
          </reference>
          <reference field="1" count="1">
            <x v="136"/>
          </reference>
        </references>
      </pivotArea>
    </format>
    <format dxfId="408">
      <pivotArea dataOnly="0" labelOnly="1" outline="0" fieldPosition="0">
        <references count="2">
          <reference field="0" count="1" selected="0">
            <x v="77"/>
          </reference>
          <reference field="1" count="1">
            <x v="137"/>
          </reference>
        </references>
      </pivotArea>
    </format>
    <format dxfId="407">
      <pivotArea dataOnly="0" labelOnly="1" outline="0" fieldPosition="0">
        <references count="2">
          <reference field="0" count="1" selected="0">
            <x v="78"/>
          </reference>
          <reference field="1" count="1">
            <x v="213"/>
          </reference>
        </references>
      </pivotArea>
    </format>
    <format dxfId="406">
      <pivotArea dataOnly="0" labelOnly="1" outline="0" fieldPosition="0">
        <references count="2">
          <reference field="0" count="1" selected="0">
            <x v="79"/>
          </reference>
          <reference field="1" count="1">
            <x v="73"/>
          </reference>
        </references>
      </pivotArea>
    </format>
    <format dxfId="405">
      <pivotArea dataOnly="0" labelOnly="1" outline="0" fieldPosition="0">
        <references count="2">
          <reference field="0" count="1" selected="0">
            <x v="80"/>
          </reference>
          <reference field="1" count="1">
            <x v="197"/>
          </reference>
        </references>
      </pivotArea>
    </format>
    <format dxfId="404">
      <pivotArea dataOnly="0" labelOnly="1" outline="0" fieldPosition="0">
        <references count="2">
          <reference field="0" count="1" selected="0">
            <x v="81"/>
          </reference>
          <reference field="1" count="1">
            <x v="214"/>
          </reference>
        </references>
      </pivotArea>
    </format>
    <format dxfId="403">
      <pivotArea dataOnly="0" labelOnly="1" outline="0" fieldPosition="0">
        <references count="2">
          <reference field="0" count="1" selected="0">
            <x v="82"/>
          </reference>
          <reference field="1" count="1">
            <x v="6"/>
          </reference>
        </references>
      </pivotArea>
    </format>
    <format dxfId="402">
      <pivotArea dataOnly="0" labelOnly="1" outline="0" fieldPosition="0">
        <references count="2">
          <reference field="0" count="1" selected="0">
            <x v="83"/>
          </reference>
          <reference field="1" count="1">
            <x v="207"/>
          </reference>
        </references>
      </pivotArea>
    </format>
    <format dxfId="401">
      <pivotArea dataOnly="0" labelOnly="1" outline="0" fieldPosition="0">
        <references count="2">
          <reference field="0" count="1" selected="0">
            <x v="84"/>
          </reference>
          <reference field="1" count="1">
            <x v="149"/>
          </reference>
        </references>
      </pivotArea>
    </format>
    <format dxfId="400">
      <pivotArea dataOnly="0" labelOnly="1" outline="0" fieldPosition="0">
        <references count="2">
          <reference field="0" count="1" selected="0">
            <x v="85"/>
          </reference>
          <reference field="1" count="1">
            <x v="31"/>
          </reference>
        </references>
      </pivotArea>
    </format>
    <format dxfId="399">
      <pivotArea dataOnly="0" labelOnly="1" outline="0" fieldPosition="0">
        <references count="2">
          <reference field="0" count="1" selected="0">
            <x v="86"/>
          </reference>
          <reference field="1" count="1">
            <x v="84"/>
          </reference>
        </references>
      </pivotArea>
    </format>
    <format dxfId="398">
      <pivotArea dataOnly="0" labelOnly="1" outline="0" fieldPosition="0">
        <references count="2">
          <reference field="0" count="1" selected="0">
            <x v="87"/>
          </reference>
          <reference field="1" count="1">
            <x v="85"/>
          </reference>
        </references>
      </pivotArea>
    </format>
    <format dxfId="397">
      <pivotArea dataOnly="0" labelOnly="1" outline="0" fieldPosition="0">
        <references count="2">
          <reference field="0" count="1" selected="0">
            <x v="88"/>
          </reference>
          <reference field="1" count="1">
            <x v="74"/>
          </reference>
        </references>
      </pivotArea>
    </format>
    <format dxfId="396">
      <pivotArea dataOnly="0" labelOnly="1" outline="0" fieldPosition="0">
        <references count="2">
          <reference field="0" count="1" selected="0">
            <x v="89"/>
          </reference>
          <reference field="1" count="1">
            <x v="90"/>
          </reference>
        </references>
      </pivotArea>
    </format>
    <format dxfId="395">
      <pivotArea dataOnly="0" labelOnly="1" outline="0" fieldPosition="0">
        <references count="2">
          <reference field="0" count="1" selected="0">
            <x v="90"/>
          </reference>
          <reference field="1" count="1">
            <x v="9"/>
          </reference>
        </references>
      </pivotArea>
    </format>
    <format dxfId="394">
      <pivotArea dataOnly="0" labelOnly="1" outline="0" fieldPosition="0">
        <references count="2">
          <reference field="0" count="1" selected="0">
            <x v="91"/>
          </reference>
          <reference field="1" count="1">
            <x v="10"/>
          </reference>
        </references>
      </pivotArea>
    </format>
    <format dxfId="393">
      <pivotArea dataOnly="0" labelOnly="1" outline="0" fieldPosition="0">
        <references count="2">
          <reference field="0" count="1" selected="0">
            <x v="92"/>
          </reference>
          <reference field="1" count="1">
            <x v="208"/>
          </reference>
        </references>
      </pivotArea>
    </format>
    <format dxfId="392">
      <pivotArea dataOnly="0" labelOnly="1" outline="0" fieldPosition="0">
        <references count="2">
          <reference field="0" count="1" selected="0">
            <x v="93"/>
          </reference>
          <reference field="1" count="1">
            <x v="91"/>
          </reference>
        </references>
      </pivotArea>
    </format>
    <format dxfId="391">
      <pivotArea dataOnly="0" labelOnly="1" outline="0" fieldPosition="0">
        <references count="2">
          <reference field="0" count="1" selected="0">
            <x v="94"/>
          </reference>
          <reference field="1" count="1">
            <x v="174"/>
          </reference>
        </references>
      </pivotArea>
    </format>
    <format dxfId="390">
      <pivotArea dataOnly="0" labelOnly="1" outline="0" fieldPosition="0">
        <references count="2">
          <reference field="0" count="1" selected="0">
            <x v="95"/>
          </reference>
          <reference field="1" count="1">
            <x v="171"/>
          </reference>
        </references>
      </pivotArea>
    </format>
    <format dxfId="389">
      <pivotArea dataOnly="0" labelOnly="1" outline="0" fieldPosition="0">
        <references count="2">
          <reference field="0" count="1" selected="0">
            <x v="96"/>
          </reference>
          <reference field="1" count="1">
            <x v="170"/>
          </reference>
        </references>
      </pivotArea>
    </format>
    <format dxfId="388">
      <pivotArea dataOnly="0" labelOnly="1" outline="0" fieldPosition="0">
        <references count="2">
          <reference field="0" count="1" selected="0">
            <x v="97"/>
          </reference>
          <reference field="1" count="1">
            <x v="195"/>
          </reference>
        </references>
      </pivotArea>
    </format>
    <format dxfId="387">
      <pivotArea dataOnly="0" labelOnly="1" outline="0" fieldPosition="0">
        <references count="2">
          <reference field="0" count="1" selected="0">
            <x v="98"/>
          </reference>
          <reference field="1" count="1">
            <x v="36"/>
          </reference>
        </references>
      </pivotArea>
    </format>
    <format dxfId="386">
      <pivotArea dataOnly="0" labelOnly="1" outline="0" fieldPosition="0">
        <references count="2">
          <reference field="0" count="1" selected="0">
            <x v="99"/>
          </reference>
          <reference field="1" count="1">
            <x v="12"/>
          </reference>
        </references>
      </pivotArea>
    </format>
    <format dxfId="385">
      <pivotArea dataOnly="0" labelOnly="1" outline="0" fieldPosition="0">
        <references count="2">
          <reference field="0" count="1" selected="0">
            <x v="100"/>
          </reference>
          <reference field="1" count="1">
            <x v="38"/>
          </reference>
        </references>
      </pivotArea>
    </format>
    <format dxfId="384">
      <pivotArea dataOnly="0" labelOnly="1" outline="0" fieldPosition="0">
        <references count="2">
          <reference field="0" count="1" selected="0">
            <x v="101"/>
          </reference>
          <reference field="1" count="1">
            <x v="148"/>
          </reference>
        </references>
      </pivotArea>
    </format>
    <format dxfId="383">
      <pivotArea dataOnly="0" labelOnly="1" outline="0" fieldPosition="0">
        <references count="2">
          <reference field="0" count="1" selected="0">
            <x v="102"/>
          </reference>
          <reference field="1" count="1">
            <x v="194"/>
          </reference>
        </references>
      </pivotArea>
    </format>
    <format dxfId="382">
      <pivotArea dataOnly="0" labelOnly="1" outline="0" fieldPosition="0">
        <references count="2">
          <reference field="0" count="1" selected="0">
            <x v="103"/>
          </reference>
          <reference field="1" count="1">
            <x v="154"/>
          </reference>
        </references>
      </pivotArea>
    </format>
    <format dxfId="381">
      <pivotArea dataOnly="0" labelOnly="1" outline="0" fieldPosition="0">
        <references count="2">
          <reference field="0" count="1" selected="0">
            <x v="104"/>
          </reference>
          <reference field="1" count="1">
            <x v="103"/>
          </reference>
        </references>
      </pivotArea>
    </format>
    <format dxfId="380">
      <pivotArea dataOnly="0" labelOnly="1" outline="0" fieldPosition="0">
        <references count="2">
          <reference field="0" count="1" selected="0">
            <x v="105"/>
          </reference>
          <reference field="1" count="1">
            <x v="96"/>
          </reference>
        </references>
      </pivotArea>
    </format>
    <format dxfId="379">
      <pivotArea dataOnly="0" labelOnly="1" outline="0" fieldPosition="0">
        <references count="2">
          <reference field="0" count="1" selected="0">
            <x v="106"/>
          </reference>
          <reference field="1" count="1">
            <x v="141"/>
          </reference>
        </references>
      </pivotArea>
    </format>
    <format dxfId="378">
      <pivotArea dataOnly="0" labelOnly="1" outline="0" fieldPosition="0">
        <references count="2">
          <reference field="0" count="1" selected="0">
            <x v="107"/>
          </reference>
          <reference field="1" count="1">
            <x v="86"/>
          </reference>
        </references>
      </pivotArea>
    </format>
    <format dxfId="377">
      <pivotArea dataOnly="0" labelOnly="1" outline="0" fieldPosition="0">
        <references count="2">
          <reference field="0" count="1" selected="0">
            <x v="108"/>
          </reference>
          <reference field="1" count="1">
            <x v="40"/>
          </reference>
        </references>
      </pivotArea>
    </format>
    <format dxfId="376">
      <pivotArea dataOnly="0" labelOnly="1" outline="0" fieldPosition="0">
        <references count="2">
          <reference field="0" count="1" selected="0">
            <x v="109"/>
          </reference>
          <reference field="1" count="1">
            <x v="33"/>
          </reference>
        </references>
      </pivotArea>
    </format>
    <format dxfId="375">
      <pivotArea dataOnly="0" labelOnly="1" outline="0" fieldPosition="0">
        <references count="2">
          <reference field="0" count="1" selected="0">
            <x v="110"/>
          </reference>
          <reference field="1" count="1">
            <x v="17"/>
          </reference>
        </references>
      </pivotArea>
    </format>
    <format dxfId="374">
      <pivotArea dataOnly="0" labelOnly="1" outline="0" fieldPosition="0">
        <references count="2">
          <reference field="0" count="1" selected="0">
            <x v="111"/>
          </reference>
          <reference field="1" count="1">
            <x v="112"/>
          </reference>
        </references>
      </pivotArea>
    </format>
    <format dxfId="373">
      <pivotArea dataOnly="0" labelOnly="1" outline="0" fieldPosition="0">
        <references count="2">
          <reference field="0" count="1" selected="0">
            <x v="112"/>
          </reference>
          <reference field="1" count="1">
            <x v="14"/>
          </reference>
        </references>
      </pivotArea>
    </format>
    <format dxfId="372">
      <pivotArea dataOnly="0" labelOnly="1" outline="0" fieldPosition="0">
        <references count="2">
          <reference field="0" count="1" selected="0">
            <x v="113"/>
          </reference>
          <reference field="1" count="1">
            <x v="151"/>
          </reference>
        </references>
      </pivotArea>
    </format>
    <format dxfId="371">
      <pivotArea dataOnly="0" labelOnly="1" outline="0" fieldPosition="0">
        <references count="2">
          <reference field="0" count="1" selected="0">
            <x v="114"/>
          </reference>
          <reference field="1" count="1">
            <x v="138"/>
          </reference>
        </references>
      </pivotArea>
    </format>
    <format dxfId="370">
      <pivotArea dataOnly="0" labelOnly="1" outline="0" fieldPosition="0">
        <references count="2">
          <reference field="0" count="1" selected="0">
            <x v="115"/>
          </reference>
          <reference field="1" count="1">
            <x v="44"/>
          </reference>
        </references>
      </pivotArea>
    </format>
    <format dxfId="369">
      <pivotArea dataOnly="0" labelOnly="1" outline="0" fieldPosition="0">
        <references count="2">
          <reference field="0" count="1" selected="0">
            <x v="116"/>
          </reference>
          <reference field="1" count="1">
            <x v="111"/>
          </reference>
        </references>
      </pivotArea>
    </format>
    <format dxfId="368">
      <pivotArea dataOnly="0" labelOnly="1" outline="0" fieldPosition="0">
        <references count="2">
          <reference field="0" count="1" selected="0">
            <x v="117"/>
          </reference>
          <reference field="1" count="1">
            <x v="77"/>
          </reference>
        </references>
      </pivotArea>
    </format>
    <format dxfId="367">
      <pivotArea dataOnly="0" labelOnly="1" outline="0" fieldPosition="0">
        <references count="2">
          <reference field="0" count="1" selected="0">
            <x v="118"/>
          </reference>
          <reference field="1" count="1">
            <x v="21"/>
          </reference>
        </references>
      </pivotArea>
    </format>
    <format dxfId="366">
      <pivotArea dataOnly="0" labelOnly="1" outline="0" fieldPosition="0">
        <references count="2">
          <reference field="0" count="1" selected="0">
            <x v="119"/>
          </reference>
          <reference field="1" count="1">
            <x v="200"/>
          </reference>
        </references>
      </pivotArea>
    </format>
    <format dxfId="365">
      <pivotArea dataOnly="0" labelOnly="1" outline="0" fieldPosition="0">
        <references count="2">
          <reference field="0" count="1" selected="0">
            <x v="120"/>
          </reference>
          <reference field="1" count="1">
            <x v="114"/>
          </reference>
        </references>
      </pivotArea>
    </format>
    <format dxfId="364">
      <pivotArea dataOnly="0" labelOnly="1" outline="0" fieldPosition="0">
        <references count="2">
          <reference field="0" count="1" selected="0">
            <x v="121"/>
          </reference>
          <reference field="1" count="1">
            <x v="102"/>
          </reference>
        </references>
      </pivotArea>
    </format>
    <format dxfId="363">
      <pivotArea dataOnly="0" labelOnly="1" outline="0" fieldPosition="0">
        <references count="2">
          <reference field="0" count="1" selected="0">
            <x v="122"/>
          </reference>
          <reference field="1" count="1">
            <x v="209"/>
          </reference>
        </references>
      </pivotArea>
    </format>
    <format dxfId="362">
      <pivotArea dataOnly="0" labelOnly="1" outline="0" fieldPosition="0">
        <references count="2">
          <reference field="0" count="1" selected="0">
            <x v="123"/>
          </reference>
          <reference field="1" count="1">
            <x v="23"/>
          </reference>
        </references>
      </pivotArea>
    </format>
    <format dxfId="361">
      <pivotArea dataOnly="0" labelOnly="1" outline="0" fieldPosition="0">
        <references count="2">
          <reference field="0" count="1" selected="0">
            <x v="124"/>
          </reference>
          <reference field="1" count="1">
            <x v="75"/>
          </reference>
        </references>
      </pivotArea>
    </format>
    <format dxfId="360">
      <pivotArea dataOnly="0" labelOnly="1" outline="0" fieldPosition="0">
        <references count="2">
          <reference field="0" count="1" selected="0">
            <x v="125"/>
          </reference>
          <reference field="1" count="1">
            <x v="13"/>
          </reference>
        </references>
      </pivotArea>
    </format>
    <format dxfId="359">
      <pivotArea dataOnly="0" labelOnly="1" outline="0" fieldPosition="0">
        <references count="2">
          <reference field="0" count="1" selected="0">
            <x v="126"/>
          </reference>
          <reference field="1" count="1">
            <x v="143"/>
          </reference>
        </references>
      </pivotArea>
    </format>
    <format dxfId="358">
      <pivotArea dataOnly="0" labelOnly="1" outline="0" fieldPosition="0">
        <references count="2">
          <reference field="0" count="1" selected="0">
            <x v="127"/>
          </reference>
          <reference field="1" count="1">
            <x v="93"/>
          </reference>
        </references>
      </pivotArea>
    </format>
    <format dxfId="357">
      <pivotArea dataOnly="0" labelOnly="1" outline="0" fieldPosition="0">
        <references count="2">
          <reference field="0" count="1" selected="0">
            <x v="128"/>
          </reference>
          <reference field="1" count="1">
            <x v="196"/>
          </reference>
        </references>
      </pivotArea>
    </format>
    <format dxfId="356">
      <pivotArea dataOnly="0" labelOnly="1" outline="0" fieldPosition="0">
        <references count="2">
          <reference field="0" count="1" selected="0">
            <x v="129"/>
          </reference>
          <reference field="1" count="1">
            <x v="16"/>
          </reference>
        </references>
      </pivotArea>
    </format>
    <format dxfId="355">
      <pivotArea dataOnly="0" labelOnly="1" outline="0" fieldPosition="0">
        <references count="2">
          <reference field="0" count="1" selected="0">
            <x v="130"/>
          </reference>
          <reference field="1" count="1">
            <x v="147"/>
          </reference>
        </references>
      </pivotArea>
    </format>
    <format dxfId="354">
      <pivotArea dataOnly="0" labelOnly="1" outline="0" fieldPosition="0">
        <references count="2">
          <reference field="0" count="1" selected="0">
            <x v="131"/>
          </reference>
          <reference field="1" count="1">
            <x v="212"/>
          </reference>
        </references>
      </pivotArea>
    </format>
    <format dxfId="353">
      <pivotArea dataOnly="0" labelOnly="1" outline="0" fieldPosition="0">
        <references count="2">
          <reference field="0" count="1" selected="0">
            <x v="132"/>
          </reference>
          <reference field="1" count="1">
            <x v="101"/>
          </reference>
        </references>
      </pivotArea>
    </format>
    <format dxfId="352">
      <pivotArea dataOnly="0" labelOnly="1" outline="0" fieldPosition="0">
        <references count="2">
          <reference field="0" count="1" selected="0">
            <x v="133"/>
          </reference>
          <reference field="1" count="1">
            <x v="39"/>
          </reference>
        </references>
      </pivotArea>
    </format>
    <format dxfId="351">
      <pivotArea dataOnly="0" labelOnly="1" outline="0" fieldPosition="0">
        <references count="2">
          <reference field="0" count="1" selected="0">
            <x v="134"/>
          </reference>
          <reference field="1" count="1">
            <x v="67"/>
          </reference>
        </references>
      </pivotArea>
    </format>
    <format dxfId="350">
      <pivotArea dataOnly="0" labelOnly="1" outline="0" fieldPosition="0">
        <references count="2">
          <reference field="0" count="1" selected="0">
            <x v="135"/>
          </reference>
          <reference field="1" count="1">
            <x v="120"/>
          </reference>
        </references>
      </pivotArea>
    </format>
    <format dxfId="349">
      <pivotArea dataOnly="0" labelOnly="1" outline="0" fieldPosition="0">
        <references count="2">
          <reference field="0" count="1" selected="0">
            <x v="136"/>
          </reference>
          <reference field="1" count="1">
            <x v="203"/>
          </reference>
        </references>
      </pivotArea>
    </format>
    <format dxfId="348">
      <pivotArea dataOnly="0" labelOnly="1" outline="0" fieldPosition="0">
        <references count="2">
          <reference field="0" count="1" selected="0">
            <x v="137"/>
          </reference>
          <reference field="1" count="1">
            <x v="178"/>
          </reference>
        </references>
      </pivotArea>
    </format>
    <format dxfId="347">
      <pivotArea dataOnly="0" labelOnly="1" outline="0" fieldPosition="0">
        <references count="2">
          <reference field="0" count="1" selected="0">
            <x v="138"/>
          </reference>
          <reference field="1" count="1">
            <x v="106"/>
          </reference>
        </references>
      </pivotArea>
    </format>
    <format dxfId="346">
      <pivotArea dataOnly="0" labelOnly="1" outline="0" fieldPosition="0">
        <references count="2">
          <reference field="0" count="1" selected="0">
            <x v="139"/>
          </reference>
          <reference field="1" count="1">
            <x v="107"/>
          </reference>
        </references>
      </pivotArea>
    </format>
    <format dxfId="345">
      <pivotArea dataOnly="0" labelOnly="1" outline="0" fieldPosition="0">
        <references count="2">
          <reference field="0" count="1" selected="0">
            <x v="140"/>
          </reference>
          <reference field="1" count="1">
            <x v="105"/>
          </reference>
        </references>
      </pivotArea>
    </format>
    <format dxfId="344">
      <pivotArea dataOnly="0" labelOnly="1" outline="0" fieldPosition="0">
        <references count="2">
          <reference field="0" count="1" selected="0">
            <x v="141"/>
          </reference>
          <reference field="1" count="1">
            <x v="48"/>
          </reference>
        </references>
      </pivotArea>
    </format>
    <format dxfId="343">
      <pivotArea dataOnly="0" labelOnly="1" outline="0" fieldPosition="0">
        <references count="2">
          <reference field="0" count="1" selected="0">
            <x v="142"/>
          </reference>
          <reference field="1" count="1">
            <x v="46"/>
          </reference>
        </references>
      </pivotArea>
    </format>
    <format dxfId="342">
      <pivotArea dataOnly="0" labelOnly="1" outline="0" fieldPosition="0">
        <references count="2">
          <reference field="0" count="1" selected="0">
            <x v="143"/>
          </reference>
          <reference field="1" count="1">
            <x v="47"/>
          </reference>
        </references>
      </pivotArea>
    </format>
    <format dxfId="341">
      <pivotArea dataOnly="0" labelOnly="1" outline="0" fieldPosition="0">
        <references count="2">
          <reference field="0" count="1" selected="0">
            <x v="144"/>
          </reference>
          <reference field="1" count="1">
            <x v="52"/>
          </reference>
        </references>
      </pivotArea>
    </format>
    <format dxfId="340">
      <pivotArea dataOnly="0" labelOnly="1" outline="0" fieldPosition="0">
        <references count="2">
          <reference field="0" count="1" selected="0">
            <x v="145"/>
          </reference>
          <reference field="1" count="1">
            <x v="59"/>
          </reference>
        </references>
      </pivotArea>
    </format>
    <format dxfId="339">
      <pivotArea dataOnly="0" labelOnly="1" outline="0" fieldPosition="0">
        <references count="2">
          <reference field="0" count="1" selected="0">
            <x v="146"/>
          </reference>
          <reference field="1" count="1">
            <x v="64"/>
          </reference>
        </references>
      </pivotArea>
    </format>
    <format dxfId="338">
      <pivotArea dataOnly="0" labelOnly="1" outline="0" fieldPosition="0">
        <references count="2">
          <reference field="0" count="1" selected="0">
            <x v="147"/>
          </reference>
          <reference field="1" count="1">
            <x v="56"/>
          </reference>
        </references>
      </pivotArea>
    </format>
    <format dxfId="337">
      <pivotArea dataOnly="0" labelOnly="1" outline="0" fieldPosition="0">
        <references count="2">
          <reference field="0" count="1" selected="0">
            <x v="148"/>
          </reference>
          <reference field="1" count="1">
            <x v="63"/>
          </reference>
        </references>
      </pivotArea>
    </format>
    <format dxfId="336">
      <pivotArea dataOnly="0" labelOnly="1" outline="0" fieldPosition="0">
        <references count="2">
          <reference field="0" count="1" selected="0">
            <x v="149"/>
          </reference>
          <reference field="1" count="1">
            <x v="62"/>
          </reference>
        </references>
      </pivotArea>
    </format>
    <format dxfId="335">
      <pivotArea dataOnly="0" labelOnly="1" outline="0" fieldPosition="0">
        <references count="2">
          <reference field="0" count="1" selected="0">
            <x v="150"/>
          </reference>
          <reference field="1" count="1">
            <x v="55"/>
          </reference>
        </references>
      </pivotArea>
    </format>
    <format dxfId="334">
      <pivotArea dataOnly="0" labelOnly="1" outline="0" fieldPosition="0">
        <references count="2">
          <reference field="0" count="1" selected="0">
            <x v="151"/>
          </reference>
          <reference field="1" count="1">
            <x v="57"/>
          </reference>
        </references>
      </pivotArea>
    </format>
    <format dxfId="333">
      <pivotArea dataOnly="0" labelOnly="1" outline="0" fieldPosition="0">
        <references count="2">
          <reference field="0" count="1" selected="0">
            <x v="152"/>
          </reference>
          <reference field="1" count="1">
            <x v="54"/>
          </reference>
        </references>
      </pivotArea>
    </format>
    <format dxfId="332">
      <pivotArea dataOnly="0" labelOnly="1" outline="0" fieldPosition="0">
        <references count="2">
          <reference field="0" count="1" selected="0">
            <x v="153"/>
          </reference>
          <reference field="1" count="1">
            <x v="53"/>
          </reference>
        </references>
      </pivotArea>
    </format>
    <format dxfId="331">
      <pivotArea dataOnly="0" labelOnly="1" outline="0" fieldPosition="0">
        <references count="2">
          <reference field="0" count="1" selected="0">
            <x v="154"/>
          </reference>
          <reference field="1" count="1">
            <x v="61"/>
          </reference>
        </references>
      </pivotArea>
    </format>
    <format dxfId="330">
      <pivotArea dataOnly="0" labelOnly="1" outline="0" fieldPosition="0">
        <references count="2">
          <reference field="0" count="1" selected="0">
            <x v="155"/>
          </reference>
          <reference field="1" count="1">
            <x v="58"/>
          </reference>
        </references>
      </pivotArea>
    </format>
    <format dxfId="329">
      <pivotArea dataOnly="0" labelOnly="1" outline="0" fieldPosition="0">
        <references count="2">
          <reference field="0" count="1" selected="0">
            <x v="156"/>
          </reference>
          <reference field="1" count="1">
            <x v="60"/>
          </reference>
        </references>
      </pivotArea>
    </format>
    <format dxfId="328">
      <pivotArea dataOnly="0" labelOnly="1" outline="0" fieldPosition="0">
        <references count="2">
          <reference field="0" count="1" selected="0">
            <x v="157"/>
          </reference>
          <reference field="1" count="1">
            <x v="51"/>
          </reference>
        </references>
      </pivotArea>
    </format>
    <format dxfId="327">
      <pivotArea dataOnly="0" labelOnly="1" outline="0" fieldPosition="0">
        <references count="2">
          <reference field="0" count="1" selected="0">
            <x v="158"/>
          </reference>
          <reference field="1" count="1">
            <x v="49"/>
          </reference>
        </references>
      </pivotArea>
    </format>
    <format dxfId="326">
      <pivotArea dataOnly="0" labelOnly="1" outline="0" fieldPosition="0">
        <references count="2">
          <reference field="0" count="1" selected="0">
            <x v="159"/>
          </reference>
          <reference field="1" count="1">
            <x v="50"/>
          </reference>
        </references>
      </pivotArea>
    </format>
    <format dxfId="325">
      <pivotArea dataOnly="0" labelOnly="1" outline="0" fieldPosition="0">
        <references count="2">
          <reference field="0" count="1" selected="0">
            <x v="160"/>
          </reference>
          <reference field="1" count="1">
            <x v="65"/>
          </reference>
        </references>
      </pivotArea>
    </format>
    <format dxfId="324">
      <pivotArea dataOnly="0" labelOnly="1" outline="0" fieldPosition="0">
        <references count="2">
          <reference field="0" count="1" selected="0">
            <x v="161"/>
          </reference>
          <reference field="1" count="1">
            <x v="41"/>
          </reference>
        </references>
      </pivotArea>
    </format>
    <format dxfId="323">
      <pivotArea dataOnly="0" labelOnly="1" outline="0" fieldPosition="0">
        <references count="2">
          <reference field="0" count="1" selected="0">
            <x v="162"/>
          </reference>
          <reference field="1" count="1">
            <x v="43"/>
          </reference>
        </references>
      </pivotArea>
    </format>
    <format dxfId="322">
      <pivotArea dataOnly="0" labelOnly="1" outline="0" fieldPosition="0">
        <references count="2">
          <reference field="0" count="1" selected="0">
            <x v="163"/>
          </reference>
          <reference field="1" count="1">
            <x v="42"/>
          </reference>
        </references>
      </pivotArea>
    </format>
    <format dxfId="321">
      <pivotArea dataOnly="0" labelOnly="1" outline="0" fieldPosition="0">
        <references count="2">
          <reference field="0" count="1" selected="0">
            <x v="164"/>
          </reference>
          <reference field="1" count="1">
            <x v="100"/>
          </reference>
        </references>
      </pivotArea>
    </format>
    <format dxfId="320">
      <pivotArea dataOnly="0" labelOnly="1" outline="0" fieldPosition="0">
        <references count="2">
          <reference field="0" count="1" selected="0">
            <x v="165"/>
          </reference>
          <reference field="1" count="1">
            <x v="129"/>
          </reference>
        </references>
      </pivotArea>
    </format>
    <format dxfId="319">
      <pivotArea dataOnly="0" labelOnly="1" outline="0" fieldPosition="0">
        <references count="2">
          <reference field="0" count="1" selected="0">
            <x v="166"/>
          </reference>
          <reference field="1" count="1">
            <x v="7"/>
          </reference>
        </references>
      </pivotArea>
    </format>
    <format dxfId="318">
      <pivotArea dataOnly="0" labelOnly="1" outline="0" fieldPosition="0">
        <references count="2">
          <reference field="0" count="1" selected="0">
            <x v="167"/>
          </reference>
          <reference field="1" count="1">
            <x v="8"/>
          </reference>
        </references>
      </pivotArea>
    </format>
    <format dxfId="317">
      <pivotArea dataOnly="0" labelOnly="1" outline="0" fieldPosition="0">
        <references count="2">
          <reference field="0" count="1" selected="0">
            <x v="168"/>
          </reference>
          <reference field="1" count="1">
            <x v="94"/>
          </reference>
        </references>
      </pivotArea>
    </format>
    <format dxfId="316">
      <pivotArea dataOnly="0" labelOnly="1" outline="0" fieldPosition="0">
        <references count="2">
          <reference field="0" count="1" selected="0">
            <x v="169"/>
          </reference>
          <reference field="1" count="1">
            <x v="69"/>
          </reference>
        </references>
      </pivotArea>
    </format>
    <format dxfId="315">
      <pivotArea dataOnly="0" labelOnly="1" outline="0" fieldPosition="0">
        <references count="2">
          <reference field="0" count="1" selected="0">
            <x v="170"/>
          </reference>
          <reference field="1" count="1">
            <x v="68"/>
          </reference>
        </references>
      </pivotArea>
    </format>
    <format dxfId="314">
      <pivotArea dataOnly="0" labelOnly="1" outline="0" fieldPosition="0">
        <references count="2">
          <reference field="0" count="1" selected="0">
            <x v="171"/>
          </reference>
          <reference field="1" count="1">
            <x v="34"/>
          </reference>
        </references>
      </pivotArea>
    </format>
    <format dxfId="313">
      <pivotArea dataOnly="0" labelOnly="1" outline="0" fieldPosition="0">
        <references count="2">
          <reference field="0" count="1" selected="0">
            <x v="172"/>
          </reference>
          <reference field="1" count="1">
            <x v="35"/>
          </reference>
        </references>
      </pivotArea>
    </format>
    <format dxfId="312">
      <pivotArea dataOnly="0" labelOnly="1" outline="0" fieldPosition="0">
        <references count="2">
          <reference field="0" count="1" selected="0">
            <x v="173"/>
          </reference>
          <reference field="1" count="1">
            <x v="18"/>
          </reference>
        </references>
      </pivotArea>
    </format>
    <format dxfId="311">
      <pivotArea dataOnly="0" labelOnly="1" outline="0" fieldPosition="0">
        <references count="2">
          <reference field="0" count="1" selected="0">
            <x v="174"/>
          </reference>
          <reference field="1" count="1">
            <x v="156"/>
          </reference>
        </references>
      </pivotArea>
    </format>
    <format dxfId="310">
      <pivotArea dataOnly="0" labelOnly="1" outline="0" fieldPosition="0">
        <references count="2">
          <reference field="0" count="1" selected="0">
            <x v="175"/>
          </reference>
          <reference field="1" count="1">
            <x v="165"/>
          </reference>
        </references>
      </pivotArea>
    </format>
    <format dxfId="309">
      <pivotArea dataOnly="0" labelOnly="1" outline="0" fieldPosition="0">
        <references count="2">
          <reference field="0" count="1" selected="0">
            <x v="176"/>
          </reference>
          <reference field="1" count="1">
            <x v="159"/>
          </reference>
        </references>
      </pivotArea>
    </format>
    <format dxfId="308">
      <pivotArea dataOnly="0" labelOnly="1" outline="0" fieldPosition="0">
        <references count="2">
          <reference field="0" count="1" selected="0">
            <x v="177"/>
          </reference>
          <reference field="1" count="1">
            <x v="169"/>
          </reference>
        </references>
      </pivotArea>
    </format>
    <format dxfId="307">
      <pivotArea dataOnly="0" labelOnly="1" outline="0" fieldPosition="0">
        <references count="2">
          <reference field="0" count="1" selected="0">
            <x v="178"/>
          </reference>
          <reference field="1" count="1">
            <x v="167"/>
          </reference>
        </references>
      </pivotArea>
    </format>
    <format dxfId="306">
      <pivotArea dataOnly="0" labelOnly="1" outline="0" fieldPosition="0">
        <references count="2">
          <reference field="0" count="1" selected="0">
            <x v="179"/>
          </reference>
          <reference field="1" count="1">
            <x v="163"/>
          </reference>
        </references>
      </pivotArea>
    </format>
    <format dxfId="305">
      <pivotArea dataOnly="0" labelOnly="1" outline="0" fieldPosition="0">
        <references count="2">
          <reference field="0" count="1" selected="0">
            <x v="180"/>
          </reference>
          <reference field="1" count="1">
            <x v="168"/>
          </reference>
        </references>
      </pivotArea>
    </format>
    <format dxfId="304">
      <pivotArea dataOnly="0" labelOnly="1" outline="0" fieldPosition="0">
        <references count="2">
          <reference field="0" count="1" selected="0">
            <x v="181"/>
          </reference>
          <reference field="1" count="1">
            <x v="162"/>
          </reference>
        </references>
      </pivotArea>
    </format>
    <format dxfId="303">
      <pivotArea dataOnly="0" labelOnly="1" outline="0" fieldPosition="0">
        <references count="2">
          <reference field="0" count="1" selected="0">
            <x v="182"/>
          </reference>
          <reference field="1" count="1">
            <x v="157"/>
          </reference>
        </references>
      </pivotArea>
    </format>
    <format dxfId="302">
      <pivotArea dataOnly="0" labelOnly="1" outline="0" fieldPosition="0">
        <references count="2">
          <reference field="0" count="1" selected="0">
            <x v="184"/>
          </reference>
          <reference field="1" count="1">
            <x v="164"/>
          </reference>
        </references>
      </pivotArea>
    </format>
    <format dxfId="301">
      <pivotArea dataOnly="0" labelOnly="1" outline="0" fieldPosition="0">
        <references count="2">
          <reference field="0" count="1" selected="0">
            <x v="185"/>
          </reference>
          <reference field="1" count="1">
            <x v="166"/>
          </reference>
        </references>
      </pivotArea>
    </format>
    <format dxfId="300">
      <pivotArea dataOnly="0" labelOnly="1" outline="0" fieldPosition="0">
        <references count="2">
          <reference field="0" count="1" selected="0">
            <x v="186"/>
          </reference>
          <reference field="1" count="1">
            <x v="161"/>
          </reference>
        </references>
      </pivotArea>
    </format>
    <format dxfId="299">
      <pivotArea dataOnly="0" labelOnly="1" outline="0" fieldPosition="0">
        <references count="2">
          <reference field="0" count="1" selected="0">
            <x v="187"/>
          </reference>
          <reference field="1" count="1">
            <x v="160"/>
          </reference>
        </references>
      </pivotArea>
    </format>
    <format dxfId="298">
      <pivotArea dataOnly="0" labelOnly="1" outline="0" fieldPosition="0">
        <references count="2">
          <reference field="0" count="1" selected="0">
            <x v="188"/>
          </reference>
          <reference field="1" count="1">
            <x v="158"/>
          </reference>
        </references>
      </pivotArea>
    </format>
    <format dxfId="297">
      <pivotArea dataOnly="0" labelOnly="1" outline="0" fieldPosition="0">
        <references count="2">
          <reference field="0" count="1" selected="0">
            <x v="189"/>
          </reference>
          <reference field="1" count="1">
            <x v="131"/>
          </reference>
        </references>
      </pivotArea>
    </format>
    <format dxfId="296">
      <pivotArea dataOnly="0" labelOnly="1" outline="0" fieldPosition="0">
        <references count="2">
          <reference field="0" count="1" selected="0">
            <x v="190"/>
          </reference>
          <reference field="1" count="1">
            <x v="130"/>
          </reference>
        </references>
      </pivotArea>
    </format>
    <format dxfId="295">
      <pivotArea dataOnly="0" labelOnly="1" outline="0" fieldPosition="0">
        <references count="2">
          <reference field="0" count="1" selected="0">
            <x v="191"/>
          </reference>
          <reference field="1" count="1">
            <x v="132"/>
          </reference>
        </references>
      </pivotArea>
    </format>
    <format dxfId="294">
      <pivotArea dataOnly="0" labelOnly="1" outline="0" fieldPosition="0">
        <references count="2">
          <reference field="0" count="1" selected="0">
            <x v="192"/>
          </reference>
          <reference field="1" count="1">
            <x v="179"/>
          </reference>
        </references>
      </pivotArea>
    </format>
    <format dxfId="293">
      <pivotArea dataOnly="0" labelOnly="1" outline="0" fieldPosition="0">
        <references count="2">
          <reference field="0" count="1" selected="0">
            <x v="193"/>
          </reference>
          <reference field="1" count="1">
            <x v="188"/>
          </reference>
        </references>
      </pivotArea>
    </format>
    <format dxfId="292">
      <pivotArea dataOnly="0" labelOnly="1" outline="0" fieldPosition="0">
        <references count="2">
          <reference field="0" count="1" selected="0">
            <x v="194"/>
          </reference>
          <reference field="1" count="1">
            <x v="182"/>
          </reference>
        </references>
      </pivotArea>
    </format>
    <format dxfId="291">
      <pivotArea dataOnly="0" labelOnly="1" outline="0" fieldPosition="0">
        <references count="2">
          <reference field="0" count="1" selected="0">
            <x v="195"/>
          </reference>
          <reference field="1" count="1">
            <x v="191"/>
          </reference>
        </references>
      </pivotArea>
    </format>
    <format dxfId="290">
      <pivotArea dataOnly="0" labelOnly="1" outline="0" fieldPosition="0">
        <references count="2">
          <reference field="0" count="1" selected="0">
            <x v="196"/>
          </reference>
          <reference field="1" count="1">
            <x v="190"/>
          </reference>
        </references>
      </pivotArea>
    </format>
    <format dxfId="289">
      <pivotArea dataOnly="0" labelOnly="1" outline="0" fieldPosition="0">
        <references count="2">
          <reference field="0" count="1" selected="0">
            <x v="197"/>
          </reference>
          <reference field="1" count="1">
            <x v="186"/>
          </reference>
        </references>
      </pivotArea>
    </format>
    <format dxfId="288">
      <pivotArea dataOnly="0" labelOnly="1" outline="0" fieldPosition="0">
        <references count="2">
          <reference field="0" count="1" selected="0">
            <x v="199"/>
          </reference>
          <reference field="1" count="1">
            <x v="185"/>
          </reference>
        </references>
      </pivotArea>
    </format>
    <format dxfId="287">
      <pivotArea dataOnly="0" labelOnly="1" outline="0" fieldPosition="0">
        <references count="2">
          <reference field="0" count="1" selected="0">
            <x v="200"/>
          </reference>
          <reference field="1" count="1">
            <x v="187"/>
          </reference>
        </references>
      </pivotArea>
    </format>
    <format dxfId="286">
      <pivotArea dataOnly="0" labelOnly="1" outline="0" fieldPosition="0">
        <references count="2">
          <reference field="0" count="1" selected="0">
            <x v="201"/>
          </reference>
          <reference field="1" count="1">
            <x v="189"/>
          </reference>
        </references>
      </pivotArea>
    </format>
    <format dxfId="285">
      <pivotArea dataOnly="0" labelOnly="1" outline="0" fieldPosition="0">
        <references count="2">
          <reference field="0" count="1" selected="0">
            <x v="202"/>
          </reference>
          <reference field="1" count="1">
            <x v="180"/>
          </reference>
        </references>
      </pivotArea>
    </format>
    <format dxfId="284">
      <pivotArea dataOnly="0" labelOnly="1" outline="0" fieldPosition="0">
        <references count="2">
          <reference field="0" count="1" selected="0">
            <x v="203"/>
          </reference>
          <reference field="1" count="1">
            <x v="184"/>
          </reference>
        </references>
      </pivotArea>
    </format>
    <format dxfId="283">
      <pivotArea dataOnly="0" labelOnly="1" outline="0" fieldPosition="0">
        <references count="2">
          <reference field="0" count="1" selected="0">
            <x v="204"/>
          </reference>
          <reference field="1" count="1">
            <x v="183"/>
          </reference>
        </references>
      </pivotArea>
    </format>
    <format dxfId="282">
      <pivotArea dataOnly="0" labelOnly="1" outline="0" fieldPosition="0">
        <references count="2">
          <reference field="0" count="1" selected="0">
            <x v="205"/>
          </reference>
          <reference field="1" count="1">
            <x v="192"/>
          </reference>
        </references>
      </pivotArea>
    </format>
    <format dxfId="281">
      <pivotArea dataOnly="0" labelOnly="1" outline="0" fieldPosition="0">
        <references count="2">
          <reference field="0" count="1" selected="0">
            <x v="206"/>
          </reference>
          <reference field="1" count="1">
            <x v="181"/>
          </reference>
        </references>
      </pivotArea>
    </format>
    <format dxfId="280">
      <pivotArea dataOnly="0" labelOnly="1" outline="0" fieldPosition="0">
        <references count="2">
          <reference field="0" count="1" selected="0">
            <x v="207"/>
          </reference>
          <reference field="1" count="1">
            <x v="193"/>
          </reference>
        </references>
      </pivotArea>
    </format>
    <format dxfId="279">
      <pivotArea dataOnly="0" labelOnly="1" outline="0" fieldPosition="0">
        <references count="2">
          <reference field="0" count="1" selected="0">
            <x v="208"/>
          </reference>
          <reference field="1" count="13">
            <x v="1"/>
            <x v="2"/>
            <x v="3"/>
            <x v="80"/>
            <x v="122"/>
            <x v="123"/>
            <x v="135"/>
            <x v="139"/>
            <x v="145"/>
            <x v="146"/>
            <x v="202"/>
            <x v="206"/>
            <x v="215"/>
          </reference>
        </references>
      </pivotArea>
    </format>
    <format dxfId="278">
      <pivotArea dataOnly="0" labelOnly="1" outline="0" fieldPosition="0">
        <references count="1">
          <reference field="4294967294" count="1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</reference>
        </references>
      </pivotArea>
    </format>
    <format dxfId="277">
      <pivotArea outline="0" fieldPosition="0">
        <references count="3">
          <reference field="4294967294" count="5" selected="0">
            <x v="1"/>
            <x v="2"/>
            <x v="3"/>
            <x v="4"/>
            <x v="5"/>
          </reference>
          <reference field="0" count="29" selected="0">
            <x v="177"/>
            <x v="178"/>
            <x v="179"/>
            <x v="180"/>
            <x v="181"/>
            <x v="182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9"/>
            <x v="200"/>
            <x v="201"/>
            <x v="202"/>
            <x v="203"/>
            <x v="204"/>
            <x v="205"/>
            <x v="206"/>
            <x v="207"/>
          </reference>
          <reference field="1" count="29" selected="0">
            <x v="130"/>
            <x v="131"/>
            <x v="132"/>
            <x v="157"/>
            <x v="158"/>
            <x v="160"/>
            <x v="161"/>
            <x v="162"/>
            <x v="163"/>
            <x v="164"/>
            <x v="166"/>
            <x v="167"/>
            <x v="168"/>
            <x v="169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</reference>
        </references>
      </pivotArea>
    </format>
    <format dxfId="276">
      <pivotArea type="topRight" dataOnly="0" labelOnly="1" outline="0" offset="D1:Q1" fieldPosition="0"/>
    </format>
    <format dxfId="275">
      <pivotArea dataOnly="0" labelOnly="1" outline="0" fieldPosition="0">
        <references count="1">
          <reference field="4294967294" count="14"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Kimutatás3" cacheId="3" applyNumberFormats="0" applyBorderFormats="0" applyFontFormats="0" applyPatternFormats="0" applyAlignmentFormats="0" applyWidthHeightFormats="1" dataCaption="Értékek" updatedVersion="6" minRefreshableVersion="3" useAutoFormatting="1" rowGrandTotals="0" colGrandTotals="0" itemPrintTitles="1" createdVersion="6" indent="0" compact="0" compactData="0" multipleFieldFilters="0">
  <location ref="A4:C76" firstHeaderRow="1" firstDataRow="1" firstDataCol="2" rowPageCount="1" colPageCount="1"/>
  <pivotFields count="51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>
      <items count="89">
        <item x="19"/>
        <item x="13"/>
        <item x="14"/>
        <item x="7"/>
        <item x="8"/>
        <item x="48"/>
        <item x="49"/>
        <item x="16"/>
        <item x="10"/>
        <item x="51"/>
        <item x="58"/>
        <item x="12"/>
        <item x="11"/>
        <item x="63"/>
        <item x="64"/>
        <item x="29"/>
        <item x="69"/>
        <item x="55"/>
        <item x="68"/>
        <item x="30"/>
        <item x="6"/>
        <item x="83"/>
        <item x="84"/>
        <item x="86"/>
        <item x="78"/>
        <item x="76"/>
        <item x="37"/>
        <item x="17"/>
        <item x="33"/>
        <item x="36"/>
        <item x="80"/>
        <item x="81"/>
        <item x="61"/>
        <item x="62"/>
        <item x="0"/>
        <item x="85"/>
        <item x="1"/>
        <item x="2"/>
        <item x="3"/>
        <item x="5"/>
        <item x="39"/>
        <item x="59"/>
        <item x="66"/>
        <item x="26"/>
        <item x="38"/>
        <item x="40"/>
        <item x="56"/>
        <item x="70"/>
        <item x="4"/>
        <item x="9"/>
        <item x="15"/>
        <item x="50"/>
        <item x="27"/>
        <item x="67"/>
        <item x="71"/>
        <item x="72"/>
        <item x="73"/>
        <item m="1" x="87"/>
        <item x="18"/>
        <item x="28"/>
        <item x="31"/>
        <item x="32"/>
        <item x="34"/>
        <item x="35"/>
        <item x="41"/>
        <item x="42"/>
        <item x="43"/>
        <item x="44"/>
        <item x="45"/>
        <item x="47"/>
        <item x="52"/>
        <item x="53"/>
        <item x="57"/>
        <item x="60"/>
        <item x="65"/>
        <item x="54"/>
        <item x="74"/>
        <item x="75"/>
        <item x="77"/>
        <item x="79"/>
        <item x="82"/>
        <item x="46"/>
        <item x="20"/>
        <item x="21"/>
        <item x="22"/>
        <item x="23"/>
        <item x="24"/>
        <item x="25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12">
        <item x="1"/>
        <item x="2"/>
        <item x="6"/>
        <item h="1" x="0"/>
        <item x="10"/>
        <item x="3"/>
        <item x="4"/>
        <item x="5"/>
        <item x="7"/>
        <item x="8"/>
        <item x="9"/>
        <item h="1" m="1" x="1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 defaultSubtotal="0">
      <items count="69">
        <item h="1" x="0"/>
        <item x="1"/>
        <item x="2"/>
        <item x="3"/>
        <item x="4"/>
        <item x="6"/>
        <item x="7"/>
        <item x="5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3"/>
        <item x="32"/>
        <item x="34"/>
        <item x="35"/>
        <item x="36"/>
        <item x="37"/>
        <item x="38"/>
        <item x="39"/>
        <item x="40"/>
        <item x="41"/>
        <item x="42"/>
        <item x="43"/>
        <item x="44"/>
        <item x="46"/>
        <item x="47"/>
        <item x="45"/>
        <item x="48"/>
        <item x="50"/>
        <item x="52"/>
        <item x="55"/>
        <item x="54"/>
        <item x="49"/>
        <item x="51"/>
        <item x="53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h="1" m="1" x="6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multipleItemSelectionAllowed="1" showAll="0" sortType="ascending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multipleItemSelectionAllowed="1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3"/>
    <field x="1"/>
  </rowFields>
  <rowItems count="72">
    <i>
      <x v="1"/>
      <x v="37"/>
    </i>
    <i r="1">
      <x v="38"/>
    </i>
    <i>
      <x v="2"/>
      <x v="39"/>
    </i>
    <i>
      <x v="3"/>
      <x v="3"/>
    </i>
    <i r="1">
      <x v="4"/>
    </i>
    <i>
      <x v="4"/>
      <x v="8"/>
    </i>
    <i>
      <x v="5"/>
      <x v="1"/>
    </i>
    <i r="1">
      <x v="2"/>
    </i>
    <i>
      <x v="6"/>
      <x v="7"/>
    </i>
    <i>
      <x v="7"/>
      <x v="12"/>
    </i>
    <i>
      <x v="8"/>
      <x v="27"/>
    </i>
    <i>
      <x v="9"/>
      <x v="58"/>
    </i>
    <i>
      <x v="10"/>
      <x v="82"/>
    </i>
    <i>
      <x v="11"/>
      <x v="83"/>
    </i>
    <i>
      <x v="12"/>
      <x v="84"/>
    </i>
    <i>
      <x v="13"/>
      <x v="85"/>
    </i>
    <i>
      <x v="14"/>
      <x v="86"/>
    </i>
    <i>
      <x v="15"/>
      <x v="87"/>
    </i>
    <i>
      <x v="16"/>
      <x v="43"/>
    </i>
    <i>
      <x v="17"/>
      <x v="52"/>
    </i>
    <i>
      <x v="18"/>
      <x v="59"/>
    </i>
    <i>
      <x v="19"/>
      <x v="15"/>
    </i>
    <i>
      <x v="20"/>
      <x v="19"/>
    </i>
    <i>
      <x v="21"/>
      <x v="60"/>
    </i>
    <i>
      <x v="22"/>
      <x v="61"/>
    </i>
    <i>
      <x v="23"/>
      <x v="28"/>
    </i>
    <i>
      <x v="24"/>
      <x v="62"/>
    </i>
    <i>
      <x v="25"/>
      <x v="63"/>
    </i>
    <i>
      <x v="26"/>
      <x v="29"/>
    </i>
    <i>
      <x v="27"/>
      <x v="26"/>
    </i>
    <i>
      <x v="28"/>
      <x v="44"/>
    </i>
    <i>
      <x v="29"/>
      <x v="40"/>
    </i>
    <i>
      <x v="30"/>
      <x v="45"/>
    </i>
    <i>
      <x v="31"/>
      <x v="64"/>
    </i>
    <i>
      <x v="32"/>
      <x v="66"/>
    </i>
    <i>
      <x v="33"/>
      <x v="65"/>
    </i>
    <i>
      <x v="34"/>
      <x v="37"/>
    </i>
    <i r="1">
      <x v="38"/>
    </i>
    <i>
      <x v="35"/>
      <x v="39"/>
    </i>
    <i>
      <x v="36"/>
      <x v="68"/>
    </i>
    <i>
      <x v="37"/>
      <x v="81"/>
    </i>
    <i>
      <x v="38"/>
      <x v="5"/>
    </i>
    <i r="1">
      <x v="6"/>
    </i>
    <i>
      <x v="39"/>
      <x v="9"/>
    </i>
    <i>
      <x v="40"/>
      <x v="70"/>
    </i>
    <i>
      <x v="41"/>
      <x v="71"/>
    </i>
    <i>
      <x v="42"/>
      <x v="75"/>
    </i>
    <i>
      <x v="43"/>
      <x v="17"/>
    </i>
    <i>
      <x v="44"/>
      <x v="19"/>
    </i>
    <i>
      <x v="45"/>
      <x v="72"/>
    </i>
    <i>
      <x v="46"/>
      <x v="10"/>
    </i>
    <i>
      <x v="47"/>
      <x v="46"/>
    </i>
    <i>
      <x v="48"/>
      <x v="41"/>
    </i>
    <i>
      <x v="49"/>
      <x v="33"/>
    </i>
    <i>
      <x v="50"/>
      <x v="14"/>
    </i>
    <i>
      <x v="51"/>
      <x v="18"/>
    </i>
    <i>
      <x v="52"/>
      <x v="42"/>
    </i>
    <i>
      <x v="53"/>
      <x v="32"/>
    </i>
    <i>
      <x v="54"/>
      <x v="13"/>
    </i>
    <i>
      <x v="55"/>
      <x v="74"/>
    </i>
    <i>
      <x v="56"/>
      <x v="16"/>
    </i>
    <i>
      <x v="57"/>
      <x v="47"/>
    </i>
    <i>
      <x v="58"/>
      <x v="54"/>
    </i>
    <i>
      <x v="59"/>
      <x v="55"/>
    </i>
    <i>
      <x v="60"/>
      <x v="56"/>
    </i>
    <i>
      <x v="61"/>
      <x v="77"/>
    </i>
    <i>
      <x v="62"/>
      <x v="25"/>
    </i>
    <i>
      <x v="63"/>
      <x v="78"/>
    </i>
    <i>
      <x v="64"/>
      <x v="79"/>
    </i>
    <i>
      <x v="65"/>
      <x v="30"/>
    </i>
    <i>
      <x v="66"/>
      <x v="31"/>
    </i>
    <i>
      <x v="67"/>
      <x v="22"/>
    </i>
  </rowItems>
  <colItems count="1">
    <i/>
  </colItems>
  <pageFields count="1">
    <pageField fld="2" hier="-1"/>
  </pageFields>
  <dataFields count="1">
    <dataField name="Összeg / BDPK" fld="8" baseField="1" baseItem="84" numFmtId="3"/>
  </dataFields>
  <formats count="259">
    <format dxfId="274">
      <pivotArea outline="0" collapsedLevelsAreSubtotals="1" fieldPosition="0"/>
    </format>
    <format dxfId="273">
      <pivotArea outline="0" collapsedLevelsAreSubtotals="1" fieldPosition="0">
        <references count="2">
          <reference field="1" count="1" selected="0">
            <x v="47"/>
          </reference>
          <reference field="3" count="1" selected="0">
            <x v="57"/>
          </reference>
        </references>
      </pivotArea>
    </format>
    <format dxfId="272">
      <pivotArea dataOnly="0" labelOnly="1" outline="0" fieldPosition="0">
        <references count="1">
          <reference field="3" count="1">
            <x v="57"/>
          </reference>
        </references>
      </pivotArea>
    </format>
    <format dxfId="271">
      <pivotArea dataOnly="0" labelOnly="1" outline="0" fieldPosition="0">
        <references count="2">
          <reference field="1" count="1">
            <x v="47"/>
          </reference>
          <reference field="3" count="1" selected="0">
            <x v="57"/>
          </reference>
        </references>
      </pivotArea>
    </format>
    <format dxfId="270">
      <pivotArea outline="0" collapsedLevelsAreSubtotals="1" fieldPosition="0">
        <references count="2">
          <reference field="1" count="1" selected="0">
            <x v="46"/>
          </reference>
          <reference field="3" count="1" selected="0">
            <x v="47"/>
          </reference>
        </references>
      </pivotArea>
    </format>
    <format dxfId="269">
      <pivotArea dataOnly="0" labelOnly="1" outline="0" fieldPosition="0">
        <references count="1">
          <reference field="3" count="1">
            <x v="47"/>
          </reference>
        </references>
      </pivotArea>
    </format>
    <format dxfId="268">
      <pivotArea dataOnly="0" labelOnly="1" outline="0" fieldPosition="0">
        <references count="2">
          <reference field="1" count="1">
            <x v="46"/>
          </reference>
          <reference field="3" count="1" selected="0">
            <x v="47"/>
          </reference>
        </references>
      </pivotArea>
    </format>
    <format dxfId="267">
      <pivotArea outline="0" collapsedLevelsAreSubtotals="1" fieldPosition="0">
        <references count="2">
          <reference field="1" count="1" selected="0">
            <x v="54"/>
          </reference>
          <reference field="3" count="1" selected="0">
            <x v="58"/>
          </reference>
        </references>
      </pivotArea>
    </format>
    <format dxfId="266">
      <pivotArea dataOnly="0" labelOnly="1" outline="0" fieldPosition="0">
        <references count="1">
          <reference field="3" count="1">
            <x v="58"/>
          </reference>
        </references>
      </pivotArea>
    </format>
    <format dxfId="265">
      <pivotArea dataOnly="0" labelOnly="1" outline="0" fieldPosition="0">
        <references count="2">
          <reference field="1" count="1">
            <x v="54"/>
          </reference>
          <reference field="3" count="1" selected="0">
            <x v="58"/>
          </reference>
        </references>
      </pivotArea>
    </format>
    <format dxfId="264">
      <pivotArea outline="0" collapsedLevelsAreSubtotals="1" fieldPosition="0">
        <references count="2">
          <reference field="1" count="1" selected="0">
            <x v="56"/>
          </reference>
          <reference field="3" count="1" selected="0">
            <x v="60"/>
          </reference>
        </references>
      </pivotArea>
    </format>
    <format dxfId="263">
      <pivotArea dataOnly="0" labelOnly="1" outline="0" fieldPosition="0">
        <references count="1">
          <reference field="3" count="1">
            <x v="60"/>
          </reference>
        </references>
      </pivotArea>
    </format>
    <format dxfId="262">
      <pivotArea dataOnly="0" labelOnly="1" outline="0" fieldPosition="0">
        <references count="2">
          <reference field="1" count="1">
            <x v="56"/>
          </reference>
          <reference field="3" count="1" selected="0">
            <x v="60"/>
          </reference>
        </references>
      </pivotArea>
    </format>
    <format dxfId="261">
      <pivotArea outline="0" collapsedLevelsAreSubtotals="1" fieldPosition="0">
        <references count="1">
          <reference field="3" count="1" selected="0">
            <x v="67"/>
          </reference>
        </references>
      </pivotArea>
    </format>
    <format dxfId="260">
      <pivotArea outline="0" collapsedLevelsAreSubtotals="1" fieldPosition="0">
        <references count="2">
          <reference field="1" count="1" selected="0">
            <x v="31"/>
          </reference>
          <reference field="3" count="1" selected="0">
            <x v="66"/>
          </reference>
        </references>
      </pivotArea>
    </format>
    <format dxfId="259">
      <pivotArea outline="0" collapsedLevelsAreSubtotals="1" fieldPosition="0">
        <references count="2">
          <reference field="1" count="1" selected="0">
            <x v="30"/>
          </reference>
          <reference field="3" count="2" selected="0">
            <x v="64"/>
            <x v="65"/>
          </reference>
        </references>
      </pivotArea>
    </format>
    <format dxfId="258">
      <pivotArea dataOnly="0" labelOnly="1" outline="0" fieldPosition="0">
        <references count="2">
          <reference field="1" count="1">
            <x v="30"/>
          </reference>
          <reference field="3" count="1" selected="0">
            <x v="65"/>
          </reference>
        </references>
      </pivotArea>
    </format>
    <format dxfId="257">
      <pivotArea outline="0" collapsedLevelsAreSubtotals="1" fieldPosition="0"/>
    </format>
    <format dxfId="256">
      <pivotArea dataOnly="0" labelOnly="1" outline="0" fieldPosition="0">
        <references count="2">
          <reference field="1" count="2">
            <x v="37"/>
            <x v="38"/>
          </reference>
          <reference field="3" count="1" selected="0">
            <x v="1"/>
          </reference>
        </references>
      </pivotArea>
    </format>
    <format dxfId="255">
      <pivotArea dataOnly="0" labelOnly="1" outline="0" fieldPosition="0">
        <references count="2">
          <reference field="1" count="1">
            <x v="39"/>
          </reference>
          <reference field="3" count="1" selected="0">
            <x v="2"/>
          </reference>
        </references>
      </pivotArea>
    </format>
    <format dxfId="254">
      <pivotArea dataOnly="0" labelOnly="1" outline="0" fieldPosition="0">
        <references count="2">
          <reference field="1" count="2">
            <x v="3"/>
            <x v="4"/>
          </reference>
          <reference field="3" count="1" selected="0">
            <x v="3"/>
          </reference>
        </references>
      </pivotArea>
    </format>
    <format dxfId="253">
      <pivotArea dataOnly="0" labelOnly="1" outline="0" fieldPosition="0">
        <references count="2">
          <reference field="1" count="1">
            <x v="8"/>
          </reference>
          <reference field="3" count="1" selected="0">
            <x v="4"/>
          </reference>
        </references>
      </pivotArea>
    </format>
    <format dxfId="252">
      <pivotArea dataOnly="0" labelOnly="1" outline="0" fieldPosition="0">
        <references count="2">
          <reference field="1" count="2">
            <x v="1"/>
            <x v="2"/>
          </reference>
          <reference field="3" count="1" selected="0">
            <x v="5"/>
          </reference>
        </references>
      </pivotArea>
    </format>
    <format dxfId="251">
      <pivotArea dataOnly="0" labelOnly="1" outline="0" fieldPosition="0">
        <references count="2">
          <reference field="1" count="1">
            <x v="7"/>
          </reference>
          <reference field="3" count="1" selected="0">
            <x v="6"/>
          </reference>
        </references>
      </pivotArea>
    </format>
    <format dxfId="250">
      <pivotArea dataOnly="0" labelOnly="1" outline="0" fieldPosition="0">
        <references count="2">
          <reference field="1" count="1">
            <x v="12"/>
          </reference>
          <reference field="3" count="1" selected="0">
            <x v="7"/>
          </reference>
        </references>
      </pivotArea>
    </format>
    <format dxfId="249">
      <pivotArea dataOnly="0" labelOnly="1" outline="0" fieldPosition="0">
        <references count="2">
          <reference field="1" count="1">
            <x v="43"/>
          </reference>
          <reference field="3" count="1" selected="0">
            <x v="16"/>
          </reference>
        </references>
      </pivotArea>
    </format>
    <format dxfId="248">
      <pivotArea dataOnly="0" labelOnly="1" outline="0" fieldPosition="0">
        <references count="2">
          <reference field="1" count="1">
            <x v="52"/>
          </reference>
          <reference field="3" count="1" selected="0">
            <x v="17"/>
          </reference>
        </references>
      </pivotArea>
    </format>
    <format dxfId="247">
      <pivotArea dataOnly="0" labelOnly="1" outline="0" fieldPosition="0">
        <references count="2">
          <reference field="1" count="1">
            <x v="15"/>
          </reference>
          <reference field="3" count="1" selected="0">
            <x v="19"/>
          </reference>
        </references>
      </pivotArea>
    </format>
    <format dxfId="246">
      <pivotArea dataOnly="0" labelOnly="1" outline="0" fieldPosition="0">
        <references count="2">
          <reference field="1" count="1">
            <x v="19"/>
          </reference>
          <reference field="3" count="1" selected="0">
            <x v="20"/>
          </reference>
        </references>
      </pivotArea>
    </format>
    <format dxfId="245">
      <pivotArea dataOnly="0" labelOnly="1" outline="0" fieldPosition="0">
        <references count="2">
          <reference field="1" count="1">
            <x v="53"/>
          </reference>
          <reference field="3" count="1" selected="0">
            <x v="22"/>
          </reference>
        </references>
      </pivotArea>
    </format>
    <format dxfId="244">
      <pivotArea dataOnly="0" labelOnly="1" outline="0" fieldPosition="0">
        <references count="2">
          <reference field="1" count="1">
            <x v="28"/>
          </reference>
          <reference field="3" count="1" selected="0">
            <x v="23"/>
          </reference>
        </references>
      </pivotArea>
    </format>
    <format dxfId="243">
      <pivotArea dataOnly="0" labelOnly="1" outline="0" fieldPosition="0">
        <references count="2">
          <reference field="1" count="1">
            <x v="29"/>
          </reference>
          <reference field="3" count="1" selected="0">
            <x v="26"/>
          </reference>
        </references>
      </pivotArea>
    </format>
    <format dxfId="242">
      <pivotArea dataOnly="0" labelOnly="1" outline="0" fieldPosition="0">
        <references count="2">
          <reference field="1" count="1">
            <x v="26"/>
          </reference>
          <reference field="3" count="1" selected="0">
            <x v="27"/>
          </reference>
        </references>
      </pivotArea>
    </format>
    <format dxfId="241">
      <pivotArea dataOnly="0" labelOnly="1" outline="0" fieldPosition="0">
        <references count="2">
          <reference field="1" count="1">
            <x v="44"/>
          </reference>
          <reference field="3" count="1" selected="0">
            <x v="28"/>
          </reference>
        </references>
      </pivotArea>
    </format>
    <format dxfId="240">
      <pivotArea dataOnly="0" labelOnly="1" outline="0" fieldPosition="0">
        <references count="2">
          <reference field="1" count="1">
            <x v="40"/>
          </reference>
          <reference field="3" count="1" selected="0">
            <x v="29"/>
          </reference>
        </references>
      </pivotArea>
    </format>
    <format dxfId="239">
      <pivotArea dataOnly="0" labelOnly="1" outline="0" fieldPosition="0">
        <references count="2">
          <reference field="1" count="1">
            <x v="45"/>
          </reference>
          <reference field="3" count="1" selected="0">
            <x v="30"/>
          </reference>
        </references>
      </pivotArea>
    </format>
    <format dxfId="238">
      <pivotArea dataOnly="0" labelOnly="1" outline="0" fieldPosition="0">
        <references count="2">
          <reference field="1" count="1">
            <x v="17"/>
          </reference>
          <reference field="3" count="1" selected="0">
            <x v="42"/>
          </reference>
        </references>
      </pivotArea>
    </format>
    <format dxfId="237">
      <pivotArea dataOnly="0" labelOnly="1" outline="0" fieldPosition="0">
        <references count="2">
          <reference field="1" count="1">
            <x v="46"/>
          </reference>
          <reference field="3" count="1" selected="0">
            <x v="47"/>
          </reference>
        </references>
      </pivotArea>
    </format>
    <format dxfId="236">
      <pivotArea dataOnly="0" labelOnly="1" outline="0" fieldPosition="0">
        <references count="2">
          <reference field="1" count="1">
            <x v="19"/>
          </reference>
          <reference field="3" count="1" selected="0">
            <x v="43"/>
          </reference>
        </references>
      </pivotArea>
    </format>
    <format dxfId="235">
      <pivotArea dataOnly="0" labelOnly="1" outline="0" fieldPosition="0">
        <references count="2">
          <reference field="1" count="1">
            <x v="10"/>
          </reference>
          <reference field="3" count="1" selected="0">
            <x v="46"/>
          </reference>
        </references>
      </pivotArea>
    </format>
    <format dxfId="234">
      <pivotArea dataOnly="0" labelOnly="1" outline="0" fieldPosition="0">
        <references count="2">
          <reference field="1" count="1">
            <x v="41"/>
          </reference>
          <reference field="3" count="1" selected="0">
            <x v="48"/>
          </reference>
        </references>
      </pivotArea>
    </format>
    <format dxfId="233">
      <pivotArea dataOnly="0" labelOnly="1" outline="0" fieldPosition="0">
        <references count="2">
          <reference field="1" count="1">
            <x v="33"/>
          </reference>
          <reference field="3" count="1" selected="0">
            <x v="49"/>
          </reference>
        </references>
      </pivotArea>
    </format>
    <format dxfId="232">
      <pivotArea dataOnly="0" labelOnly="1" outline="0" fieldPosition="0">
        <references count="2">
          <reference field="1" count="1">
            <x v="14"/>
          </reference>
          <reference field="3" count="1" selected="0">
            <x v="50"/>
          </reference>
        </references>
      </pivotArea>
    </format>
    <format dxfId="231">
      <pivotArea dataOnly="0" labelOnly="1" outline="0" fieldPosition="0">
        <references count="2">
          <reference field="1" count="1">
            <x v="18"/>
          </reference>
          <reference field="3" count="1" selected="0">
            <x v="51"/>
          </reference>
        </references>
      </pivotArea>
    </format>
    <format dxfId="230">
      <pivotArea dataOnly="0" labelOnly="1" outline="0" fieldPosition="0">
        <references count="2">
          <reference field="1" count="1">
            <x v="42"/>
          </reference>
          <reference field="3" count="1" selected="0">
            <x v="52"/>
          </reference>
        </references>
      </pivotArea>
    </format>
    <format dxfId="229">
      <pivotArea dataOnly="0" labelOnly="1" outline="0" fieldPosition="0">
        <references count="2">
          <reference field="1" count="1">
            <x v="32"/>
          </reference>
          <reference field="3" count="1" selected="0">
            <x v="53"/>
          </reference>
        </references>
      </pivotArea>
    </format>
    <format dxfId="228">
      <pivotArea dataOnly="0" labelOnly="1" outline="0" fieldPosition="0">
        <references count="2">
          <reference field="1" count="1">
            <x v="13"/>
          </reference>
          <reference field="3" count="1" selected="0">
            <x v="54"/>
          </reference>
        </references>
      </pivotArea>
    </format>
    <format dxfId="227">
      <pivotArea dataOnly="0" labelOnly="1" outline="0" fieldPosition="0">
        <references count="2">
          <reference field="1" count="1">
            <x v="16"/>
          </reference>
          <reference field="3" count="1" selected="0">
            <x v="56"/>
          </reference>
        </references>
      </pivotArea>
    </format>
    <format dxfId="226">
      <pivotArea dataOnly="0" labelOnly="1" outline="0" fieldPosition="0">
        <references count="2">
          <reference field="1" count="1">
            <x v="47"/>
          </reference>
          <reference field="3" count="1" selected="0">
            <x v="57"/>
          </reference>
        </references>
      </pivotArea>
    </format>
    <format dxfId="225">
      <pivotArea dataOnly="0" labelOnly="1" outline="0" fieldPosition="0">
        <references count="2">
          <reference field="1" count="1">
            <x v="54"/>
          </reference>
          <reference field="3" count="1" selected="0">
            <x v="58"/>
          </reference>
        </references>
      </pivotArea>
    </format>
    <format dxfId="224">
      <pivotArea dataOnly="0" labelOnly="1" outline="0" fieldPosition="0">
        <references count="2">
          <reference field="1" count="1">
            <x v="55"/>
          </reference>
          <reference field="3" count="1" selected="0">
            <x v="59"/>
          </reference>
        </references>
      </pivotArea>
    </format>
    <format dxfId="223">
      <pivotArea dataOnly="0" labelOnly="1" outline="0" fieldPosition="0">
        <references count="2">
          <reference field="1" count="1">
            <x v="56"/>
          </reference>
          <reference field="3" count="1" selected="0">
            <x v="60"/>
          </reference>
        </references>
      </pivotArea>
    </format>
    <format dxfId="222">
      <pivotArea dataOnly="0" labelOnly="1" outline="0" fieldPosition="0">
        <references count="2">
          <reference field="1" count="1">
            <x v="25"/>
          </reference>
          <reference field="3" count="1" selected="0">
            <x v="62"/>
          </reference>
        </references>
      </pivotArea>
    </format>
    <format dxfId="221">
      <pivotArea dataOnly="0" labelOnly="1" outline="0" fieldPosition="0">
        <references count="2">
          <reference field="1" count="1">
            <x v="30"/>
          </reference>
          <reference field="3" count="1" selected="0">
            <x v="65"/>
          </reference>
        </references>
      </pivotArea>
    </format>
    <format dxfId="220">
      <pivotArea dataOnly="0" labelOnly="1" outline="0" fieldPosition="0">
        <references count="2">
          <reference field="1" count="1">
            <x v="31"/>
          </reference>
          <reference field="3" count="1" selected="0">
            <x v="66"/>
          </reference>
        </references>
      </pivotArea>
    </format>
    <format dxfId="219">
      <pivotArea dataOnly="0" labelOnly="1" outline="0" fieldPosition="0">
        <references count="2">
          <reference field="1" count="1">
            <x v="22"/>
          </reference>
          <reference field="3" count="1" selected="0">
            <x v="67"/>
          </reference>
        </references>
      </pivotArea>
    </format>
    <format dxfId="218">
      <pivotArea dataOnly="0" labelOnly="1" outline="0" fieldPosition="0">
        <references count="1">
          <reference field="3" count="15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</reference>
        </references>
      </pivotArea>
    </format>
    <format dxfId="217">
      <pivotArea field="2" type="button" dataOnly="0" labelOnly="1" outline="0" axis="axisPage" fieldPosition="0"/>
    </format>
    <format dxfId="216">
      <pivotArea field="3" type="button" dataOnly="0" labelOnly="1" outline="0" axis="axisRow" fieldPosition="0"/>
    </format>
    <format dxfId="215">
      <pivotArea dataOnly="0" labelOnly="1" outline="0" fieldPosition="0">
        <references count="1">
          <reference field="3" count="43">
            <x v="1"/>
            <x v="2"/>
            <x v="3"/>
            <x v="4"/>
            <x v="5"/>
            <x v="6"/>
            <x v="7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40"/>
            <x v="41"/>
            <x v="42"/>
            <x v="43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</reference>
        </references>
      </pivotArea>
    </format>
    <format dxfId="214">
      <pivotArea dataOnly="0" labelOnly="1" outline="0" fieldPosition="0">
        <references count="1">
          <reference field="3" count="5">
            <x v="63"/>
            <x v="64"/>
            <x v="65"/>
            <x v="66"/>
            <x v="67"/>
          </reference>
        </references>
      </pivotArea>
    </format>
    <format dxfId="213">
      <pivotArea outline="0" fieldPosition="0">
        <references count="1">
          <reference field="4294967294" count="1">
            <x v="0"/>
          </reference>
        </references>
      </pivotArea>
    </format>
    <format dxfId="212">
      <pivotArea dataOnly="0" labelOnly="1" outline="0" fieldPosition="0">
        <references count="2">
          <reference field="1" count="1">
            <x v="46"/>
          </reference>
          <reference field="3" count="1" selected="0">
            <x v="47"/>
          </reference>
        </references>
      </pivotArea>
    </format>
    <format dxfId="211">
      <pivotArea dataOnly="0" labelOnly="1" outline="0" fieldPosition="0">
        <references count="2">
          <reference field="1" count="1">
            <x v="43"/>
          </reference>
          <reference field="3" count="1" selected="0">
            <x v="16"/>
          </reference>
        </references>
      </pivotArea>
    </format>
    <format dxfId="210">
      <pivotArea dataOnly="0" labelOnly="1" outline="0" fieldPosition="0">
        <references count="2">
          <reference field="1" count="1">
            <x v="44"/>
          </reference>
          <reference field="3" count="1" selected="0">
            <x v="28"/>
          </reference>
        </references>
      </pivotArea>
    </format>
    <format dxfId="209">
      <pivotArea dataOnly="0" outline="0" fieldPosition="0">
        <references count="1">
          <reference field="1" count="1">
            <x v="45"/>
          </reference>
        </references>
      </pivotArea>
    </format>
    <format dxfId="208">
      <pivotArea outline="0" fieldPosition="0">
        <references count="2">
          <reference field="1" count="1" selected="0">
            <x v="44"/>
          </reference>
          <reference field="3" count="1" selected="0">
            <x v="28"/>
          </reference>
        </references>
      </pivotArea>
    </format>
    <format dxfId="207">
      <pivotArea outline="0" fieldPosition="0">
        <references count="2">
          <reference field="1" count="1" selected="0">
            <x v="46"/>
          </reference>
          <reference field="3" count="1" selected="0">
            <x v="47"/>
          </reference>
        </references>
      </pivotArea>
    </format>
    <format dxfId="206">
      <pivotArea outline="0" fieldPosition="0">
        <references count="2">
          <reference field="1" count="2" selected="0">
            <x v="47"/>
            <x v="54"/>
          </reference>
          <reference field="3" count="2" selected="0">
            <x v="57"/>
            <x v="58"/>
          </reference>
        </references>
      </pivotArea>
    </format>
    <format dxfId="205">
      <pivotArea dataOnly="0" labelOnly="1" outline="0" fieldPosition="0">
        <references count="2">
          <reference field="1" count="1">
            <x v="47"/>
          </reference>
          <reference field="3" count="1" selected="0">
            <x v="57"/>
          </reference>
        </references>
      </pivotArea>
    </format>
    <format dxfId="204">
      <pivotArea dataOnly="0" labelOnly="1" outline="0" fieldPosition="0">
        <references count="2">
          <reference field="1" count="1">
            <x v="54"/>
          </reference>
          <reference field="3" count="1" selected="0">
            <x v="58"/>
          </reference>
        </references>
      </pivotArea>
    </format>
    <format dxfId="203">
      <pivotArea outline="0" fieldPosition="0">
        <references count="2">
          <reference field="1" count="1" selected="0">
            <x v="56"/>
          </reference>
          <reference field="3" count="1" selected="0">
            <x v="60"/>
          </reference>
        </references>
      </pivotArea>
    </format>
    <format dxfId="202">
      <pivotArea dataOnly="0" labelOnly="1" outline="0" fieldPosition="0">
        <references count="2">
          <reference field="1" count="1">
            <x v="56"/>
          </reference>
          <reference field="3" count="1" selected="0">
            <x v="60"/>
          </reference>
        </references>
      </pivotArea>
    </format>
    <format dxfId="201">
      <pivotArea outline="0" fieldPosition="0">
        <references count="1">
          <reference field="3" count="7" selected="0">
            <x v="61"/>
            <x v="62"/>
            <x v="63"/>
            <x v="64"/>
            <x v="65"/>
            <x v="66"/>
            <x v="67"/>
          </reference>
        </references>
      </pivotArea>
    </format>
    <format dxfId="200">
      <pivotArea dataOnly="0" labelOnly="1" outline="0" fieldPosition="0">
        <references count="2">
          <reference field="1" count="1">
            <x v="77"/>
          </reference>
          <reference field="3" count="1" selected="0">
            <x v="61"/>
          </reference>
        </references>
      </pivotArea>
    </format>
    <format dxfId="199">
      <pivotArea dataOnly="0" labelOnly="1" outline="0" fieldPosition="0">
        <references count="2">
          <reference field="1" count="1">
            <x v="25"/>
          </reference>
          <reference field="3" count="1" selected="0">
            <x v="62"/>
          </reference>
        </references>
      </pivotArea>
    </format>
    <format dxfId="198">
      <pivotArea dataOnly="0" labelOnly="1" outline="0" fieldPosition="0">
        <references count="2">
          <reference field="1" count="1">
            <x v="78"/>
          </reference>
          <reference field="3" count="1" selected="0">
            <x v="63"/>
          </reference>
        </references>
      </pivotArea>
    </format>
    <format dxfId="197">
      <pivotArea dataOnly="0" labelOnly="1" outline="0" fieldPosition="0">
        <references count="2">
          <reference field="1" count="1">
            <x v="79"/>
          </reference>
          <reference field="3" count="1" selected="0">
            <x v="64"/>
          </reference>
        </references>
      </pivotArea>
    </format>
    <format dxfId="196">
      <pivotArea dataOnly="0" labelOnly="1" outline="0" fieldPosition="0">
        <references count="2">
          <reference field="1" count="1">
            <x v="30"/>
          </reference>
          <reference field="3" count="1" selected="0">
            <x v="65"/>
          </reference>
        </references>
      </pivotArea>
    </format>
    <format dxfId="195">
      <pivotArea dataOnly="0" labelOnly="1" outline="0" fieldPosition="0">
        <references count="2">
          <reference field="1" count="1">
            <x v="31"/>
          </reference>
          <reference field="3" count="1" selected="0">
            <x v="66"/>
          </reference>
        </references>
      </pivotArea>
    </format>
    <format dxfId="194">
      <pivotArea dataOnly="0" labelOnly="1" outline="0" fieldPosition="0">
        <references count="2">
          <reference field="1" count="1">
            <x v="22"/>
          </reference>
          <reference field="3" count="1" selected="0">
            <x v="67"/>
          </reference>
        </references>
      </pivotArea>
    </format>
    <format dxfId="193">
      <pivotArea type="all" dataOnly="0" outline="0" fieldPosition="0"/>
    </format>
    <format dxfId="192">
      <pivotArea outline="0" collapsedLevelsAreSubtotals="1" fieldPosition="0"/>
    </format>
    <format dxfId="191">
      <pivotArea field="3" type="button" dataOnly="0" labelOnly="1" outline="0" axis="axisRow" fieldPosition="0"/>
    </format>
    <format dxfId="190">
      <pivotArea field="1" type="button" dataOnly="0" labelOnly="1" outline="0" axis="axisRow" fieldPosition="1"/>
    </format>
    <format dxfId="189">
      <pivotArea dataOnly="0" labelOnly="1" outline="0" axis="axisValues" fieldPosition="0"/>
    </format>
    <format dxfId="188">
      <pivotArea dataOnly="0" labelOnly="1" outline="0" fieldPosition="0">
        <references count="1">
          <reference field="3" count="49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87">
      <pivotArea dataOnly="0" labelOnly="1" outline="0" fieldPosition="0">
        <references count="1">
          <reference field="3" count="18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</reference>
        </references>
      </pivotArea>
    </format>
    <format dxfId="186">
      <pivotArea dataOnly="0" labelOnly="1" outline="0" fieldPosition="0">
        <references count="2">
          <reference field="1" count="2">
            <x v="37"/>
            <x v="38"/>
          </reference>
          <reference field="3" count="1" selected="0">
            <x v="1"/>
          </reference>
        </references>
      </pivotArea>
    </format>
    <format dxfId="185">
      <pivotArea dataOnly="0" labelOnly="1" outline="0" fieldPosition="0">
        <references count="2">
          <reference field="1" count="1">
            <x v="39"/>
          </reference>
          <reference field="3" count="1" selected="0">
            <x v="2"/>
          </reference>
        </references>
      </pivotArea>
    </format>
    <format dxfId="184">
      <pivotArea dataOnly="0" labelOnly="1" outline="0" fieldPosition="0">
        <references count="2">
          <reference field="1" count="2">
            <x v="3"/>
            <x v="4"/>
          </reference>
          <reference field="3" count="1" selected="0">
            <x v="3"/>
          </reference>
        </references>
      </pivotArea>
    </format>
    <format dxfId="183">
      <pivotArea dataOnly="0" labelOnly="1" outline="0" fieldPosition="0">
        <references count="2">
          <reference field="1" count="1">
            <x v="8"/>
          </reference>
          <reference field="3" count="1" selected="0">
            <x v="4"/>
          </reference>
        </references>
      </pivotArea>
    </format>
    <format dxfId="182">
      <pivotArea dataOnly="0" labelOnly="1" outline="0" fieldPosition="0">
        <references count="2">
          <reference field="1" count="2">
            <x v="1"/>
            <x v="2"/>
          </reference>
          <reference field="3" count="1" selected="0">
            <x v="5"/>
          </reference>
        </references>
      </pivotArea>
    </format>
    <format dxfId="181">
      <pivotArea dataOnly="0" labelOnly="1" outline="0" fieldPosition="0">
        <references count="2">
          <reference field="1" count="1">
            <x v="7"/>
          </reference>
          <reference field="3" count="1" selected="0">
            <x v="6"/>
          </reference>
        </references>
      </pivotArea>
    </format>
    <format dxfId="180">
      <pivotArea dataOnly="0" labelOnly="1" outline="0" fieldPosition="0">
        <references count="2">
          <reference field="1" count="1">
            <x v="12"/>
          </reference>
          <reference field="3" count="1" selected="0">
            <x v="7"/>
          </reference>
        </references>
      </pivotArea>
    </format>
    <format dxfId="179">
      <pivotArea dataOnly="0" labelOnly="1" outline="0" fieldPosition="0">
        <references count="2">
          <reference field="1" count="1">
            <x v="27"/>
          </reference>
          <reference field="3" count="1" selected="0">
            <x v="8"/>
          </reference>
        </references>
      </pivotArea>
    </format>
    <format dxfId="178">
      <pivotArea dataOnly="0" labelOnly="1" outline="0" fieldPosition="0">
        <references count="2">
          <reference field="1" count="1">
            <x v="58"/>
          </reference>
          <reference field="3" count="1" selected="0">
            <x v="9"/>
          </reference>
        </references>
      </pivotArea>
    </format>
    <format dxfId="177">
      <pivotArea dataOnly="0" labelOnly="1" outline="0" fieldPosition="0">
        <references count="2">
          <reference field="1" count="1">
            <x v="82"/>
          </reference>
          <reference field="3" count="1" selected="0">
            <x v="10"/>
          </reference>
        </references>
      </pivotArea>
    </format>
    <format dxfId="176">
      <pivotArea dataOnly="0" labelOnly="1" outline="0" fieldPosition="0">
        <references count="2">
          <reference field="1" count="1">
            <x v="83"/>
          </reference>
          <reference field="3" count="1" selected="0">
            <x v="11"/>
          </reference>
        </references>
      </pivotArea>
    </format>
    <format dxfId="175">
      <pivotArea dataOnly="0" labelOnly="1" outline="0" fieldPosition="0">
        <references count="2">
          <reference field="1" count="1">
            <x v="84"/>
          </reference>
          <reference field="3" count="1" selected="0">
            <x v="12"/>
          </reference>
        </references>
      </pivotArea>
    </format>
    <format dxfId="174">
      <pivotArea dataOnly="0" labelOnly="1" outline="0" fieldPosition="0">
        <references count="2">
          <reference field="1" count="1">
            <x v="85"/>
          </reference>
          <reference field="3" count="1" selected="0">
            <x v="13"/>
          </reference>
        </references>
      </pivotArea>
    </format>
    <format dxfId="173">
      <pivotArea dataOnly="0" labelOnly="1" outline="0" fieldPosition="0">
        <references count="2">
          <reference field="1" count="1">
            <x v="86"/>
          </reference>
          <reference field="3" count="1" selected="0">
            <x v="14"/>
          </reference>
        </references>
      </pivotArea>
    </format>
    <format dxfId="172">
      <pivotArea dataOnly="0" labelOnly="1" outline="0" fieldPosition="0">
        <references count="2">
          <reference field="1" count="1">
            <x v="87"/>
          </reference>
          <reference field="3" count="1" selected="0">
            <x v="15"/>
          </reference>
        </references>
      </pivotArea>
    </format>
    <format dxfId="171">
      <pivotArea dataOnly="0" labelOnly="1" outline="0" fieldPosition="0">
        <references count="2">
          <reference field="1" count="1">
            <x v="43"/>
          </reference>
          <reference field="3" count="1" selected="0">
            <x v="16"/>
          </reference>
        </references>
      </pivotArea>
    </format>
    <format dxfId="170">
      <pivotArea dataOnly="0" labelOnly="1" outline="0" fieldPosition="0">
        <references count="2">
          <reference field="1" count="1">
            <x v="52"/>
          </reference>
          <reference field="3" count="1" selected="0">
            <x v="17"/>
          </reference>
        </references>
      </pivotArea>
    </format>
    <format dxfId="169">
      <pivotArea dataOnly="0" labelOnly="1" outline="0" fieldPosition="0">
        <references count="2">
          <reference field="1" count="1">
            <x v="59"/>
          </reference>
          <reference field="3" count="1" selected="0">
            <x v="18"/>
          </reference>
        </references>
      </pivotArea>
    </format>
    <format dxfId="168">
      <pivotArea dataOnly="0" labelOnly="1" outline="0" fieldPosition="0">
        <references count="2">
          <reference field="1" count="1">
            <x v="15"/>
          </reference>
          <reference field="3" count="1" selected="0">
            <x v="19"/>
          </reference>
        </references>
      </pivotArea>
    </format>
    <format dxfId="167">
      <pivotArea dataOnly="0" labelOnly="1" outline="0" fieldPosition="0">
        <references count="2">
          <reference field="1" count="1">
            <x v="19"/>
          </reference>
          <reference field="3" count="1" selected="0">
            <x v="20"/>
          </reference>
        </references>
      </pivotArea>
    </format>
    <format dxfId="166">
      <pivotArea dataOnly="0" labelOnly="1" outline="0" fieldPosition="0">
        <references count="2">
          <reference field="1" count="1">
            <x v="60"/>
          </reference>
          <reference field="3" count="1" selected="0">
            <x v="21"/>
          </reference>
        </references>
      </pivotArea>
    </format>
    <format dxfId="165">
      <pivotArea dataOnly="0" labelOnly="1" outline="0" fieldPosition="0">
        <references count="2">
          <reference field="1" count="1">
            <x v="61"/>
          </reference>
          <reference field="3" count="1" selected="0">
            <x v="22"/>
          </reference>
        </references>
      </pivotArea>
    </format>
    <format dxfId="164">
      <pivotArea dataOnly="0" labelOnly="1" outline="0" fieldPosition="0">
        <references count="2">
          <reference field="1" count="1">
            <x v="28"/>
          </reference>
          <reference field="3" count="1" selected="0">
            <x v="23"/>
          </reference>
        </references>
      </pivotArea>
    </format>
    <format dxfId="163">
      <pivotArea dataOnly="0" labelOnly="1" outline="0" fieldPosition="0">
        <references count="2">
          <reference field="1" count="1">
            <x v="62"/>
          </reference>
          <reference field="3" count="1" selected="0">
            <x v="24"/>
          </reference>
        </references>
      </pivotArea>
    </format>
    <format dxfId="162">
      <pivotArea dataOnly="0" labelOnly="1" outline="0" fieldPosition="0">
        <references count="2">
          <reference field="1" count="1">
            <x v="63"/>
          </reference>
          <reference field="3" count="1" selected="0">
            <x v="25"/>
          </reference>
        </references>
      </pivotArea>
    </format>
    <format dxfId="161">
      <pivotArea dataOnly="0" labelOnly="1" outline="0" fieldPosition="0">
        <references count="2">
          <reference field="1" count="1">
            <x v="29"/>
          </reference>
          <reference field="3" count="1" selected="0">
            <x v="26"/>
          </reference>
        </references>
      </pivotArea>
    </format>
    <format dxfId="160">
      <pivotArea dataOnly="0" labelOnly="1" outline="0" fieldPosition="0">
        <references count="2">
          <reference field="1" count="1">
            <x v="26"/>
          </reference>
          <reference field="3" count="1" selected="0">
            <x v="27"/>
          </reference>
        </references>
      </pivotArea>
    </format>
    <format dxfId="159">
      <pivotArea dataOnly="0" labelOnly="1" outline="0" fieldPosition="0">
        <references count="2">
          <reference field="1" count="1">
            <x v="44"/>
          </reference>
          <reference field="3" count="1" selected="0">
            <x v="28"/>
          </reference>
        </references>
      </pivotArea>
    </format>
    <format dxfId="158">
      <pivotArea dataOnly="0" labelOnly="1" outline="0" fieldPosition="0">
        <references count="2">
          <reference field="1" count="1">
            <x v="40"/>
          </reference>
          <reference field="3" count="1" selected="0">
            <x v="29"/>
          </reference>
        </references>
      </pivotArea>
    </format>
    <format dxfId="157">
      <pivotArea dataOnly="0" labelOnly="1" outline="0" fieldPosition="0">
        <references count="2">
          <reference field="1" count="1">
            <x v="45"/>
          </reference>
          <reference field="3" count="1" selected="0">
            <x v="30"/>
          </reference>
        </references>
      </pivotArea>
    </format>
    <format dxfId="156">
      <pivotArea dataOnly="0" labelOnly="1" outline="0" fieldPosition="0">
        <references count="2">
          <reference field="1" count="1">
            <x v="64"/>
          </reference>
          <reference field="3" count="1" selected="0">
            <x v="31"/>
          </reference>
        </references>
      </pivotArea>
    </format>
    <format dxfId="155">
      <pivotArea dataOnly="0" labelOnly="1" outline="0" fieldPosition="0">
        <references count="2">
          <reference field="1" count="1">
            <x v="66"/>
          </reference>
          <reference field="3" count="1" selected="0">
            <x v="32"/>
          </reference>
        </references>
      </pivotArea>
    </format>
    <format dxfId="154">
      <pivotArea dataOnly="0" labelOnly="1" outline="0" fieldPosition="0">
        <references count="2">
          <reference field="1" count="1">
            <x v="65"/>
          </reference>
          <reference field="3" count="1" selected="0">
            <x v="33"/>
          </reference>
        </references>
      </pivotArea>
    </format>
    <format dxfId="153">
      <pivotArea dataOnly="0" labelOnly="1" outline="0" fieldPosition="0">
        <references count="2">
          <reference field="1" count="2">
            <x v="37"/>
            <x v="38"/>
          </reference>
          <reference field="3" count="1" selected="0">
            <x v="34"/>
          </reference>
        </references>
      </pivotArea>
    </format>
    <format dxfId="152">
      <pivotArea dataOnly="0" labelOnly="1" outline="0" fieldPosition="0">
        <references count="2">
          <reference field="1" count="1">
            <x v="39"/>
          </reference>
          <reference field="3" count="1" selected="0">
            <x v="35"/>
          </reference>
        </references>
      </pivotArea>
    </format>
    <format dxfId="151">
      <pivotArea dataOnly="0" labelOnly="1" outline="0" fieldPosition="0">
        <references count="2">
          <reference field="1" count="1">
            <x v="68"/>
          </reference>
          <reference field="3" count="1" selected="0">
            <x v="36"/>
          </reference>
        </references>
      </pivotArea>
    </format>
    <format dxfId="150">
      <pivotArea dataOnly="0" labelOnly="1" outline="0" fieldPosition="0">
        <references count="2">
          <reference field="1" count="1">
            <x v="81"/>
          </reference>
          <reference field="3" count="1" selected="0">
            <x v="37"/>
          </reference>
        </references>
      </pivotArea>
    </format>
    <format dxfId="149">
      <pivotArea dataOnly="0" labelOnly="1" outline="0" fieldPosition="0">
        <references count="2">
          <reference field="1" count="2">
            <x v="5"/>
            <x v="6"/>
          </reference>
          <reference field="3" count="1" selected="0">
            <x v="38"/>
          </reference>
        </references>
      </pivotArea>
    </format>
    <format dxfId="148">
      <pivotArea dataOnly="0" labelOnly="1" outline="0" fieldPosition="0">
        <references count="2">
          <reference field="1" count="1">
            <x v="9"/>
          </reference>
          <reference field="3" count="1" selected="0">
            <x v="39"/>
          </reference>
        </references>
      </pivotArea>
    </format>
    <format dxfId="147">
      <pivotArea dataOnly="0" labelOnly="1" outline="0" fieldPosition="0">
        <references count="2">
          <reference field="1" count="1">
            <x v="70"/>
          </reference>
          <reference field="3" count="1" selected="0">
            <x v="40"/>
          </reference>
        </references>
      </pivotArea>
    </format>
    <format dxfId="146">
      <pivotArea dataOnly="0" labelOnly="1" outline="0" fieldPosition="0">
        <references count="2">
          <reference field="1" count="1">
            <x v="71"/>
          </reference>
          <reference field="3" count="1" selected="0">
            <x v="41"/>
          </reference>
        </references>
      </pivotArea>
    </format>
    <format dxfId="145">
      <pivotArea dataOnly="0" labelOnly="1" outline="0" fieldPosition="0">
        <references count="2">
          <reference field="1" count="1">
            <x v="75"/>
          </reference>
          <reference field="3" count="1" selected="0">
            <x v="42"/>
          </reference>
        </references>
      </pivotArea>
    </format>
    <format dxfId="144">
      <pivotArea dataOnly="0" labelOnly="1" outline="0" fieldPosition="0">
        <references count="2">
          <reference field="1" count="1">
            <x v="17"/>
          </reference>
          <reference field="3" count="1" selected="0">
            <x v="43"/>
          </reference>
        </references>
      </pivotArea>
    </format>
    <format dxfId="143">
      <pivotArea dataOnly="0" labelOnly="1" outline="0" fieldPosition="0">
        <references count="2">
          <reference field="1" count="1">
            <x v="19"/>
          </reference>
          <reference field="3" count="1" selected="0">
            <x v="44"/>
          </reference>
        </references>
      </pivotArea>
    </format>
    <format dxfId="142">
      <pivotArea dataOnly="0" labelOnly="1" outline="0" fieldPosition="0">
        <references count="2">
          <reference field="1" count="1">
            <x v="72"/>
          </reference>
          <reference field="3" count="1" selected="0">
            <x v="45"/>
          </reference>
        </references>
      </pivotArea>
    </format>
    <format dxfId="141">
      <pivotArea dataOnly="0" labelOnly="1" outline="0" fieldPosition="0">
        <references count="2">
          <reference field="1" count="1">
            <x v="10"/>
          </reference>
          <reference field="3" count="1" selected="0">
            <x v="46"/>
          </reference>
        </references>
      </pivotArea>
    </format>
    <format dxfId="140">
      <pivotArea dataOnly="0" labelOnly="1" outline="0" fieldPosition="0">
        <references count="2">
          <reference field="1" count="1">
            <x v="46"/>
          </reference>
          <reference field="3" count="1" selected="0">
            <x v="47"/>
          </reference>
        </references>
      </pivotArea>
    </format>
    <format dxfId="139">
      <pivotArea dataOnly="0" labelOnly="1" outline="0" fieldPosition="0">
        <references count="2">
          <reference field="1" count="1">
            <x v="41"/>
          </reference>
          <reference field="3" count="1" selected="0">
            <x v="48"/>
          </reference>
        </references>
      </pivotArea>
    </format>
    <format dxfId="138">
      <pivotArea dataOnly="0" labelOnly="1" outline="0" fieldPosition="0">
        <references count="2">
          <reference field="1" count="1">
            <x v="33"/>
          </reference>
          <reference field="3" count="1" selected="0">
            <x v="49"/>
          </reference>
        </references>
      </pivotArea>
    </format>
    <format dxfId="137">
      <pivotArea dataOnly="0" labelOnly="1" outline="0" fieldPosition="0">
        <references count="2">
          <reference field="1" count="1">
            <x v="14"/>
          </reference>
          <reference field="3" count="1" selected="0">
            <x v="50"/>
          </reference>
        </references>
      </pivotArea>
    </format>
    <format dxfId="136">
      <pivotArea dataOnly="0" labelOnly="1" outline="0" fieldPosition="0">
        <references count="2">
          <reference field="1" count="1">
            <x v="18"/>
          </reference>
          <reference field="3" count="1" selected="0">
            <x v="51"/>
          </reference>
        </references>
      </pivotArea>
    </format>
    <format dxfId="135">
      <pivotArea dataOnly="0" labelOnly="1" outline="0" fieldPosition="0">
        <references count="2">
          <reference field="1" count="1">
            <x v="42"/>
          </reference>
          <reference field="3" count="1" selected="0">
            <x v="52"/>
          </reference>
        </references>
      </pivotArea>
    </format>
    <format dxfId="134">
      <pivotArea dataOnly="0" labelOnly="1" outline="0" fieldPosition="0">
        <references count="2">
          <reference field="1" count="1">
            <x v="32"/>
          </reference>
          <reference field="3" count="1" selected="0">
            <x v="53"/>
          </reference>
        </references>
      </pivotArea>
    </format>
    <format dxfId="133">
      <pivotArea dataOnly="0" labelOnly="1" outline="0" fieldPosition="0">
        <references count="2">
          <reference field="1" count="1">
            <x v="13"/>
          </reference>
          <reference field="3" count="1" selected="0">
            <x v="54"/>
          </reference>
        </references>
      </pivotArea>
    </format>
    <format dxfId="132">
      <pivotArea dataOnly="0" labelOnly="1" outline="0" fieldPosition="0">
        <references count="2">
          <reference field="1" count="1">
            <x v="74"/>
          </reference>
          <reference field="3" count="1" selected="0">
            <x v="55"/>
          </reference>
        </references>
      </pivotArea>
    </format>
    <format dxfId="131">
      <pivotArea dataOnly="0" labelOnly="1" outline="0" fieldPosition="0">
        <references count="2">
          <reference field="1" count="1">
            <x v="16"/>
          </reference>
          <reference field="3" count="1" selected="0">
            <x v="56"/>
          </reference>
        </references>
      </pivotArea>
    </format>
    <format dxfId="130">
      <pivotArea dataOnly="0" labelOnly="1" outline="0" fieldPosition="0">
        <references count="2">
          <reference field="1" count="1">
            <x v="47"/>
          </reference>
          <reference field="3" count="1" selected="0">
            <x v="57"/>
          </reference>
        </references>
      </pivotArea>
    </format>
    <format dxfId="129">
      <pivotArea dataOnly="0" labelOnly="1" outline="0" fieldPosition="0">
        <references count="2">
          <reference field="1" count="1">
            <x v="54"/>
          </reference>
          <reference field="3" count="1" selected="0">
            <x v="58"/>
          </reference>
        </references>
      </pivotArea>
    </format>
    <format dxfId="128">
      <pivotArea dataOnly="0" labelOnly="1" outline="0" fieldPosition="0">
        <references count="2">
          <reference field="1" count="1">
            <x v="55"/>
          </reference>
          <reference field="3" count="1" selected="0">
            <x v="59"/>
          </reference>
        </references>
      </pivotArea>
    </format>
    <format dxfId="127">
      <pivotArea dataOnly="0" labelOnly="1" outline="0" fieldPosition="0">
        <references count="2">
          <reference field="1" count="1">
            <x v="56"/>
          </reference>
          <reference field="3" count="1" selected="0">
            <x v="60"/>
          </reference>
        </references>
      </pivotArea>
    </format>
    <format dxfId="126">
      <pivotArea dataOnly="0" labelOnly="1" outline="0" fieldPosition="0">
        <references count="2">
          <reference field="1" count="1">
            <x v="77"/>
          </reference>
          <reference field="3" count="1" selected="0">
            <x v="61"/>
          </reference>
        </references>
      </pivotArea>
    </format>
    <format dxfId="125">
      <pivotArea dataOnly="0" labelOnly="1" outline="0" fieldPosition="0">
        <references count="2">
          <reference field="1" count="1">
            <x v="25"/>
          </reference>
          <reference field="3" count="1" selected="0">
            <x v="62"/>
          </reference>
        </references>
      </pivotArea>
    </format>
    <format dxfId="124">
      <pivotArea dataOnly="0" labelOnly="1" outline="0" fieldPosition="0">
        <references count="2">
          <reference field="1" count="1">
            <x v="78"/>
          </reference>
          <reference field="3" count="1" selected="0">
            <x v="63"/>
          </reference>
        </references>
      </pivotArea>
    </format>
    <format dxfId="123">
      <pivotArea dataOnly="0" labelOnly="1" outline="0" fieldPosition="0">
        <references count="2">
          <reference field="1" count="1">
            <x v="79"/>
          </reference>
          <reference field="3" count="1" selected="0">
            <x v="64"/>
          </reference>
        </references>
      </pivotArea>
    </format>
    <format dxfId="122">
      <pivotArea dataOnly="0" labelOnly="1" outline="0" fieldPosition="0">
        <references count="2">
          <reference field="1" count="1">
            <x v="30"/>
          </reference>
          <reference field="3" count="1" selected="0">
            <x v="65"/>
          </reference>
        </references>
      </pivotArea>
    </format>
    <format dxfId="121">
      <pivotArea dataOnly="0" labelOnly="1" outline="0" fieldPosition="0">
        <references count="2">
          <reference field="1" count="1">
            <x v="31"/>
          </reference>
          <reference field="3" count="1" selected="0">
            <x v="66"/>
          </reference>
        </references>
      </pivotArea>
    </format>
    <format dxfId="120">
      <pivotArea dataOnly="0" labelOnly="1" outline="0" fieldPosition="0">
        <references count="2">
          <reference field="1" count="1">
            <x v="22"/>
          </reference>
          <reference field="3" count="1" selected="0">
            <x v="67"/>
          </reference>
        </references>
      </pivotArea>
    </format>
    <format dxfId="119">
      <pivotArea dataOnly="0" labelOnly="1" outline="0" axis="axisValues" fieldPosition="0"/>
    </format>
    <format dxfId="118">
      <pivotArea type="all" dataOnly="0" outline="0" fieldPosition="0"/>
    </format>
    <format dxfId="117">
      <pivotArea outline="0" collapsedLevelsAreSubtotals="1" fieldPosition="0"/>
    </format>
    <format dxfId="116">
      <pivotArea field="3" type="button" dataOnly="0" labelOnly="1" outline="0" axis="axisRow" fieldPosition="0"/>
    </format>
    <format dxfId="115">
      <pivotArea field="1" type="button" dataOnly="0" labelOnly="1" outline="0" axis="axisRow" fieldPosition="1"/>
    </format>
    <format dxfId="114">
      <pivotArea dataOnly="0" labelOnly="1" outline="0" axis="axisValues" fieldPosition="0"/>
    </format>
    <format dxfId="113">
      <pivotArea dataOnly="0" labelOnly="1" outline="0" fieldPosition="0">
        <references count="1">
          <reference field="3" count="49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12">
      <pivotArea dataOnly="0" labelOnly="1" outline="0" fieldPosition="0">
        <references count="1">
          <reference field="3" count="18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</reference>
        </references>
      </pivotArea>
    </format>
    <format dxfId="111">
      <pivotArea dataOnly="0" labelOnly="1" outline="0" fieldPosition="0">
        <references count="2">
          <reference field="1" count="2">
            <x v="37"/>
            <x v="38"/>
          </reference>
          <reference field="3" count="1" selected="0">
            <x v="1"/>
          </reference>
        </references>
      </pivotArea>
    </format>
    <format dxfId="110">
      <pivotArea dataOnly="0" labelOnly="1" outline="0" fieldPosition="0">
        <references count="2">
          <reference field="1" count="1">
            <x v="39"/>
          </reference>
          <reference field="3" count="1" selected="0">
            <x v="2"/>
          </reference>
        </references>
      </pivotArea>
    </format>
    <format dxfId="109">
      <pivotArea dataOnly="0" labelOnly="1" outline="0" fieldPosition="0">
        <references count="2">
          <reference field="1" count="2">
            <x v="3"/>
            <x v="4"/>
          </reference>
          <reference field="3" count="1" selected="0">
            <x v="3"/>
          </reference>
        </references>
      </pivotArea>
    </format>
    <format dxfId="108">
      <pivotArea dataOnly="0" labelOnly="1" outline="0" fieldPosition="0">
        <references count="2">
          <reference field="1" count="1">
            <x v="8"/>
          </reference>
          <reference field="3" count="1" selected="0">
            <x v="4"/>
          </reference>
        </references>
      </pivotArea>
    </format>
    <format dxfId="107">
      <pivotArea dataOnly="0" labelOnly="1" outline="0" fieldPosition="0">
        <references count="2">
          <reference field="1" count="2">
            <x v="1"/>
            <x v="2"/>
          </reference>
          <reference field="3" count="1" selected="0">
            <x v="5"/>
          </reference>
        </references>
      </pivotArea>
    </format>
    <format dxfId="106">
      <pivotArea dataOnly="0" labelOnly="1" outline="0" fieldPosition="0">
        <references count="2">
          <reference field="1" count="1">
            <x v="7"/>
          </reference>
          <reference field="3" count="1" selected="0">
            <x v="6"/>
          </reference>
        </references>
      </pivotArea>
    </format>
    <format dxfId="105">
      <pivotArea dataOnly="0" labelOnly="1" outline="0" fieldPosition="0">
        <references count="2">
          <reference field="1" count="1">
            <x v="12"/>
          </reference>
          <reference field="3" count="1" selected="0">
            <x v="7"/>
          </reference>
        </references>
      </pivotArea>
    </format>
    <format dxfId="104">
      <pivotArea dataOnly="0" labelOnly="1" outline="0" fieldPosition="0">
        <references count="2">
          <reference field="1" count="1">
            <x v="27"/>
          </reference>
          <reference field="3" count="1" selected="0">
            <x v="8"/>
          </reference>
        </references>
      </pivotArea>
    </format>
    <format dxfId="103">
      <pivotArea dataOnly="0" labelOnly="1" outline="0" fieldPosition="0">
        <references count="2">
          <reference field="1" count="1">
            <x v="58"/>
          </reference>
          <reference field="3" count="1" selected="0">
            <x v="9"/>
          </reference>
        </references>
      </pivotArea>
    </format>
    <format dxfId="102">
      <pivotArea dataOnly="0" labelOnly="1" outline="0" fieldPosition="0">
        <references count="2">
          <reference field="1" count="1">
            <x v="82"/>
          </reference>
          <reference field="3" count="1" selected="0">
            <x v="10"/>
          </reference>
        </references>
      </pivotArea>
    </format>
    <format dxfId="101">
      <pivotArea dataOnly="0" labelOnly="1" outline="0" fieldPosition="0">
        <references count="2">
          <reference field="1" count="1">
            <x v="83"/>
          </reference>
          <reference field="3" count="1" selected="0">
            <x v="11"/>
          </reference>
        </references>
      </pivotArea>
    </format>
    <format dxfId="100">
      <pivotArea dataOnly="0" labelOnly="1" outline="0" fieldPosition="0">
        <references count="2">
          <reference field="1" count="1">
            <x v="84"/>
          </reference>
          <reference field="3" count="1" selected="0">
            <x v="12"/>
          </reference>
        </references>
      </pivotArea>
    </format>
    <format dxfId="99">
      <pivotArea dataOnly="0" labelOnly="1" outline="0" fieldPosition="0">
        <references count="2">
          <reference field="1" count="1">
            <x v="85"/>
          </reference>
          <reference field="3" count="1" selected="0">
            <x v="13"/>
          </reference>
        </references>
      </pivotArea>
    </format>
    <format dxfId="98">
      <pivotArea dataOnly="0" labelOnly="1" outline="0" fieldPosition="0">
        <references count="2">
          <reference field="1" count="1">
            <x v="86"/>
          </reference>
          <reference field="3" count="1" selected="0">
            <x v="14"/>
          </reference>
        </references>
      </pivotArea>
    </format>
    <format dxfId="97">
      <pivotArea dataOnly="0" labelOnly="1" outline="0" fieldPosition="0">
        <references count="2">
          <reference field="1" count="1">
            <x v="87"/>
          </reference>
          <reference field="3" count="1" selected="0">
            <x v="15"/>
          </reference>
        </references>
      </pivotArea>
    </format>
    <format dxfId="96">
      <pivotArea dataOnly="0" labelOnly="1" outline="0" fieldPosition="0">
        <references count="2">
          <reference field="1" count="1">
            <x v="43"/>
          </reference>
          <reference field="3" count="1" selected="0">
            <x v="16"/>
          </reference>
        </references>
      </pivotArea>
    </format>
    <format dxfId="95">
      <pivotArea dataOnly="0" labelOnly="1" outline="0" fieldPosition="0">
        <references count="2">
          <reference field="1" count="1">
            <x v="52"/>
          </reference>
          <reference field="3" count="1" selected="0">
            <x v="17"/>
          </reference>
        </references>
      </pivotArea>
    </format>
    <format dxfId="94">
      <pivotArea dataOnly="0" labelOnly="1" outline="0" fieldPosition="0">
        <references count="2">
          <reference field="1" count="1">
            <x v="59"/>
          </reference>
          <reference field="3" count="1" selected="0">
            <x v="18"/>
          </reference>
        </references>
      </pivotArea>
    </format>
    <format dxfId="93">
      <pivotArea dataOnly="0" labelOnly="1" outline="0" fieldPosition="0">
        <references count="2">
          <reference field="1" count="1">
            <x v="15"/>
          </reference>
          <reference field="3" count="1" selected="0">
            <x v="19"/>
          </reference>
        </references>
      </pivotArea>
    </format>
    <format dxfId="92">
      <pivotArea dataOnly="0" labelOnly="1" outline="0" fieldPosition="0">
        <references count="2">
          <reference field="1" count="1">
            <x v="19"/>
          </reference>
          <reference field="3" count="1" selected="0">
            <x v="20"/>
          </reference>
        </references>
      </pivotArea>
    </format>
    <format dxfId="91">
      <pivotArea dataOnly="0" labelOnly="1" outline="0" fieldPosition="0">
        <references count="2">
          <reference field="1" count="1">
            <x v="60"/>
          </reference>
          <reference field="3" count="1" selected="0">
            <x v="21"/>
          </reference>
        </references>
      </pivotArea>
    </format>
    <format dxfId="90">
      <pivotArea dataOnly="0" labelOnly="1" outline="0" fieldPosition="0">
        <references count="2">
          <reference field="1" count="1">
            <x v="61"/>
          </reference>
          <reference field="3" count="1" selected="0">
            <x v="22"/>
          </reference>
        </references>
      </pivotArea>
    </format>
    <format dxfId="89">
      <pivotArea dataOnly="0" labelOnly="1" outline="0" fieldPosition="0">
        <references count="2">
          <reference field="1" count="1">
            <x v="28"/>
          </reference>
          <reference field="3" count="1" selected="0">
            <x v="23"/>
          </reference>
        </references>
      </pivotArea>
    </format>
    <format dxfId="88">
      <pivotArea dataOnly="0" labelOnly="1" outline="0" fieldPosition="0">
        <references count="2">
          <reference field="1" count="1">
            <x v="62"/>
          </reference>
          <reference field="3" count="1" selected="0">
            <x v="24"/>
          </reference>
        </references>
      </pivotArea>
    </format>
    <format dxfId="87">
      <pivotArea dataOnly="0" labelOnly="1" outline="0" fieldPosition="0">
        <references count="2">
          <reference field="1" count="1">
            <x v="63"/>
          </reference>
          <reference field="3" count="1" selected="0">
            <x v="25"/>
          </reference>
        </references>
      </pivotArea>
    </format>
    <format dxfId="86">
      <pivotArea dataOnly="0" labelOnly="1" outline="0" fieldPosition="0">
        <references count="2">
          <reference field="1" count="1">
            <x v="29"/>
          </reference>
          <reference field="3" count="1" selected="0">
            <x v="26"/>
          </reference>
        </references>
      </pivotArea>
    </format>
    <format dxfId="85">
      <pivotArea dataOnly="0" labelOnly="1" outline="0" fieldPosition="0">
        <references count="2">
          <reference field="1" count="1">
            <x v="26"/>
          </reference>
          <reference field="3" count="1" selected="0">
            <x v="27"/>
          </reference>
        </references>
      </pivotArea>
    </format>
    <format dxfId="84">
      <pivotArea dataOnly="0" labelOnly="1" outline="0" fieldPosition="0">
        <references count="2">
          <reference field="1" count="1">
            <x v="44"/>
          </reference>
          <reference field="3" count="1" selected="0">
            <x v="28"/>
          </reference>
        </references>
      </pivotArea>
    </format>
    <format dxfId="83">
      <pivotArea dataOnly="0" labelOnly="1" outline="0" fieldPosition="0">
        <references count="2">
          <reference field="1" count="1">
            <x v="40"/>
          </reference>
          <reference field="3" count="1" selected="0">
            <x v="29"/>
          </reference>
        </references>
      </pivotArea>
    </format>
    <format dxfId="82">
      <pivotArea dataOnly="0" labelOnly="1" outline="0" fieldPosition="0">
        <references count="2">
          <reference field="1" count="1">
            <x v="45"/>
          </reference>
          <reference field="3" count="1" selected="0">
            <x v="30"/>
          </reference>
        </references>
      </pivotArea>
    </format>
    <format dxfId="81">
      <pivotArea dataOnly="0" labelOnly="1" outline="0" fieldPosition="0">
        <references count="2">
          <reference field="1" count="1">
            <x v="64"/>
          </reference>
          <reference field="3" count="1" selected="0">
            <x v="31"/>
          </reference>
        </references>
      </pivotArea>
    </format>
    <format dxfId="80">
      <pivotArea dataOnly="0" labelOnly="1" outline="0" fieldPosition="0">
        <references count="2">
          <reference field="1" count="1">
            <x v="66"/>
          </reference>
          <reference field="3" count="1" selected="0">
            <x v="32"/>
          </reference>
        </references>
      </pivotArea>
    </format>
    <format dxfId="79">
      <pivotArea dataOnly="0" labelOnly="1" outline="0" fieldPosition="0">
        <references count="2">
          <reference field="1" count="1">
            <x v="65"/>
          </reference>
          <reference field="3" count="1" selected="0">
            <x v="33"/>
          </reference>
        </references>
      </pivotArea>
    </format>
    <format dxfId="78">
      <pivotArea dataOnly="0" labelOnly="1" outline="0" fieldPosition="0">
        <references count="2">
          <reference field="1" count="2">
            <x v="37"/>
            <x v="38"/>
          </reference>
          <reference field="3" count="1" selected="0">
            <x v="34"/>
          </reference>
        </references>
      </pivotArea>
    </format>
    <format dxfId="77">
      <pivotArea dataOnly="0" labelOnly="1" outline="0" fieldPosition="0">
        <references count="2">
          <reference field="1" count="1">
            <x v="39"/>
          </reference>
          <reference field="3" count="1" selected="0">
            <x v="35"/>
          </reference>
        </references>
      </pivotArea>
    </format>
    <format dxfId="76">
      <pivotArea dataOnly="0" labelOnly="1" outline="0" fieldPosition="0">
        <references count="2">
          <reference field="1" count="1">
            <x v="68"/>
          </reference>
          <reference field="3" count="1" selected="0">
            <x v="36"/>
          </reference>
        </references>
      </pivotArea>
    </format>
    <format dxfId="75">
      <pivotArea dataOnly="0" labelOnly="1" outline="0" fieldPosition="0">
        <references count="2">
          <reference field="1" count="1">
            <x v="81"/>
          </reference>
          <reference field="3" count="1" selected="0">
            <x v="37"/>
          </reference>
        </references>
      </pivotArea>
    </format>
    <format dxfId="74">
      <pivotArea dataOnly="0" labelOnly="1" outline="0" fieldPosition="0">
        <references count="2">
          <reference field="1" count="2">
            <x v="5"/>
            <x v="6"/>
          </reference>
          <reference field="3" count="1" selected="0">
            <x v="38"/>
          </reference>
        </references>
      </pivotArea>
    </format>
    <format dxfId="73">
      <pivotArea dataOnly="0" labelOnly="1" outline="0" fieldPosition="0">
        <references count="2">
          <reference field="1" count="1">
            <x v="9"/>
          </reference>
          <reference field="3" count="1" selected="0">
            <x v="39"/>
          </reference>
        </references>
      </pivotArea>
    </format>
    <format dxfId="72">
      <pivotArea dataOnly="0" labelOnly="1" outline="0" fieldPosition="0">
        <references count="2">
          <reference field="1" count="1">
            <x v="70"/>
          </reference>
          <reference field="3" count="1" selected="0">
            <x v="40"/>
          </reference>
        </references>
      </pivotArea>
    </format>
    <format dxfId="71">
      <pivotArea dataOnly="0" labelOnly="1" outline="0" fieldPosition="0">
        <references count="2">
          <reference field="1" count="1">
            <x v="71"/>
          </reference>
          <reference field="3" count="1" selected="0">
            <x v="41"/>
          </reference>
        </references>
      </pivotArea>
    </format>
    <format dxfId="70">
      <pivotArea dataOnly="0" labelOnly="1" outline="0" fieldPosition="0">
        <references count="2">
          <reference field="1" count="1">
            <x v="75"/>
          </reference>
          <reference field="3" count="1" selected="0">
            <x v="42"/>
          </reference>
        </references>
      </pivotArea>
    </format>
    <format dxfId="69">
      <pivotArea dataOnly="0" labelOnly="1" outline="0" fieldPosition="0">
        <references count="2">
          <reference field="1" count="1">
            <x v="17"/>
          </reference>
          <reference field="3" count="1" selected="0">
            <x v="43"/>
          </reference>
        </references>
      </pivotArea>
    </format>
    <format dxfId="68">
      <pivotArea dataOnly="0" labelOnly="1" outline="0" fieldPosition="0">
        <references count="2">
          <reference field="1" count="1">
            <x v="19"/>
          </reference>
          <reference field="3" count="1" selected="0">
            <x v="44"/>
          </reference>
        </references>
      </pivotArea>
    </format>
    <format dxfId="67">
      <pivotArea dataOnly="0" labelOnly="1" outline="0" fieldPosition="0">
        <references count="2">
          <reference field="1" count="1">
            <x v="72"/>
          </reference>
          <reference field="3" count="1" selected="0">
            <x v="45"/>
          </reference>
        </references>
      </pivotArea>
    </format>
    <format dxfId="66">
      <pivotArea dataOnly="0" labelOnly="1" outline="0" fieldPosition="0">
        <references count="2">
          <reference field="1" count="1">
            <x v="10"/>
          </reference>
          <reference field="3" count="1" selected="0">
            <x v="46"/>
          </reference>
        </references>
      </pivotArea>
    </format>
    <format dxfId="65">
      <pivotArea dataOnly="0" labelOnly="1" outline="0" fieldPosition="0">
        <references count="2">
          <reference field="1" count="1">
            <x v="46"/>
          </reference>
          <reference field="3" count="1" selected="0">
            <x v="47"/>
          </reference>
        </references>
      </pivotArea>
    </format>
    <format dxfId="64">
      <pivotArea dataOnly="0" labelOnly="1" outline="0" fieldPosition="0">
        <references count="2">
          <reference field="1" count="1">
            <x v="41"/>
          </reference>
          <reference field="3" count="1" selected="0">
            <x v="48"/>
          </reference>
        </references>
      </pivotArea>
    </format>
    <format dxfId="63">
      <pivotArea dataOnly="0" labelOnly="1" outline="0" fieldPosition="0">
        <references count="2">
          <reference field="1" count="1">
            <x v="33"/>
          </reference>
          <reference field="3" count="1" selected="0">
            <x v="49"/>
          </reference>
        </references>
      </pivotArea>
    </format>
    <format dxfId="62">
      <pivotArea dataOnly="0" labelOnly="1" outline="0" fieldPosition="0">
        <references count="2">
          <reference field="1" count="1">
            <x v="14"/>
          </reference>
          <reference field="3" count="1" selected="0">
            <x v="50"/>
          </reference>
        </references>
      </pivotArea>
    </format>
    <format dxfId="61">
      <pivotArea dataOnly="0" labelOnly="1" outline="0" fieldPosition="0">
        <references count="2">
          <reference field="1" count="1">
            <x v="18"/>
          </reference>
          <reference field="3" count="1" selected="0">
            <x v="51"/>
          </reference>
        </references>
      </pivotArea>
    </format>
    <format dxfId="60">
      <pivotArea dataOnly="0" labelOnly="1" outline="0" fieldPosition="0">
        <references count="2">
          <reference field="1" count="1">
            <x v="42"/>
          </reference>
          <reference field="3" count="1" selected="0">
            <x v="52"/>
          </reference>
        </references>
      </pivotArea>
    </format>
    <format dxfId="59">
      <pivotArea dataOnly="0" labelOnly="1" outline="0" fieldPosition="0">
        <references count="2">
          <reference field="1" count="1">
            <x v="32"/>
          </reference>
          <reference field="3" count="1" selected="0">
            <x v="53"/>
          </reference>
        </references>
      </pivotArea>
    </format>
    <format dxfId="58">
      <pivotArea dataOnly="0" labelOnly="1" outline="0" fieldPosition="0">
        <references count="2">
          <reference field="1" count="1">
            <x v="13"/>
          </reference>
          <reference field="3" count="1" selected="0">
            <x v="54"/>
          </reference>
        </references>
      </pivotArea>
    </format>
    <format dxfId="57">
      <pivotArea dataOnly="0" labelOnly="1" outline="0" fieldPosition="0">
        <references count="2">
          <reference field="1" count="1">
            <x v="74"/>
          </reference>
          <reference field="3" count="1" selected="0">
            <x v="55"/>
          </reference>
        </references>
      </pivotArea>
    </format>
    <format dxfId="56">
      <pivotArea dataOnly="0" labelOnly="1" outline="0" fieldPosition="0">
        <references count="2">
          <reference field="1" count="1">
            <x v="16"/>
          </reference>
          <reference field="3" count="1" selected="0">
            <x v="56"/>
          </reference>
        </references>
      </pivotArea>
    </format>
    <format dxfId="55">
      <pivotArea dataOnly="0" labelOnly="1" outline="0" fieldPosition="0">
        <references count="2">
          <reference field="1" count="1">
            <x v="47"/>
          </reference>
          <reference field="3" count="1" selected="0">
            <x v="57"/>
          </reference>
        </references>
      </pivotArea>
    </format>
    <format dxfId="54">
      <pivotArea dataOnly="0" labelOnly="1" outline="0" fieldPosition="0">
        <references count="2">
          <reference field="1" count="1">
            <x v="54"/>
          </reference>
          <reference field="3" count="1" selected="0">
            <x v="58"/>
          </reference>
        </references>
      </pivotArea>
    </format>
    <format dxfId="53">
      <pivotArea dataOnly="0" labelOnly="1" outline="0" fieldPosition="0">
        <references count="2">
          <reference field="1" count="1">
            <x v="55"/>
          </reference>
          <reference field="3" count="1" selected="0">
            <x v="59"/>
          </reference>
        </references>
      </pivotArea>
    </format>
    <format dxfId="52">
      <pivotArea dataOnly="0" labelOnly="1" outline="0" fieldPosition="0">
        <references count="2">
          <reference field="1" count="1">
            <x v="56"/>
          </reference>
          <reference field="3" count="1" selected="0">
            <x v="60"/>
          </reference>
        </references>
      </pivotArea>
    </format>
    <format dxfId="51">
      <pivotArea dataOnly="0" labelOnly="1" outline="0" fieldPosition="0">
        <references count="2">
          <reference field="1" count="1">
            <x v="77"/>
          </reference>
          <reference field="3" count="1" selected="0">
            <x v="61"/>
          </reference>
        </references>
      </pivotArea>
    </format>
    <format dxfId="50">
      <pivotArea dataOnly="0" labelOnly="1" outline="0" fieldPosition="0">
        <references count="2">
          <reference field="1" count="1">
            <x v="25"/>
          </reference>
          <reference field="3" count="1" selected="0">
            <x v="62"/>
          </reference>
        </references>
      </pivotArea>
    </format>
    <format dxfId="49">
      <pivotArea dataOnly="0" labelOnly="1" outline="0" fieldPosition="0">
        <references count="2">
          <reference field="1" count="1">
            <x v="78"/>
          </reference>
          <reference field="3" count="1" selected="0">
            <x v="63"/>
          </reference>
        </references>
      </pivotArea>
    </format>
    <format dxfId="48">
      <pivotArea dataOnly="0" labelOnly="1" outline="0" fieldPosition="0">
        <references count="2">
          <reference field="1" count="1">
            <x v="79"/>
          </reference>
          <reference field="3" count="1" selected="0">
            <x v="64"/>
          </reference>
        </references>
      </pivotArea>
    </format>
    <format dxfId="47">
      <pivotArea dataOnly="0" labelOnly="1" outline="0" fieldPosition="0">
        <references count="2">
          <reference field="1" count="1">
            <x v="30"/>
          </reference>
          <reference field="3" count="1" selected="0">
            <x v="65"/>
          </reference>
        </references>
      </pivotArea>
    </format>
    <format dxfId="46">
      <pivotArea dataOnly="0" labelOnly="1" outline="0" fieldPosition="0">
        <references count="2">
          <reference field="1" count="1">
            <x v="31"/>
          </reference>
          <reference field="3" count="1" selected="0">
            <x v="66"/>
          </reference>
        </references>
      </pivotArea>
    </format>
    <format dxfId="45">
      <pivotArea dataOnly="0" labelOnly="1" outline="0" fieldPosition="0">
        <references count="2">
          <reference field="1" count="1">
            <x v="22"/>
          </reference>
          <reference field="3" count="1" selected="0">
            <x v="67"/>
          </reference>
        </references>
      </pivotArea>
    </format>
    <format dxfId="44">
      <pivotArea dataOnly="0" labelOnly="1" outline="0" axis="axisValues" fieldPosition="0"/>
    </format>
    <format dxfId="43">
      <pivotArea outline="0" fieldPosition="0">
        <references count="2">
          <reference field="1" count="1" selected="0">
            <x v="37"/>
          </reference>
          <reference field="3" count="1" selected="0">
            <x v="1"/>
          </reference>
        </references>
      </pivotArea>
    </format>
    <format dxfId="42">
      <pivotArea outline="0" fieldPosition="0">
        <references count="2">
          <reference field="1" count="1" selected="0">
            <x v="39"/>
          </reference>
          <reference field="3" count="1" selected="0">
            <x v="2"/>
          </reference>
        </references>
      </pivotArea>
    </format>
    <format dxfId="41">
      <pivotArea outline="0" fieldPosition="0">
        <references count="2">
          <reference field="1" count="1" selected="0">
            <x v="3"/>
          </reference>
          <reference field="3" count="1" selected="0">
            <x v="3"/>
          </reference>
        </references>
      </pivotArea>
    </format>
    <format dxfId="40">
      <pivotArea outline="0" fieldPosition="0">
        <references count="2">
          <reference field="1" count="1" selected="0">
            <x v="8"/>
          </reference>
          <reference field="3" count="1" selected="0">
            <x v="4"/>
          </reference>
        </references>
      </pivotArea>
    </format>
    <format dxfId="39">
      <pivotArea outline="0" fieldPosition="0">
        <references count="2">
          <reference field="1" count="9" selected="0">
            <x v="12"/>
            <x v="27"/>
            <x v="58"/>
            <x v="82"/>
            <x v="83"/>
            <x v="84"/>
            <x v="85"/>
            <x v="86"/>
            <x v="87"/>
          </reference>
          <reference field="3" count="9" selected="0">
            <x v="7"/>
            <x v="8"/>
            <x v="9"/>
            <x v="10"/>
            <x v="11"/>
            <x v="12"/>
            <x v="13"/>
            <x v="14"/>
            <x v="15"/>
          </reference>
        </references>
      </pivotArea>
    </format>
    <format dxfId="38">
      <pivotArea outline="0" fieldPosition="0">
        <references count="2">
          <reference field="1" count="1" selected="0">
            <x v="40"/>
          </reference>
          <reference field="3" count="1" selected="0">
            <x v="29"/>
          </reference>
        </references>
      </pivotArea>
    </format>
    <format dxfId="37">
      <pivotArea outline="0" fieldPosition="0">
        <references count="2">
          <reference field="1" count="1" selected="0">
            <x v="64"/>
          </reference>
          <reference field="3" count="1" selected="0">
            <x v="31"/>
          </reference>
        </references>
      </pivotArea>
    </format>
    <format dxfId="36">
      <pivotArea outline="0" fieldPosition="0">
        <references count="2">
          <reference field="1" count="1" selected="0">
            <x v="66"/>
          </reference>
          <reference field="3" count="1" selected="0">
            <x v="32"/>
          </reference>
        </references>
      </pivotArea>
    </format>
    <format dxfId="35">
      <pivotArea outline="0" fieldPosition="0">
        <references count="2">
          <reference field="1" count="1" selected="0">
            <x v="39"/>
          </reference>
          <reference field="3" count="1" selected="0">
            <x v="35"/>
          </reference>
        </references>
      </pivotArea>
    </format>
    <format dxfId="34">
      <pivotArea outline="0" fieldPosition="0">
        <references count="2">
          <reference field="1" count="45" selected="0">
            <x v="1"/>
            <x v="2"/>
            <x v="3"/>
            <x v="4"/>
            <x v="5"/>
            <x v="6"/>
            <x v="7"/>
            <x v="8"/>
            <x v="9"/>
            <x v="12"/>
            <x v="15"/>
            <x v="17"/>
            <x v="19"/>
            <x v="26"/>
            <x v="27"/>
            <x v="28"/>
            <x v="29"/>
            <x v="37"/>
            <x v="38"/>
            <x v="39"/>
            <x v="40"/>
            <x v="43"/>
            <x v="44"/>
            <x v="45"/>
            <x v="52"/>
            <x v="58"/>
            <x v="59"/>
            <x v="60"/>
            <x v="61"/>
            <x v="62"/>
            <x v="63"/>
            <x v="64"/>
            <x v="65"/>
            <x v="66"/>
            <x v="68"/>
            <x v="70"/>
            <x v="71"/>
            <x v="75"/>
            <x v="81"/>
            <x v="82"/>
            <x v="83"/>
            <x v="84"/>
            <x v="85"/>
            <x v="86"/>
            <x v="87"/>
          </reference>
          <reference field="3" count="43" selected="0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33">
      <pivotArea outline="0" fieldPosition="0">
        <references count="2">
          <reference field="1" count="1" selected="0">
            <x v="38"/>
          </reference>
          <reference field="3" count="1" selected="0">
            <x v="1"/>
          </reference>
        </references>
      </pivotArea>
    </format>
    <format dxfId="32">
      <pivotArea outline="0" fieldPosition="0">
        <references count="2">
          <reference field="1" count="1" selected="0">
            <x v="38"/>
          </reference>
          <reference field="3" count="1" selected="0">
            <x v="34"/>
          </reference>
        </references>
      </pivotArea>
    </format>
    <format dxfId="31">
      <pivotArea outline="0" fieldPosition="0">
        <references count="2">
          <reference field="1" count="1" selected="0">
            <x v="37"/>
          </reference>
          <reference field="3" count="1" selected="0">
            <x v="1"/>
          </reference>
        </references>
      </pivotArea>
    </format>
    <format dxfId="30">
      <pivotArea outline="0" fieldPosition="0">
        <references count="2">
          <reference field="1" count="1" selected="0">
            <x v="37"/>
          </reference>
          <reference field="3" count="1" selected="0">
            <x v="34"/>
          </reference>
        </references>
      </pivotArea>
    </format>
    <format dxfId="29">
      <pivotArea outline="0" fieldPosition="0">
        <references count="2">
          <reference field="1" count="1" selected="0">
            <x v="39"/>
          </reference>
          <reference field="3" count="1" selected="0">
            <x v="2"/>
          </reference>
        </references>
      </pivotArea>
    </format>
    <format dxfId="28">
      <pivotArea outline="0" fieldPosition="0">
        <references count="2">
          <reference field="1" count="1" selected="0">
            <x v="39"/>
          </reference>
          <reference field="3" count="1" selected="0">
            <x v="35"/>
          </reference>
        </references>
      </pivotArea>
    </format>
    <format dxfId="27">
      <pivotArea outline="0" fieldPosition="0">
        <references count="2">
          <reference field="1" count="1" selected="0">
            <x v="4"/>
          </reference>
          <reference field="3" count="1" selected="0">
            <x v="3"/>
          </reference>
        </references>
      </pivotArea>
    </format>
    <format dxfId="26">
      <pivotArea outline="0" fieldPosition="0">
        <references count="2">
          <reference field="1" count="1" selected="0">
            <x v="8"/>
          </reference>
          <reference field="3" count="1" selected="0">
            <x v="4"/>
          </reference>
        </references>
      </pivotArea>
    </format>
    <format dxfId="25">
      <pivotArea outline="0" fieldPosition="0">
        <references count="2">
          <reference field="1" count="1" selected="0">
            <x v="12"/>
          </reference>
          <reference field="3" count="1" selected="0">
            <x v="7"/>
          </reference>
        </references>
      </pivotArea>
    </format>
    <format dxfId="24">
      <pivotArea outline="0" fieldPosition="0">
        <references count="2">
          <reference field="1" count="1" selected="0">
            <x v="27"/>
          </reference>
          <reference field="3" count="1" selected="0">
            <x v="8"/>
          </reference>
        </references>
      </pivotArea>
    </format>
    <format dxfId="23">
      <pivotArea outline="0" fieldPosition="0">
        <references count="2">
          <reference field="1" count="1" selected="0">
            <x v="86"/>
          </reference>
          <reference field="3" count="1" selected="0">
            <x v="14"/>
          </reference>
        </references>
      </pivotArea>
    </format>
    <format dxfId="22">
      <pivotArea outline="0" fieldPosition="0">
        <references count="2">
          <reference field="1" count="1" selected="0">
            <x v="83"/>
          </reference>
          <reference field="3" count="1" selected="0">
            <x v="11"/>
          </reference>
        </references>
      </pivotArea>
    </format>
    <format dxfId="21">
      <pivotArea outline="0" fieldPosition="0">
        <references count="2">
          <reference field="1" count="1" selected="0">
            <x v="84"/>
          </reference>
          <reference field="3" count="1" selected="0">
            <x v="12"/>
          </reference>
        </references>
      </pivotArea>
    </format>
    <format dxfId="20">
      <pivotArea outline="0" fieldPosition="0">
        <references count="2">
          <reference field="1" count="1" selected="0">
            <x v="87"/>
          </reference>
          <reference field="3" count="1" selected="0">
            <x v="15"/>
          </reference>
        </references>
      </pivotArea>
    </format>
    <format dxfId="19">
      <pivotArea outline="0" fieldPosition="0">
        <references count="2">
          <reference field="1" count="1" selected="0">
            <x v="3"/>
          </reference>
          <reference field="3" count="1" selected="0">
            <x v="3"/>
          </reference>
        </references>
      </pivotArea>
    </format>
    <format dxfId="18">
      <pivotArea outline="0" fieldPosition="0">
        <references count="2">
          <reference field="1" count="1" selected="0">
            <x v="58"/>
          </reference>
          <reference field="3" count="1" selected="0">
            <x v="9"/>
          </reference>
        </references>
      </pivotArea>
    </format>
    <format dxfId="17">
      <pivotArea outline="0" fieldPosition="0">
        <references count="2">
          <reference field="1" count="1" selected="0">
            <x v="81"/>
          </reference>
          <reference field="3" count="1" selected="0">
            <x v="37"/>
          </reference>
        </references>
      </pivotArea>
    </format>
    <format dxfId="16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Kimutatás3" cacheId="3" applyNumberFormats="0" applyBorderFormats="0" applyFontFormats="0" applyPatternFormats="0" applyAlignmentFormats="0" applyWidthHeightFormats="1" dataCaption="Értékek" updatedVersion="6" minRefreshableVersion="3" useAutoFormatting="1" rowGrandTotals="0" colGrandTotals="0" itemPrintTitles="1" createdVersion="6" indent="0" compact="0" compactData="0" multipleFieldFilters="0">
  <location ref="A1:B123" firstHeaderRow="1" firstDataRow="1" firstDataCol="2"/>
  <pivotFields count="51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 sortType="ascending">
      <items count="12">
        <item h="1" m="1" x="10"/>
        <item x="7"/>
        <item x="3"/>
        <item h="1" x="9"/>
        <item h="1" x="1"/>
        <item h="1" x="2"/>
        <item h="1" x="8"/>
        <item h="1" x="5"/>
        <item h="1" x="4"/>
        <item h="1" x="6"/>
        <item h="1"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multipleItemSelectionAllowed="1" showAll="0">
      <items count="227"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5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1"/>
        <item x="7"/>
        <item x="77"/>
        <item m="1" x="213"/>
        <item x="6"/>
        <item x="65"/>
        <item x="63"/>
        <item x="82"/>
        <item m="1" x="224"/>
        <item x="8"/>
        <item x="1"/>
        <item x="60"/>
        <item x="81"/>
        <item x="62"/>
        <item x="3"/>
        <item x="70"/>
        <item x="66"/>
        <item x="64"/>
        <item x="2"/>
        <item x="69"/>
        <item x="208"/>
        <item x="68"/>
        <item m="1" x="211"/>
        <item x="4"/>
        <item x="78"/>
        <item h="1" x="0"/>
        <item h="1" x="79"/>
        <item h="1" x="73"/>
        <item h="1" x="74"/>
        <item h="1" m="1" x="218"/>
        <item h="1" m="1" x="215"/>
        <item h="1" m="1" x="214"/>
        <item h="1" m="1" x="212"/>
        <item h="1" m="1" x="210"/>
        <item h="1" m="1" x="225"/>
        <item h="1" m="1" x="223"/>
        <item h="1" m="1" x="222"/>
        <item h="1" x="138"/>
        <item h="1" x="139"/>
        <item h="1" x="140"/>
        <item h="1" x="141"/>
        <item h="1" x="142"/>
        <item h="1" x="143"/>
        <item h="1" x="144"/>
        <item h="1" x="145"/>
        <item h="1" x="146"/>
        <item h="1" x="147"/>
        <item h="1" x="148"/>
        <item h="1" x="149"/>
        <item h="1" x="150"/>
        <item h="1" x="151"/>
        <item h="1" x="152"/>
        <item h="1" x="153"/>
        <item h="1" x="154"/>
        <item h="1" x="155"/>
        <item h="1" x="156"/>
        <item h="1" x="157"/>
        <item h="1" x="158"/>
        <item h="1" x="136"/>
        <item h="1" x="159"/>
        <item h="1" x="160"/>
        <item h="1" x="161"/>
        <item h="1" x="162"/>
        <item h="1" x="163"/>
        <item h="1" x="164"/>
        <item h="1" x="165"/>
        <item h="1" x="166"/>
        <item h="1" x="167"/>
        <item h="1" x="168"/>
        <item h="1" x="169"/>
        <item h="1" x="170"/>
        <item h="1" x="171"/>
        <item h="1" x="172"/>
        <item h="1" x="173"/>
        <item h="1" x="174"/>
        <item h="1" x="175"/>
        <item h="1" x="176"/>
        <item h="1" x="177"/>
        <item h="1" x="178"/>
        <item h="1" x="179"/>
        <item h="1" x="180"/>
        <item h="1" x="181"/>
        <item h="1" x="182"/>
        <item h="1" x="183"/>
        <item h="1" x="184"/>
        <item h="1" x="185"/>
        <item h="1" x="186"/>
        <item h="1" x="187"/>
        <item h="1" x="188"/>
        <item h="1" x="189"/>
        <item h="1" x="190"/>
        <item h="1" x="191"/>
        <item h="1" x="192"/>
        <item h="1" x="193"/>
        <item h="1" x="194"/>
        <item h="1" x="195"/>
        <item h="1" x="196"/>
        <item h="1" x="137"/>
        <item h="1" x="197"/>
        <item h="1" x="198"/>
        <item h="1" x="199"/>
        <item h="1" x="200"/>
        <item h="1" x="201"/>
        <item h="1" x="202"/>
        <item h="1" x="75"/>
        <item h="1" x="76"/>
        <item h="1" x="71"/>
        <item h="1" x="72"/>
        <item h="1" x="67"/>
        <item h="1" x="204"/>
        <item h="1" m="1" x="221"/>
        <item h="1" m="1" x="220"/>
        <item h="1" m="1" x="219"/>
        <item h="1" x="205"/>
        <item h="1" m="1" x="216"/>
        <item h="1" m="1" x="209"/>
        <item h="1" x="206"/>
        <item h="1" x="207"/>
        <item h="1" m="1" x="217"/>
        <item h="1" x="203"/>
        <item h="1" x="8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5"/>
    <field x="6"/>
  </rowFields>
  <rowItems count="122"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0"/>
    </i>
    <i r="1">
      <x v="41"/>
    </i>
    <i r="1">
      <x v="42"/>
    </i>
    <i r="1">
      <x v="43"/>
    </i>
    <i r="1">
      <x v="44"/>
    </i>
    <i r="1">
      <x v="45"/>
    </i>
    <i r="1">
      <x v="46"/>
    </i>
    <i r="1">
      <x v="47"/>
    </i>
    <i r="1">
      <x v="48"/>
    </i>
    <i r="1">
      <x v="49"/>
    </i>
    <i r="1">
      <x v="50"/>
    </i>
    <i r="1">
      <x v="51"/>
    </i>
    <i r="1">
      <x v="52"/>
    </i>
    <i t="default">
      <x v="1"/>
    </i>
    <i>
      <x v="2"/>
      <x v="53"/>
    </i>
    <i r="1">
      <x v="54"/>
    </i>
    <i r="1">
      <x v="55"/>
    </i>
    <i r="1">
      <x v="56"/>
    </i>
    <i r="1">
      <x v="57"/>
    </i>
    <i r="1">
      <x v="58"/>
    </i>
    <i r="1">
      <x v="59"/>
    </i>
    <i r="1">
      <x v="60"/>
    </i>
    <i r="1">
      <x v="61"/>
    </i>
    <i r="1">
      <x v="62"/>
    </i>
    <i r="1">
      <x v="63"/>
    </i>
    <i r="1">
      <x v="64"/>
    </i>
    <i r="1">
      <x v="65"/>
    </i>
    <i r="1">
      <x v="66"/>
    </i>
    <i r="1">
      <x v="67"/>
    </i>
    <i r="1">
      <x v="68"/>
    </i>
    <i r="1">
      <x v="69"/>
    </i>
    <i r="1">
      <x v="70"/>
    </i>
    <i r="1">
      <x v="71"/>
    </i>
    <i r="1">
      <x v="72"/>
    </i>
    <i r="1">
      <x v="73"/>
    </i>
    <i r="1">
      <x v="74"/>
    </i>
    <i r="1">
      <x v="75"/>
    </i>
    <i r="1">
      <x v="76"/>
    </i>
    <i r="1">
      <x v="77"/>
    </i>
    <i r="1">
      <x v="78"/>
    </i>
    <i r="1">
      <x v="79"/>
    </i>
    <i r="1">
      <x v="80"/>
    </i>
    <i r="1">
      <x v="81"/>
    </i>
    <i r="1">
      <x v="82"/>
    </i>
    <i r="1">
      <x v="83"/>
    </i>
    <i r="1">
      <x v="84"/>
    </i>
    <i r="1">
      <x v="85"/>
    </i>
    <i r="1">
      <x v="86"/>
    </i>
    <i r="1">
      <x v="87"/>
    </i>
    <i r="1">
      <x v="88"/>
    </i>
    <i r="1">
      <x v="89"/>
    </i>
    <i r="1">
      <x v="90"/>
    </i>
    <i r="1">
      <x v="91"/>
    </i>
    <i r="1">
      <x v="92"/>
    </i>
    <i r="1">
      <x v="93"/>
    </i>
    <i r="1">
      <x v="94"/>
    </i>
    <i r="1">
      <x v="95"/>
    </i>
    <i r="1">
      <x v="96"/>
    </i>
    <i r="1">
      <x v="97"/>
    </i>
    <i r="1">
      <x v="98"/>
    </i>
    <i r="1">
      <x v="99"/>
    </i>
    <i r="1">
      <x v="100"/>
    </i>
    <i r="1">
      <x v="101"/>
    </i>
    <i r="1">
      <x v="102"/>
    </i>
    <i r="1">
      <x v="103"/>
    </i>
    <i r="1">
      <x v="104"/>
    </i>
    <i r="1">
      <x v="105"/>
    </i>
    <i r="1">
      <x v="106"/>
    </i>
    <i r="1">
      <x v="107"/>
    </i>
    <i r="1">
      <x v="110"/>
    </i>
    <i r="1">
      <x v="111"/>
    </i>
    <i r="1">
      <x v="112"/>
    </i>
    <i r="1">
      <x v="114"/>
    </i>
    <i r="1">
      <x v="116"/>
    </i>
    <i r="1">
      <x v="118"/>
    </i>
    <i r="1">
      <x v="119"/>
    </i>
    <i r="1">
      <x v="121"/>
    </i>
    <i r="1">
      <x v="122"/>
    </i>
    <i r="1">
      <x v="124"/>
    </i>
    <i r="1">
      <x v="128"/>
    </i>
    <i r="1">
      <x v="129"/>
    </i>
    <i t="default">
      <x v="2"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name="Kimutatás3" cacheId="0" applyNumberFormats="0" applyBorderFormats="0" applyFontFormats="0" applyPatternFormats="0" applyAlignmentFormats="0" applyWidthHeightFormats="1" dataCaption="Értékek" updatedVersion="6" minRefreshableVersion="3" useAutoFormatting="1" rowGrandTotals="0" colGrandTotals="0" itemPrintTitles="1" createdVersion="6" indent="0" compact="0" compactData="0" multipleFieldFilters="0">
  <location ref="A3:C4" firstHeaderRow="0" firstDataRow="1" firstDataCol="0"/>
  <pivotFields count="12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multipleItemSelectionAllowed="1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Items count="1">
    <i/>
  </rowItems>
  <colFields count="1">
    <field x="-2"/>
  </colFields>
  <colItems count="3">
    <i>
      <x/>
    </i>
    <i i="1">
      <x v="1"/>
    </i>
    <i i="2">
      <x v="2"/>
    </i>
  </colItems>
  <dataFields count="3">
    <dataField name="Összeg / KARI főcsoport ÖSSZESEN" fld="9" baseField="1" baseItem="53"/>
    <dataField name="Összeg / TERVEZÉS ÖSSZESEN (karon kívülre átadásnál 0)" fld="11" baseField="1" baseItem="30"/>
    <dataField name="Összeg / Eltérés" fld="10" baseField="1" baseItem="60"/>
  </dataFields>
  <formats count="2">
    <format dxfId="1">
      <pivotArea outline="0" collapsedLevelsAreSubtotals="1" fieldPosition="0"/>
    </format>
    <format dxfId="0">
      <pivotArea dataOnly="0" labelOnly="1" outline="0" fieldPosition="0">
        <references count="1">
          <reference field="4294967294" count="1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name="Kimutatás2" cacheId="2" applyNumberFormats="0" applyBorderFormats="0" applyFontFormats="0" applyPatternFormats="0" applyAlignmentFormats="0" applyWidthHeightFormats="1" dataCaption="Értékek" updatedVersion="7" minRefreshableVersion="3" useAutoFormatting="1" itemPrintTitles="1" createdVersion="7" indent="0" outline="1" outlineData="1" multipleFieldFilters="0">
  <location ref="A3:F18" firstHeaderRow="1" firstDataRow="2" firstDataCol="1"/>
  <pivotFields count="48">
    <pivotField showAll="0"/>
    <pivotField dataField="1" showAll="0"/>
    <pivotField showAll="0"/>
    <pivotField showAll="0"/>
    <pivotField axis="axisRow" showAll="0">
      <items count="18">
        <item x="0"/>
        <item x="1"/>
        <item x="6"/>
        <item x="3"/>
        <item x="12"/>
        <item x="13"/>
        <item x="14"/>
        <item x="7"/>
        <item x="4"/>
        <item x="5"/>
        <item x="11"/>
        <item x="16"/>
        <item h="1" x="8"/>
        <item x="9"/>
        <item h="1" x="2"/>
        <item h="1" x="15"/>
        <item h="1" x="10"/>
        <item t="default"/>
      </items>
    </pivotField>
    <pivotField showAll="0"/>
    <pivotField showAll="0"/>
    <pivotField showAll="0"/>
    <pivotField showAll="0"/>
    <pivotField showAll="0"/>
    <pivotField showAll="0"/>
    <pivotField numFmtId="177" showAll="0"/>
    <pivotField showAll="0"/>
    <pivotField axis="axisCol" showAll="0">
      <items count="7">
        <item x="0"/>
        <item x="4"/>
        <item h="1" x="1"/>
        <item x="5"/>
        <item x="2"/>
        <item x="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6">
        <item x="0"/>
        <item x="4"/>
        <item x="3"/>
        <item x="1"/>
        <item x="2"/>
        <item t="default"/>
      </items>
    </pivotField>
    <pivotField showAll="0"/>
    <pivotField showAll="0"/>
    <pivotField showAll="0"/>
    <pivotField showAll="0"/>
    <pivotField showAll="0"/>
    <pivotField numFmtId="177" showAll="0"/>
    <pivotField showAll="0"/>
    <pivotField showAll="0"/>
    <pivotField showAll="0"/>
    <pivotField numFmtId="177" showAll="0"/>
    <pivotField numFmtId="177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4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3"/>
    </i>
    <i t="grand">
      <x/>
    </i>
  </rowItems>
  <colFields count="1">
    <field x="13"/>
  </colFields>
  <colItems count="5">
    <i>
      <x/>
    </i>
    <i>
      <x v="1"/>
    </i>
    <i>
      <x v="3"/>
    </i>
    <i>
      <x v="5"/>
    </i>
    <i t="grand">
      <x/>
    </i>
  </colItems>
  <dataFields count="1">
    <dataField name="Mennyiség / Hallgató Neptun kódj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.bin"/><Relationship Id="rId1" Type="http://schemas.openxmlformats.org/officeDocument/2006/relationships/pivotTable" Target="../pivotTables/pivotTable4.xml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FFC000"/>
  </sheetPr>
  <dimension ref="A3:U251"/>
  <sheetViews>
    <sheetView topLeftCell="A3" zoomScale="70" zoomScaleNormal="70" workbookViewId="0">
      <pane xSplit="2" ySplit="4" topLeftCell="C7" activePane="bottomRight" state="frozen"/>
      <selection activeCell="A3" sqref="A3"/>
      <selection pane="topRight" activeCell="C3" sqref="C3"/>
      <selection pane="bottomLeft" activeCell="A7" sqref="A7"/>
      <selection pane="bottomRight" activeCell="E236" sqref="E236"/>
    </sheetView>
  </sheetViews>
  <sheetFormatPr defaultColWidth="9" defaultRowHeight="14.4" x14ac:dyDescent="0.3"/>
  <cols>
    <col min="1" max="1" width="7.33203125" style="275" customWidth="1"/>
    <col min="2" max="2" width="56.44140625" style="275" bestFit="1" customWidth="1"/>
    <col min="3" max="3" width="13.88671875" style="275" bestFit="1" customWidth="1"/>
    <col min="4" max="4" width="15.88671875" style="275" bestFit="1" customWidth="1"/>
    <col min="5" max="5" width="13.33203125" style="275" bestFit="1" customWidth="1"/>
    <col min="6" max="6" width="13.44140625" style="275" bestFit="1" customWidth="1"/>
    <col min="7" max="7" width="16.21875" style="275" bestFit="1" customWidth="1"/>
    <col min="8" max="8" width="13.109375" style="275" bestFit="1" customWidth="1"/>
    <col min="9" max="9" width="15.77734375" style="275" bestFit="1" customWidth="1"/>
    <col min="10" max="10" width="14.6640625" style="275" bestFit="1" customWidth="1"/>
    <col min="11" max="11" width="17.109375" style="275" bestFit="1" customWidth="1"/>
    <col min="12" max="12" width="15" style="275" bestFit="1" customWidth="1"/>
    <col min="13" max="13" width="18" style="275" bestFit="1" customWidth="1"/>
    <col min="14" max="14" width="16" style="275" bestFit="1" customWidth="1"/>
    <col min="15" max="15" width="11.44140625" style="275" bestFit="1" customWidth="1"/>
    <col min="16" max="16" width="13.88671875" style="275" bestFit="1" customWidth="1"/>
    <col min="17" max="17" width="14.21875" style="275" bestFit="1" customWidth="1"/>
    <col min="18" max="18" width="17.77734375" style="275" bestFit="1" customWidth="1"/>
    <col min="19" max="19" width="11.21875" style="275" bestFit="1" customWidth="1"/>
    <col min="20" max="20" width="15.109375" style="275" bestFit="1" customWidth="1"/>
    <col min="21" max="21" width="13.77734375" style="275" bestFit="1" customWidth="1"/>
    <col min="22" max="16384" width="9" style="275"/>
  </cols>
  <sheetData>
    <row r="3" spans="1:21" x14ac:dyDescent="0.3">
      <c r="C3" s="275" t="s">
        <v>2998</v>
      </c>
      <c r="D3" s="275" t="s">
        <v>3001</v>
      </c>
      <c r="E3" s="275" t="s">
        <v>3002</v>
      </c>
      <c r="F3" s="275" t="s">
        <v>3025</v>
      </c>
      <c r="G3" s="362"/>
      <c r="H3" s="362"/>
      <c r="I3" s="362" t="s">
        <v>2995</v>
      </c>
      <c r="J3" s="362" t="s">
        <v>113</v>
      </c>
      <c r="K3" s="362" t="s">
        <v>114</v>
      </c>
      <c r="L3" s="362" t="s">
        <v>117</v>
      </c>
      <c r="M3" s="362" t="s">
        <v>118</v>
      </c>
      <c r="N3" s="362" t="s">
        <v>130</v>
      </c>
      <c r="O3" s="362" t="s">
        <v>783</v>
      </c>
      <c r="P3" s="362" t="s">
        <v>785</v>
      </c>
      <c r="Q3" s="362" t="s">
        <v>787</v>
      </c>
      <c r="R3" s="362" t="s">
        <v>788</v>
      </c>
      <c r="S3" s="362" t="s">
        <v>2994</v>
      </c>
      <c r="T3" s="362" t="s">
        <v>3027</v>
      </c>
    </row>
    <row r="4" spans="1:21" x14ac:dyDescent="0.3">
      <c r="C4" s="275" t="s">
        <v>2999</v>
      </c>
      <c r="D4" s="275" t="s">
        <v>2727</v>
      </c>
      <c r="E4" s="275" t="s">
        <v>3023</v>
      </c>
      <c r="F4" s="275" t="s">
        <v>3023</v>
      </c>
      <c r="G4" s="362"/>
      <c r="H4" s="362"/>
      <c r="I4" s="362" t="s">
        <v>3023</v>
      </c>
      <c r="J4" s="362" t="s">
        <v>3023</v>
      </c>
      <c r="K4" s="362" t="s">
        <v>3023</v>
      </c>
      <c r="L4" s="362" t="s">
        <v>3023</v>
      </c>
      <c r="M4" s="362" t="s">
        <v>3023</v>
      </c>
      <c r="N4" s="362" t="s">
        <v>3023</v>
      </c>
      <c r="O4" s="362" t="s">
        <v>3023</v>
      </c>
      <c r="P4" s="362" t="s">
        <v>3023</v>
      </c>
      <c r="Q4" s="362" t="s">
        <v>3023</v>
      </c>
      <c r="R4" s="362" t="s">
        <v>3023</v>
      </c>
      <c r="S4" s="362" t="s">
        <v>3023</v>
      </c>
      <c r="T4" s="362" t="s">
        <v>3023</v>
      </c>
    </row>
    <row r="5" spans="1:21" s="276" customFormat="1" x14ac:dyDescent="0.3">
      <c r="A5" s="354"/>
      <c r="B5" s="354"/>
      <c r="C5" s="355" t="s">
        <v>3048</v>
      </c>
      <c r="D5" s="354"/>
      <c r="E5" s="354"/>
      <c r="F5" s="354"/>
      <c r="G5" s="363"/>
      <c r="H5" s="363"/>
      <c r="I5" s="363"/>
      <c r="J5" s="363"/>
      <c r="K5" s="363"/>
      <c r="L5" s="363"/>
      <c r="M5" s="363"/>
      <c r="N5" s="363"/>
      <c r="O5" s="363"/>
      <c r="P5" s="363"/>
      <c r="Q5" s="363"/>
      <c r="R5" s="363"/>
      <c r="S5" s="363"/>
      <c r="T5" s="363"/>
    </row>
    <row r="6" spans="1:21" s="276" customFormat="1" ht="57.6" x14ac:dyDescent="0.3">
      <c r="A6" s="355" t="s">
        <v>78</v>
      </c>
      <c r="B6" s="355" t="s">
        <v>137</v>
      </c>
      <c r="C6" s="354" t="s">
        <v>3045</v>
      </c>
      <c r="D6" s="354" t="s">
        <v>3046</v>
      </c>
      <c r="E6" s="354" t="s">
        <v>3047</v>
      </c>
      <c r="F6" s="354" t="s">
        <v>3051</v>
      </c>
      <c r="G6" s="363" t="s">
        <v>3049</v>
      </c>
      <c r="H6" s="363" t="s">
        <v>3050</v>
      </c>
      <c r="I6" s="363" t="s">
        <v>3052</v>
      </c>
      <c r="J6" s="363" t="s">
        <v>3053</v>
      </c>
      <c r="K6" s="363" t="s">
        <v>3054</v>
      </c>
      <c r="L6" s="363" t="s">
        <v>3055</v>
      </c>
      <c r="M6" s="363" t="s">
        <v>3056</v>
      </c>
      <c r="N6" s="363" t="s">
        <v>3057</v>
      </c>
      <c r="O6" s="363" t="s">
        <v>3058</v>
      </c>
      <c r="P6" s="363" t="s">
        <v>3059</v>
      </c>
      <c r="Q6" s="363" t="s">
        <v>3060</v>
      </c>
      <c r="R6" s="363" t="s">
        <v>3061</v>
      </c>
      <c r="S6" s="363" t="s">
        <v>3062</v>
      </c>
      <c r="T6" s="363" t="s">
        <v>3063</v>
      </c>
      <c r="U6" s="271" t="s">
        <v>3064</v>
      </c>
    </row>
    <row r="7" spans="1:21" hidden="1" x14ac:dyDescent="0.3">
      <c r="A7" s="356">
        <v>1</v>
      </c>
      <c r="B7" s="356" t="s">
        <v>2761</v>
      </c>
      <c r="C7" s="357"/>
      <c r="D7" s="358"/>
      <c r="E7" s="358"/>
      <c r="F7" s="358"/>
      <c r="G7" s="358"/>
      <c r="H7" s="358"/>
      <c r="I7" s="358"/>
      <c r="J7" s="358"/>
      <c r="K7" s="358"/>
      <c r="L7" s="358"/>
      <c r="M7" s="358"/>
      <c r="N7" s="358"/>
      <c r="O7" s="358"/>
      <c r="P7" s="358"/>
      <c r="Q7" s="358"/>
      <c r="R7" s="358"/>
      <c r="S7" s="358"/>
      <c r="T7" s="358"/>
      <c r="U7" s="272">
        <f>SUM(C7:T7)</f>
        <v>0</v>
      </c>
    </row>
    <row r="8" spans="1:21" hidden="1" x14ac:dyDescent="0.3">
      <c r="A8" s="356">
        <v>5.13</v>
      </c>
      <c r="B8" s="356">
        <v>15.13</v>
      </c>
      <c r="C8" s="357">
        <v>0</v>
      </c>
      <c r="D8" s="358">
        <v>0</v>
      </c>
      <c r="E8" s="358">
        <v>0</v>
      </c>
      <c r="F8" s="358">
        <v>0</v>
      </c>
      <c r="G8" s="358">
        <v>0</v>
      </c>
      <c r="H8" s="358">
        <v>0</v>
      </c>
      <c r="I8" s="358">
        <v>0</v>
      </c>
      <c r="J8" s="358">
        <v>0</v>
      </c>
      <c r="K8" s="358">
        <v>0</v>
      </c>
      <c r="L8" s="358">
        <v>0</v>
      </c>
      <c r="M8" s="358">
        <v>0</v>
      </c>
      <c r="N8" s="358">
        <v>0</v>
      </c>
      <c r="O8" s="358">
        <v>0</v>
      </c>
      <c r="P8" s="358">
        <v>0</v>
      </c>
      <c r="Q8" s="358">
        <v>0</v>
      </c>
      <c r="R8" s="358">
        <v>0</v>
      </c>
      <c r="S8" s="358">
        <v>0</v>
      </c>
      <c r="T8" s="358">
        <v>0</v>
      </c>
      <c r="U8" s="272">
        <f t="shared" ref="U8:U71" si="0">SUM(C8:T8)</f>
        <v>0</v>
      </c>
    </row>
    <row r="9" spans="1:21" hidden="1" x14ac:dyDescent="0.3">
      <c r="A9" s="356">
        <v>14</v>
      </c>
      <c r="B9" s="356" t="s">
        <v>171</v>
      </c>
      <c r="C9" s="357">
        <v>54742781.883799627</v>
      </c>
      <c r="D9" s="358">
        <v>65082378.60241434</v>
      </c>
      <c r="E9" s="358"/>
      <c r="F9" s="358"/>
      <c r="G9" s="358"/>
      <c r="H9" s="358"/>
      <c r="I9" s="358"/>
      <c r="J9" s="358"/>
      <c r="K9" s="358"/>
      <c r="L9" s="358"/>
      <c r="M9" s="358"/>
      <c r="N9" s="358"/>
      <c r="O9" s="358"/>
      <c r="P9" s="358"/>
      <c r="Q9" s="358"/>
      <c r="R9" s="358"/>
      <c r="S9" s="358"/>
      <c r="T9" s="358"/>
      <c r="U9" s="272">
        <f t="shared" si="0"/>
        <v>119825160.48621397</v>
      </c>
    </row>
    <row r="10" spans="1:21" hidden="1" x14ac:dyDescent="0.3">
      <c r="A10" s="356">
        <v>15</v>
      </c>
      <c r="B10" s="356" t="s">
        <v>173</v>
      </c>
      <c r="C10" s="357"/>
      <c r="D10" s="358"/>
      <c r="E10" s="358"/>
      <c r="F10" s="358"/>
      <c r="G10" s="358"/>
      <c r="H10" s="358"/>
      <c r="I10" s="358"/>
      <c r="J10" s="358"/>
      <c r="K10" s="358"/>
      <c r="L10" s="358"/>
      <c r="M10" s="358"/>
      <c r="N10" s="358"/>
      <c r="O10" s="358"/>
      <c r="P10" s="358"/>
      <c r="Q10" s="358"/>
      <c r="R10" s="358"/>
      <c r="S10" s="358"/>
      <c r="T10" s="358"/>
      <c r="U10" s="272">
        <f t="shared" si="0"/>
        <v>0</v>
      </c>
    </row>
    <row r="11" spans="1:21" hidden="1" x14ac:dyDescent="0.3">
      <c r="A11" s="356">
        <v>16</v>
      </c>
      <c r="B11" s="356" t="s">
        <v>174</v>
      </c>
      <c r="C11" s="357"/>
      <c r="D11" s="358"/>
      <c r="E11" s="358"/>
      <c r="F11" s="358"/>
      <c r="G11" s="358"/>
      <c r="H11" s="358"/>
      <c r="I11" s="358"/>
      <c r="J11" s="358"/>
      <c r="K11" s="358"/>
      <c r="L11" s="358"/>
      <c r="M11" s="358"/>
      <c r="N11" s="358"/>
      <c r="O11" s="358"/>
      <c r="P11" s="358"/>
      <c r="Q11" s="358"/>
      <c r="R11" s="358"/>
      <c r="S11" s="358"/>
      <c r="T11" s="358"/>
      <c r="U11" s="272">
        <f t="shared" si="0"/>
        <v>0</v>
      </c>
    </row>
    <row r="12" spans="1:21" hidden="1" x14ac:dyDescent="0.3">
      <c r="A12" s="356">
        <v>17</v>
      </c>
      <c r="B12" s="356" t="s">
        <v>175</v>
      </c>
      <c r="C12" s="357"/>
      <c r="D12" s="358"/>
      <c r="E12" s="358"/>
      <c r="F12" s="358"/>
      <c r="G12" s="358"/>
      <c r="H12" s="358"/>
      <c r="I12" s="358"/>
      <c r="J12" s="358"/>
      <c r="K12" s="358"/>
      <c r="L12" s="358"/>
      <c r="M12" s="358"/>
      <c r="N12" s="358"/>
      <c r="O12" s="358"/>
      <c r="P12" s="358"/>
      <c r="Q12" s="358"/>
      <c r="R12" s="358"/>
      <c r="S12" s="358"/>
      <c r="T12" s="358"/>
      <c r="U12" s="272">
        <f t="shared" si="0"/>
        <v>0</v>
      </c>
    </row>
    <row r="13" spans="1:21" hidden="1" x14ac:dyDescent="0.3">
      <c r="A13" s="356">
        <v>18</v>
      </c>
      <c r="B13" s="356" t="s">
        <v>177</v>
      </c>
      <c r="C13" s="357">
        <v>630000</v>
      </c>
      <c r="D13" s="358">
        <v>2852664</v>
      </c>
      <c r="E13" s="358"/>
      <c r="F13" s="358">
        <v>5432675.9813184924</v>
      </c>
      <c r="G13" s="358"/>
      <c r="H13" s="358"/>
      <c r="I13" s="358"/>
      <c r="J13" s="358"/>
      <c r="K13" s="358"/>
      <c r="L13" s="358"/>
      <c r="M13" s="358"/>
      <c r="N13" s="358"/>
      <c r="O13" s="358"/>
      <c r="P13" s="358"/>
      <c r="Q13" s="358"/>
      <c r="R13" s="358"/>
      <c r="S13" s="358"/>
      <c r="T13" s="358"/>
      <c r="U13" s="272">
        <f t="shared" si="0"/>
        <v>8915339.9813184924</v>
      </c>
    </row>
    <row r="14" spans="1:21" hidden="1" x14ac:dyDescent="0.3">
      <c r="A14" s="356">
        <v>19</v>
      </c>
      <c r="B14" s="356" t="s">
        <v>179</v>
      </c>
      <c r="C14" s="357"/>
      <c r="D14" s="358"/>
      <c r="E14" s="358"/>
      <c r="F14" s="358"/>
      <c r="G14" s="358"/>
      <c r="H14" s="358"/>
      <c r="I14" s="358"/>
      <c r="J14" s="358"/>
      <c r="K14" s="358"/>
      <c r="L14" s="358"/>
      <c r="M14" s="358"/>
      <c r="N14" s="358"/>
      <c r="O14" s="358"/>
      <c r="P14" s="358"/>
      <c r="Q14" s="358"/>
      <c r="R14" s="358"/>
      <c r="S14" s="358"/>
      <c r="T14" s="358"/>
      <c r="U14" s="272">
        <f t="shared" si="0"/>
        <v>0</v>
      </c>
    </row>
    <row r="15" spans="1:21" hidden="1" x14ac:dyDescent="0.3">
      <c r="A15" s="356">
        <v>20</v>
      </c>
      <c r="B15" s="356" t="s">
        <v>181</v>
      </c>
      <c r="C15" s="357">
        <v>469091</v>
      </c>
      <c r="D15" s="358">
        <v>465455</v>
      </c>
      <c r="E15" s="358"/>
      <c r="F15" s="358"/>
      <c r="G15" s="358"/>
      <c r="H15" s="358"/>
      <c r="I15" s="358"/>
      <c r="J15" s="358"/>
      <c r="K15" s="358"/>
      <c r="L15" s="358"/>
      <c r="M15" s="358"/>
      <c r="N15" s="358"/>
      <c r="O15" s="358"/>
      <c r="P15" s="358"/>
      <c r="Q15" s="358"/>
      <c r="R15" s="358"/>
      <c r="S15" s="358"/>
      <c r="T15" s="358"/>
      <c r="U15" s="272">
        <f t="shared" si="0"/>
        <v>934546</v>
      </c>
    </row>
    <row r="16" spans="1:21" hidden="1" x14ac:dyDescent="0.3">
      <c r="A16" s="356">
        <v>21</v>
      </c>
      <c r="B16" s="356" t="s">
        <v>183</v>
      </c>
      <c r="C16" s="357"/>
      <c r="D16" s="358"/>
      <c r="E16" s="358"/>
      <c r="F16" s="358"/>
      <c r="G16" s="358"/>
      <c r="H16" s="358"/>
      <c r="I16" s="358"/>
      <c r="J16" s="358"/>
      <c r="K16" s="358"/>
      <c r="L16" s="358"/>
      <c r="M16" s="358"/>
      <c r="N16" s="358"/>
      <c r="O16" s="358"/>
      <c r="P16" s="358"/>
      <c r="Q16" s="358"/>
      <c r="R16" s="358"/>
      <c r="S16" s="358"/>
      <c r="T16" s="358"/>
      <c r="U16" s="272">
        <f t="shared" si="0"/>
        <v>0</v>
      </c>
    </row>
    <row r="17" spans="1:21" hidden="1" x14ac:dyDescent="0.3">
      <c r="A17" s="356">
        <v>22</v>
      </c>
      <c r="B17" s="356" t="s">
        <v>185</v>
      </c>
      <c r="C17" s="357">
        <v>2591027</v>
      </c>
      <c r="D17" s="358">
        <v>1272000</v>
      </c>
      <c r="E17" s="358"/>
      <c r="F17" s="358"/>
      <c r="G17" s="358"/>
      <c r="H17" s="358"/>
      <c r="I17" s="358"/>
      <c r="J17" s="358"/>
      <c r="K17" s="358"/>
      <c r="L17" s="358"/>
      <c r="M17" s="358"/>
      <c r="N17" s="358"/>
      <c r="O17" s="358"/>
      <c r="P17" s="358"/>
      <c r="Q17" s="358"/>
      <c r="R17" s="358"/>
      <c r="S17" s="358"/>
      <c r="T17" s="358"/>
      <c r="U17" s="272">
        <f t="shared" si="0"/>
        <v>3863027</v>
      </c>
    </row>
    <row r="18" spans="1:21" hidden="1" x14ac:dyDescent="0.3">
      <c r="A18" s="356">
        <v>23</v>
      </c>
      <c r="B18" s="356" t="s">
        <v>187</v>
      </c>
      <c r="C18" s="357">
        <v>1681625</v>
      </c>
      <c r="D18" s="358">
        <v>90000</v>
      </c>
      <c r="E18" s="358"/>
      <c r="F18" s="358"/>
      <c r="G18" s="358"/>
      <c r="H18" s="358"/>
      <c r="I18" s="358"/>
      <c r="J18" s="358"/>
      <c r="K18" s="358"/>
      <c r="L18" s="358"/>
      <c r="M18" s="358"/>
      <c r="N18" s="358"/>
      <c r="O18" s="358"/>
      <c r="P18" s="358"/>
      <c r="Q18" s="358"/>
      <c r="R18" s="358"/>
      <c r="S18" s="358"/>
      <c r="T18" s="358"/>
      <c r="U18" s="272">
        <f t="shared" si="0"/>
        <v>1771625</v>
      </c>
    </row>
    <row r="19" spans="1:21" hidden="1" x14ac:dyDescent="0.3">
      <c r="A19" s="356">
        <v>24</v>
      </c>
      <c r="B19" s="356" t="s">
        <v>189</v>
      </c>
      <c r="C19" s="357"/>
      <c r="D19" s="358">
        <v>1618800</v>
      </c>
      <c r="E19" s="358"/>
      <c r="F19" s="358"/>
      <c r="G19" s="358"/>
      <c r="H19" s="358"/>
      <c r="I19" s="358"/>
      <c r="J19" s="358"/>
      <c r="K19" s="358"/>
      <c r="L19" s="358"/>
      <c r="M19" s="358"/>
      <c r="N19" s="358"/>
      <c r="O19" s="358"/>
      <c r="P19" s="358"/>
      <c r="Q19" s="358"/>
      <c r="R19" s="358"/>
      <c r="S19" s="358"/>
      <c r="T19" s="358"/>
      <c r="U19" s="272">
        <f t="shared" si="0"/>
        <v>1618800</v>
      </c>
    </row>
    <row r="20" spans="1:21" hidden="1" x14ac:dyDescent="0.3">
      <c r="A20" s="356">
        <v>25</v>
      </c>
      <c r="B20" s="356" t="s">
        <v>191</v>
      </c>
      <c r="C20" s="357"/>
      <c r="D20" s="358"/>
      <c r="E20" s="358"/>
      <c r="F20" s="358"/>
      <c r="G20" s="358"/>
      <c r="H20" s="358"/>
      <c r="I20" s="358"/>
      <c r="J20" s="358"/>
      <c r="K20" s="358"/>
      <c r="L20" s="358"/>
      <c r="M20" s="358"/>
      <c r="N20" s="358"/>
      <c r="O20" s="358"/>
      <c r="P20" s="358"/>
      <c r="Q20" s="358"/>
      <c r="R20" s="358"/>
      <c r="S20" s="358"/>
      <c r="T20" s="358"/>
      <c r="U20" s="272">
        <f t="shared" si="0"/>
        <v>0</v>
      </c>
    </row>
    <row r="21" spans="1:21" hidden="1" x14ac:dyDescent="0.3">
      <c r="A21" s="356">
        <v>26</v>
      </c>
      <c r="B21" s="356" t="s">
        <v>193</v>
      </c>
      <c r="C21" s="357"/>
      <c r="D21" s="358"/>
      <c r="E21" s="358"/>
      <c r="F21" s="358"/>
      <c r="G21" s="358"/>
      <c r="H21" s="358"/>
      <c r="I21" s="358"/>
      <c r="J21" s="358"/>
      <c r="K21" s="358"/>
      <c r="L21" s="358"/>
      <c r="M21" s="358"/>
      <c r="N21" s="358"/>
      <c r="O21" s="358"/>
      <c r="P21" s="358"/>
      <c r="Q21" s="358"/>
      <c r="R21" s="358"/>
      <c r="S21" s="358"/>
      <c r="T21" s="358"/>
      <c r="U21" s="272">
        <f t="shared" si="0"/>
        <v>0</v>
      </c>
    </row>
    <row r="22" spans="1:21" hidden="1" x14ac:dyDescent="0.3">
      <c r="A22" s="356">
        <v>27</v>
      </c>
      <c r="B22" s="356" t="s">
        <v>194</v>
      </c>
      <c r="C22" s="357"/>
      <c r="D22" s="358"/>
      <c r="E22" s="358"/>
      <c r="F22" s="358"/>
      <c r="G22" s="358"/>
      <c r="H22" s="358"/>
      <c r="I22" s="358"/>
      <c r="J22" s="358"/>
      <c r="K22" s="358"/>
      <c r="L22" s="358"/>
      <c r="M22" s="358"/>
      <c r="N22" s="358"/>
      <c r="O22" s="358"/>
      <c r="P22" s="358"/>
      <c r="Q22" s="358"/>
      <c r="R22" s="358"/>
      <c r="S22" s="358"/>
      <c r="T22" s="358"/>
      <c r="U22" s="272">
        <f t="shared" si="0"/>
        <v>0</v>
      </c>
    </row>
    <row r="23" spans="1:21" hidden="1" x14ac:dyDescent="0.3">
      <c r="A23" s="356">
        <v>28</v>
      </c>
      <c r="B23" s="356" t="s">
        <v>194</v>
      </c>
      <c r="C23" s="357"/>
      <c r="D23" s="358"/>
      <c r="E23" s="358"/>
      <c r="F23" s="358"/>
      <c r="G23" s="358"/>
      <c r="H23" s="358"/>
      <c r="I23" s="358"/>
      <c r="J23" s="358"/>
      <c r="K23" s="358"/>
      <c r="L23" s="358"/>
      <c r="M23" s="358"/>
      <c r="N23" s="358"/>
      <c r="O23" s="358"/>
      <c r="P23" s="358"/>
      <c r="Q23" s="358"/>
      <c r="R23" s="358"/>
      <c r="S23" s="358"/>
      <c r="T23" s="358"/>
      <c r="U23" s="272">
        <f t="shared" si="0"/>
        <v>0</v>
      </c>
    </row>
    <row r="24" spans="1:21" hidden="1" x14ac:dyDescent="0.3">
      <c r="A24" s="356">
        <v>29</v>
      </c>
      <c r="B24" s="356" t="s">
        <v>195</v>
      </c>
      <c r="C24" s="357"/>
      <c r="D24" s="358"/>
      <c r="E24" s="358"/>
      <c r="F24" s="358"/>
      <c r="G24" s="358"/>
      <c r="H24" s="358"/>
      <c r="I24" s="358"/>
      <c r="J24" s="358"/>
      <c r="K24" s="358"/>
      <c r="L24" s="358"/>
      <c r="M24" s="358"/>
      <c r="N24" s="358"/>
      <c r="O24" s="358"/>
      <c r="P24" s="358"/>
      <c r="Q24" s="358"/>
      <c r="R24" s="358"/>
      <c r="S24" s="358"/>
      <c r="T24" s="358"/>
      <c r="U24" s="272">
        <f t="shared" si="0"/>
        <v>0</v>
      </c>
    </row>
    <row r="25" spans="1:21" hidden="1" x14ac:dyDescent="0.3">
      <c r="A25" s="356">
        <v>30</v>
      </c>
      <c r="B25" s="356" t="s">
        <v>197</v>
      </c>
      <c r="C25" s="357"/>
      <c r="D25" s="358"/>
      <c r="E25" s="358"/>
      <c r="F25" s="358"/>
      <c r="G25" s="358"/>
      <c r="H25" s="358"/>
      <c r="I25" s="358"/>
      <c r="J25" s="358"/>
      <c r="K25" s="358"/>
      <c r="L25" s="358"/>
      <c r="M25" s="358"/>
      <c r="N25" s="358"/>
      <c r="O25" s="358"/>
      <c r="P25" s="358"/>
      <c r="Q25" s="358"/>
      <c r="R25" s="358"/>
      <c r="S25" s="358"/>
      <c r="T25" s="358"/>
      <c r="U25" s="272">
        <f t="shared" si="0"/>
        <v>0</v>
      </c>
    </row>
    <row r="26" spans="1:21" hidden="1" x14ac:dyDescent="0.3">
      <c r="A26" s="356">
        <v>31</v>
      </c>
      <c r="B26" s="356" t="s">
        <v>199</v>
      </c>
      <c r="C26" s="357"/>
      <c r="D26" s="358"/>
      <c r="E26" s="358"/>
      <c r="F26" s="358"/>
      <c r="G26" s="358"/>
      <c r="H26" s="358"/>
      <c r="I26" s="358"/>
      <c r="J26" s="358"/>
      <c r="K26" s="358"/>
      <c r="L26" s="358"/>
      <c r="M26" s="358"/>
      <c r="N26" s="358"/>
      <c r="O26" s="358"/>
      <c r="P26" s="358"/>
      <c r="Q26" s="358"/>
      <c r="R26" s="358"/>
      <c r="S26" s="358"/>
      <c r="T26" s="358"/>
      <c r="U26" s="272">
        <f t="shared" si="0"/>
        <v>0</v>
      </c>
    </row>
    <row r="27" spans="1:21" hidden="1" x14ac:dyDescent="0.3">
      <c r="A27" s="356">
        <v>32</v>
      </c>
      <c r="B27" s="356" t="s">
        <v>201</v>
      </c>
      <c r="C27" s="357"/>
      <c r="D27" s="358"/>
      <c r="E27" s="358"/>
      <c r="F27" s="358"/>
      <c r="G27" s="358"/>
      <c r="H27" s="358"/>
      <c r="I27" s="358"/>
      <c r="J27" s="358"/>
      <c r="K27" s="358"/>
      <c r="L27" s="358"/>
      <c r="M27" s="358"/>
      <c r="N27" s="358"/>
      <c r="O27" s="358"/>
      <c r="P27" s="358"/>
      <c r="Q27" s="358"/>
      <c r="R27" s="358"/>
      <c r="S27" s="358"/>
      <c r="T27" s="358"/>
      <c r="U27" s="272">
        <f t="shared" si="0"/>
        <v>0</v>
      </c>
    </row>
    <row r="28" spans="1:21" hidden="1" x14ac:dyDescent="0.3">
      <c r="A28" s="356">
        <v>33</v>
      </c>
      <c r="B28" s="356" t="s">
        <v>203</v>
      </c>
      <c r="C28" s="357">
        <v>0</v>
      </c>
      <c r="D28" s="358">
        <v>554400</v>
      </c>
      <c r="E28" s="358"/>
      <c r="F28" s="358"/>
      <c r="G28" s="358"/>
      <c r="H28" s="358"/>
      <c r="I28" s="358"/>
      <c r="J28" s="358"/>
      <c r="K28" s="358"/>
      <c r="L28" s="358"/>
      <c r="M28" s="358"/>
      <c r="N28" s="358"/>
      <c r="O28" s="358"/>
      <c r="P28" s="358"/>
      <c r="Q28" s="358"/>
      <c r="R28" s="358"/>
      <c r="S28" s="358"/>
      <c r="T28" s="358"/>
      <c r="U28" s="272">
        <f t="shared" si="0"/>
        <v>554400</v>
      </c>
    </row>
    <row r="29" spans="1:21" hidden="1" x14ac:dyDescent="0.3">
      <c r="A29" s="356">
        <v>34</v>
      </c>
      <c r="B29" s="356" t="s">
        <v>205</v>
      </c>
      <c r="C29" s="357"/>
      <c r="D29" s="358"/>
      <c r="E29" s="358"/>
      <c r="F29" s="358"/>
      <c r="G29" s="358"/>
      <c r="H29" s="358"/>
      <c r="I29" s="358"/>
      <c r="J29" s="358"/>
      <c r="K29" s="358"/>
      <c r="L29" s="358"/>
      <c r="M29" s="358"/>
      <c r="N29" s="358"/>
      <c r="O29" s="358"/>
      <c r="P29" s="358"/>
      <c r="Q29" s="358"/>
      <c r="R29" s="358"/>
      <c r="S29" s="358"/>
      <c r="T29" s="358"/>
      <c r="U29" s="272">
        <f t="shared" si="0"/>
        <v>0</v>
      </c>
    </row>
    <row r="30" spans="1:21" hidden="1" x14ac:dyDescent="0.3">
      <c r="A30" s="356">
        <v>35</v>
      </c>
      <c r="B30" s="356" t="s">
        <v>207</v>
      </c>
      <c r="C30" s="357"/>
      <c r="D30" s="358"/>
      <c r="E30" s="358"/>
      <c r="F30" s="358"/>
      <c r="G30" s="358"/>
      <c r="H30" s="358"/>
      <c r="I30" s="358"/>
      <c r="J30" s="358"/>
      <c r="K30" s="358"/>
      <c r="L30" s="358"/>
      <c r="M30" s="358"/>
      <c r="N30" s="358"/>
      <c r="O30" s="358"/>
      <c r="P30" s="358"/>
      <c r="Q30" s="358"/>
      <c r="R30" s="358"/>
      <c r="S30" s="358"/>
      <c r="T30" s="358"/>
      <c r="U30" s="272">
        <f t="shared" si="0"/>
        <v>0</v>
      </c>
    </row>
    <row r="31" spans="1:21" hidden="1" x14ac:dyDescent="0.3">
      <c r="A31" s="356">
        <v>36</v>
      </c>
      <c r="B31" s="356" t="s">
        <v>209</v>
      </c>
      <c r="C31" s="357"/>
      <c r="D31" s="358"/>
      <c r="E31" s="358"/>
      <c r="F31" s="358"/>
      <c r="G31" s="358"/>
      <c r="H31" s="358"/>
      <c r="I31" s="358"/>
      <c r="J31" s="358"/>
      <c r="K31" s="358"/>
      <c r="L31" s="358"/>
      <c r="M31" s="358"/>
      <c r="N31" s="358"/>
      <c r="O31" s="358"/>
      <c r="P31" s="358"/>
      <c r="Q31" s="358"/>
      <c r="R31" s="358"/>
      <c r="S31" s="358"/>
      <c r="T31" s="358"/>
      <c r="U31" s="272">
        <f t="shared" si="0"/>
        <v>0</v>
      </c>
    </row>
    <row r="32" spans="1:21" hidden="1" x14ac:dyDescent="0.3">
      <c r="A32" s="356">
        <v>37</v>
      </c>
      <c r="B32" s="356" t="s">
        <v>211</v>
      </c>
      <c r="C32" s="357">
        <v>150000</v>
      </c>
      <c r="D32" s="358">
        <v>130000</v>
      </c>
      <c r="E32" s="358"/>
      <c r="F32" s="358"/>
      <c r="G32" s="358"/>
      <c r="H32" s="358"/>
      <c r="I32" s="358"/>
      <c r="J32" s="358"/>
      <c r="K32" s="358"/>
      <c r="L32" s="358"/>
      <c r="M32" s="358"/>
      <c r="N32" s="358"/>
      <c r="O32" s="358"/>
      <c r="P32" s="358"/>
      <c r="Q32" s="358"/>
      <c r="R32" s="358"/>
      <c r="S32" s="358"/>
      <c r="T32" s="358"/>
      <c r="U32" s="272">
        <f t="shared" si="0"/>
        <v>280000</v>
      </c>
    </row>
    <row r="33" spans="1:21" hidden="1" x14ac:dyDescent="0.3">
      <c r="A33" s="356">
        <v>38</v>
      </c>
      <c r="B33" s="356" t="s">
        <v>213</v>
      </c>
      <c r="C33" s="357"/>
      <c r="D33" s="358"/>
      <c r="E33" s="358"/>
      <c r="F33" s="358"/>
      <c r="G33" s="358"/>
      <c r="H33" s="358"/>
      <c r="I33" s="358"/>
      <c r="J33" s="358"/>
      <c r="K33" s="358"/>
      <c r="L33" s="358"/>
      <c r="M33" s="358"/>
      <c r="N33" s="358"/>
      <c r="O33" s="358"/>
      <c r="P33" s="358"/>
      <c r="Q33" s="358"/>
      <c r="R33" s="358"/>
      <c r="S33" s="358"/>
      <c r="T33" s="358"/>
      <c r="U33" s="272">
        <f t="shared" si="0"/>
        <v>0</v>
      </c>
    </row>
    <row r="34" spans="1:21" hidden="1" x14ac:dyDescent="0.3">
      <c r="A34" s="356">
        <v>39</v>
      </c>
      <c r="B34" s="356" t="s">
        <v>215</v>
      </c>
      <c r="C34" s="357">
        <v>192031</v>
      </c>
      <c r="D34" s="358">
        <v>233945</v>
      </c>
      <c r="E34" s="358"/>
      <c r="F34" s="358"/>
      <c r="G34" s="358"/>
      <c r="H34" s="358"/>
      <c r="I34" s="358"/>
      <c r="J34" s="358"/>
      <c r="K34" s="358"/>
      <c r="L34" s="358"/>
      <c r="M34" s="358"/>
      <c r="N34" s="358"/>
      <c r="O34" s="358"/>
      <c r="P34" s="358"/>
      <c r="Q34" s="358"/>
      <c r="R34" s="358"/>
      <c r="S34" s="358"/>
      <c r="T34" s="358"/>
      <c r="U34" s="272">
        <f t="shared" si="0"/>
        <v>425976</v>
      </c>
    </row>
    <row r="35" spans="1:21" hidden="1" x14ac:dyDescent="0.3">
      <c r="A35" s="356">
        <v>40</v>
      </c>
      <c r="B35" s="356" t="s">
        <v>217</v>
      </c>
      <c r="C35" s="357"/>
      <c r="D35" s="358"/>
      <c r="E35" s="358"/>
      <c r="F35" s="358"/>
      <c r="G35" s="358"/>
      <c r="H35" s="358"/>
      <c r="I35" s="358"/>
      <c r="J35" s="358"/>
      <c r="K35" s="358"/>
      <c r="L35" s="358"/>
      <c r="M35" s="358"/>
      <c r="N35" s="358"/>
      <c r="O35" s="358"/>
      <c r="P35" s="358"/>
      <c r="Q35" s="358"/>
      <c r="R35" s="358"/>
      <c r="S35" s="358"/>
      <c r="T35" s="358"/>
      <c r="U35" s="272">
        <f t="shared" si="0"/>
        <v>0</v>
      </c>
    </row>
    <row r="36" spans="1:21" hidden="1" x14ac:dyDescent="0.3">
      <c r="A36" s="356">
        <v>41</v>
      </c>
      <c r="B36" s="356" t="s">
        <v>219</v>
      </c>
      <c r="C36" s="357"/>
      <c r="D36" s="358"/>
      <c r="E36" s="358"/>
      <c r="F36" s="358"/>
      <c r="G36" s="358"/>
      <c r="H36" s="358"/>
      <c r="I36" s="358"/>
      <c r="J36" s="358"/>
      <c r="K36" s="358"/>
      <c r="L36" s="358"/>
      <c r="M36" s="358"/>
      <c r="N36" s="358"/>
      <c r="O36" s="358"/>
      <c r="P36" s="358"/>
      <c r="Q36" s="358"/>
      <c r="R36" s="358"/>
      <c r="S36" s="358"/>
      <c r="T36" s="358"/>
      <c r="U36" s="272">
        <f t="shared" si="0"/>
        <v>0</v>
      </c>
    </row>
    <row r="37" spans="1:21" hidden="1" x14ac:dyDescent="0.3">
      <c r="A37" s="356">
        <v>42</v>
      </c>
      <c r="B37" s="356" t="s">
        <v>221</v>
      </c>
      <c r="C37" s="357"/>
      <c r="D37" s="358"/>
      <c r="E37" s="358"/>
      <c r="F37" s="358"/>
      <c r="G37" s="358"/>
      <c r="H37" s="358"/>
      <c r="I37" s="358"/>
      <c r="J37" s="358"/>
      <c r="K37" s="358"/>
      <c r="L37" s="358"/>
      <c r="M37" s="358"/>
      <c r="N37" s="358"/>
      <c r="O37" s="358"/>
      <c r="P37" s="358"/>
      <c r="Q37" s="358"/>
      <c r="R37" s="358"/>
      <c r="S37" s="358"/>
      <c r="T37" s="358"/>
      <c r="U37" s="272">
        <f t="shared" si="0"/>
        <v>0</v>
      </c>
    </row>
    <row r="38" spans="1:21" hidden="1" x14ac:dyDescent="0.3">
      <c r="A38" s="356">
        <v>43</v>
      </c>
      <c r="B38" s="356" t="s">
        <v>223</v>
      </c>
      <c r="C38" s="357"/>
      <c r="D38" s="358"/>
      <c r="E38" s="358"/>
      <c r="F38" s="358"/>
      <c r="G38" s="358"/>
      <c r="H38" s="358"/>
      <c r="I38" s="358"/>
      <c r="J38" s="358"/>
      <c r="K38" s="358"/>
      <c r="L38" s="358"/>
      <c r="M38" s="358"/>
      <c r="N38" s="358"/>
      <c r="O38" s="358"/>
      <c r="P38" s="358"/>
      <c r="Q38" s="358"/>
      <c r="R38" s="358"/>
      <c r="S38" s="358"/>
      <c r="T38" s="358"/>
      <c r="U38" s="272">
        <f t="shared" si="0"/>
        <v>0</v>
      </c>
    </row>
    <row r="39" spans="1:21" hidden="1" x14ac:dyDescent="0.3">
      <c r="A39" s="356">
        <v>44</v>
      </c>
      <c r="B39" s="356" t="s">
        <v>225</v>
      </c>
      <c r="C39" s="357"/>
      <c r="D39" s="358"/>
      <c r="E39" s="358"/>
      <c r="F39" s="358"/>
      <c r="G39" s="358"/>
      <c r="H39" s="358"/>
      <c r="I39" s="358"/>
      <c r="J39" s="358"/>
      <c r="K39" s="358"/>
      <c r="L39" s="358"/>
      <c r="M39" s="358"/>
      <c r="N39" s="358"/>
      <c r="O39" s="358"/>
      <c r="P39" s="358"/>
      <c r="Q39" s="358"/>
      <c r="R39" s="358"/>
      <c r="S39" s="358"/>
      <c r="T39" s="358"/>
      <c r="U39" s="272">
        <f t="shared" si="0"/>
        <v>0</v>
      </c>
    </row>
    <row r="40" spans="1:21" hidden="1" x14ac:dyDescent="0.3">
      <c r="A40" s="356">
        <v>45</v>
      </c>
      <c r="B40" s="356" t="s">
        <v>227</v>
      </c>
      <c r="C40" s="357">
        <v>0</v>
      </c>
      <c r="D40" s="358">
        <v>37200</v>
      </c>
      <c r="E40" s="358"/>
      <c r="F40" s="358"/>
      <c r="G40" s="358"/>
      <c r="H40" s="358"/>
      <c r="I40" s="358"/>
      <c r="J40" s="358"/>
      <c r="K40" s="358"/>
      <c r="L40" s="358"/>
      <c r="M40" s="358"/>
      <c r="N40" s="358"/>
      <c r="O40" s="358"/>
      <c r="P40" s="358"/>
      <c r="Q40" s="358"/>
      <c r="R40" s="358"/>
      <c r="S40" s="358"/>
      <c r="T40" s="358"/>
      <c r="U40" s="272">
        <f t="shared" si="0"/>
        <v>37200</v>
      </c>
    </row>
    <row r="41" spans="1:21" hidden="1" x14ac:dyDescent="0.3">
      <c r="A41" s="356">
        <v>46</v>
      </c>
      <c r="B41" s="356" t="s">
        <v>229</v>
      </c>
      <c r="C41" s="357"/>
      <c r="D41" s="358"/>
      <c r="E41" s="358"/>
      <c r="F41" s="358"/>
      <c r="G41" s="358"/>
      <c r="H41" s="358"/>
      <c r="I41" s="358"/>
      <c r="J41" s="358"/>
      <c r="K41" s="358"/>
      <c r="L41" s="358"/>
      <c r="M41" s="358"/>
      <c r="N41" s="358"/>
      <c r="O41" s="358"/>
      <c r="P41" s="358"/>
      <c r="Q41" s="358"/>
      <c r="R41" s="358"/>
      <c r="S41" s="358"/>
      <c r="T41" s="358"/>
      <c r="U41" s="272">
        <f t="shared" si="0"/>
        <v>0</v>
      </c>
    </row>
    <row r="42" spans="1:21" hidden="1" x14ac:dyDescent="0.3">
      <c r="A42" s="356">
        <v>47</v>
      </c>
      <c r="B42" s="356" t="s">
        <v>231</v>
      </c>
      <c r="C42" s="357">
        <v>7297000</v>
      </c>
      <c r="D42" s="358">
        <v>7677500</v>
      </c>
      <c r="E42" s="358"/>
      <c r="F42" s="358"/>
      <c r="G42" s="358"/>
      <c r="H42" s="358"/>
      <c r="I42" s="358"/>
      <c r="J42" s="358"/>
      <c r="K42" s="358"/>
      <c r="L42" s="358"/>
      <c r="M42" s="358"/>
      <c r="N42" s="358"/>
      <c r="O42" s="358"/>
      <c r="P42" s="358"/>
      <c r="Q42" s="358"/>
      <c r="R42" s="358"/>
      <c r="S42" s="358"/>
      <c r="T42" s="358"/>
      <c r="U42" s="272">
        <f t="shared" si="0"/>
        <v>14974500</v>
      </c>
    </row>
    <row r="43" spans="1:21" hidden="1" x14ac:dyDescent="0.3">
      <c r="A43" s="356">
        <v>48</v>
      </c>
      <c r="B43" s="356" t="s">
        <v>233</v>
      </c>
      <c r="C43" s="357"/>
      <c r="D43" s="358"/>
      <c r="E43" s="358"/>
      <c r="F43" s="358"/>
      <c r="G43" s="358"/>
      <c r="H43" s="358"/>
      <c r="I43" s="358"/>
      <c r="J43" s="358"/>
      <c r="K43" s="358"/>
      <c r="L43" s="358"/>
      <c r="M43" s="358"/>
      <c r="N43" s="358"/>
      <c r="O43" s="358"/>
      <c r="P43" s="358"/>
      <c r="Q43" s="358"/>
      <c r="R43" s="358"/>
      <c r="S43" s="358"/>
      <c r="T43" s="358"/>
      <c r="U43" s="272">
        <f t="shared" si="0"/>
        <v>0</v>
      </c>
    </row>
    <row r="44" spans="1:21" hidden="1" x14ac:dyDescent="0.3">
      <c r="A44" s="356">
        <v>49</v>
      </c>
      <c r="B44" s="356" t="s">
        <v>235</v>
      </c>
      <c r="C44" s="357"/>
      <c r="D44" s="358"/>
      <c r="E44" s="358"/>
      <c r="F44" s="358"/>
      <c r="G44" s="358"/>
      <c r="H44" s="358"/>
      <c r="I44" s="358"/>
      <c r="J44" s="358"/>
      <c r="K44" s="358"/>
      <c r="L44" s="358"/>
      <c r="M44" s="358"/>
      <c r="N44" s="358"/>
      <c r="O44" s="358"/>
      <c r="P44" s="358"/>
      <c r="Q44" s="358"/>
      <c r="R44" s="358"/>
      <c r="S44" s="358"/>
      <c r="T44" s="358"/>
      <c r="U44" s="272">
        <f t="shared" si="0"/>
        <v>0</v>
      </c>
    </row>
    <row r="45" spans="1:21" hidden="1" x14ac:dyDescent="0.3">
      <c r="A45" s="356">
        <v>50</v>
      </c>
      <c r="B45" s="356" t="s">
        <v>237</v>
      </c>
      <c r="C45" s="357"/>
      <c r="D45" s="358"/>
      <c r="E45" s="358"/>
      <c r="F45" s="358"/>
      <c r="G45" s="358"/>
      <c r="H45" s="358"/>
      <c r="I45" s="358"/>
      <c r="J45" s="358"/>
      <c r="K45" s="358"/>
      <c r="L45" s="358"/>
      <c r="M45" s="358"/>
      <c r="N45" s="358"/>
      <c r="O45" s="358"/>
      <c r="P45" s="358"/>
      <c r="Q45" s="358"/>
      <c r="R45" s="358"/>
      <c r="S45" s="358"/>
      <c r="T45" s="358"/>
      <c r="U45" s="272">
        <f t="shared" si="0"/>
        <v>0</v>
      </c>
    </row>
    <row r="46" spans="1:21" hidden="1" x14ac:dyDescent="0.3">
      <c r="A46" s="356">
        <v>51</v>
      </c>
      <c r="B46" s="356" t="s">
        <v>239</v>
      </c>
      <c r="C46" s="357"/>
      <c r="D46" s="358"/>
      <c r="E46" s="358"/>
      <c r="F46" s="358"/>
      <c r="G46" s="358"/>
      <c r="H46" s="358"/>
      <c r="I46" s="358"/>
      <c r="J46" s="358"/>
      <c r="K46" s="358"/>
      <c r="L46" s="358"/>
      <c r="M46" s="358"/>
      <c r="N46" s="358"/>
      <c r="O46" s="358"/>
      <c r="P46" s="358"/>
      <c r="Q46" s="358"/>
      <c r="R46" s="358"/>
      <c r="S46" s="358"/>
      <c r="T46" s="358"/>
      <c r="U46" s="272">
        <f t="shared" si="0"/>
        <v>0</v>
      </c>
    </row>
    <row r="47" spans="1:21" hidden="1" x14ac:dyDescent="0.3">
      <c r="A47" s="356">
        <v>52</v>
      </c>
      <c r="B47" s="356" t="s">
        <v>241</v>
      </c>
      <c r="C47" s="357"/>
      <c r="D47" s="358"/>
      <c r="E47" s="358"/>
      <c r="F47" s="358"/>
      <c r="G47" s="358"/>
      <c r="H47" s="358"/>
      <c r="I47" s="358"/>
      <c r="J47" s="358"/>
      <c r="K47" s="358"/>
      <c r="L47" s="358"/>
      <c r="M47" s="358"/>
      <c r="N47" s="358"/>
      <c r="O47" s="358"/>
      <c r="P47" s="358"/>
      <c r="Q47" s="358"/>
      <c r="R47" s="358"/>
      <c r="S47" s="358"/>
      <c r="T47" s="358"/>
      <c r="U47" s="272">
        <f t="shared" si="0"/>
        <v>0</v>
      </c>
    </row>
    <row r="48" spans="1:21" hidden="1" x14ac:dyDescent="0.3">
      <c r="A48" s="356">
        <v>53</v>
      </c>
      <c r="B48" s="356" t="s">
        <v>243</v>
      </c>
      <c r="C48" s="357"/>
      <c r="D48" s="358"/>
      <c r="E48" s="358"/>
      <c r="F48" s="358"/>
      <c r="G48" s="358"/>
      <c r="H48" s="358"/>
      <c r="I48" s="358"/>
      <c r="J48" s="358"/>
      <c r="K48" s="358"/>
      <c r="L48" s="358"/>
      <c r="M48" s="358"/>
      <c r="N48" s="358"/>
      <c r="O48" s="358"/>
      <c r="P48" s="358"/>
      <c r="Q48" s="358"/>
      <c r="R48" s="358"/>
      <c r="S48" s="358"/>
      <c r="T48" s="358"/>
      <c r="U48" s="272">
        <f t="shared" si="0"/>
        <v>0</v>
      </c>
    </row>
    <row r="49" spans="1:21" hidden="1" x14ac:dyDescent="0.3">
      <c r="A49" s="356">
        <v>54</v>
      </c>
      <c r="B49" s="356" t="s">
        <v>245</v>
      </c>
      <c r="C49" s="357"/>
      <c r="D49" s="358"/>
      <c r="E49" s="358"/>
      <c r="F49" s="358"/>
      <c r="G49" s="358"/>
      <c r="H49" s="358"/>
      <c r="I49" s="358"/>
      <c r="J49" s="358"/>
      <c r="K49" s="358"/>
      <c r="L49" s="358"/>
      <c r="M49" s="358"/>
      <c r="N49" s="358"/>
      <c r="O49" s="358"/>
      <c r="P49" s="358"/>
      <c r="Q49" s="358"/>
      <c r="R49" s="358"/>
      <c r="S49" s="358"/>
      <c r="T49" s="358"/>
      <c r="U49" s="272">
        <f t="shared" si="0"/>
        <v>0</v>
      </c>
    </row>
    <row r="50" spans="1:21" hidden="1" x14ac:dyDescent="0.3">
      <c r="A50" s="356">
        <v>55</v>
      </c>
      <c r="B50" s="356" t="s">
        <v>247</v>
      </c>
      <c r="C50" s="357"/>
      <c r="D50" s="358"/>
      <c r="E50" s="358"/>
      <c r="F50" s="358"/>
      <c r="G50" s="358"/>
      <c r="H50" s="358"/>
      <c r="I50" s="358"/>
      <c r="J50" s="358"/>
      <c r="K50" s="358"/>
      <c r="L50" s="358"/>
      <c r="M50" s="358"/>
      <c r="N50" s="358"/>
      <c r="O50" s="358"/>
      <c r="P50" s="358"/>
      <c r="Q50" s="358"/>
      <c r="R50" s="358"/>
      <c r="S50" s="358"/>
      <c r="T50" s="358"/>
      <c r="U50" s="272">
        <f t="shared" si="0"/>
        <v>0</v>
      </c>
    </row>
    <row r="51" spans="1:21" hidden="1" x14ac:dyDescent="0.3">
      <c r="A51" s="356">
        <v>56</v>
      </c>
      <c r="B51" s="356" t="s">
        <v>248</v>
      </c>
      <c r="C51" s="357"/>
      <c r="D51" s="358"/>
      <c r="E51" s="358"/>
      <c r="F51" s="358"/>
      <c r="G51" s="358"/>
      <c r="H51" s="358"/>
      <c r="I51" s="358"/>
      <c r="J51" s="358"/>
      <c r="K51" s="358"/>
      <c r="L51" s="358"/>
      <c r="M51" s="358"/>
      <c r="N51" s="358"/>
      <c r="O51" s="358"/>
      <c r="P51" s="358"/>
      <c r="Q51" s="358"/>
      <c r="R51" s="358"/>
      <c r="S51" s="358"/>
      <c r="T51" s="358"/>
      <c r="U51" s="272">
        <f t="shared" si="0"/>
        <v>0</v>
      </c>
    </row>
    <row r="52" spans="1:21" hidden="1" x14ac:dyDescent="0.3">
      <c r="A52" s="356">
        <v>57</v>
      </c>
      <c r="B52" s="356" t="s">
        <v>250</v>
      </c>
      <c r="C52" s="357"/>
      <c r="D52" s="358"/>
      <c r="E52" s="358"/>
      <c r="F52" s="358"/>
      <c r="G52" s="358"/>
      <c r="H52" s="358"/>
      <c r="I52" s="358"/>
      <c r="J52" s="358"/>
      <c r="K52" s="358"/>
      <c r="L52" s="358"/>
      <c r="M52" s="358"/>
      <c r="N52" s="358"/>
      <c r="O52" s="358"/>
      <c r="P52" s="358"/>
      <c r="Q52" s="358"/>
      <c r="R52" s="358"/>
      <c r="S52" s="358"/>
      <c r="T52" s="358"/>
      <c r="U52" s="272">
        <f t="shared" si="0"/>
        <v>0</v>
      </c>
    </row>
    <row r="53" spans="1:21" hidden="1" x14ac:dyDescent="0.3">
      <c r="A53" s="356">
        <v>58</v>
      </c>
      <c r="B53" s="356" t="s">
        <v>252</v>
      </c>
      <c r="C53" s="357"/>
      <c r="D53" s="358"/>
      <c r="E53" s="358"/>
      <c r="F53" s="358"/>
      <c r="G53" s="358"/>
      <c r="H53" s="358"/>
      <c r="I53" s="358"/>
      <c r="J53" s="358"/>
      <c r="K53" s="358"/>
      <c r="L53" s="358"/>
      <c r="M53" s="358"/>
      <c r="N53" s="358"/>
      <c r="O53" s="358"/>
      <c r="P53" s="358"/>
      <c r="Q53" s="358"/>
      <c r="R53" s="358"/>
      <c r="S53" s="358"/>
      <c r="T53" s="358"/>
      <c r="U53" s="272">
        <f t="shared" si="0"/>
        <v>0</v>
      </c>
    </row>
    <row r="54" spans="1:21" hidden="1" x14ac:dyDescent="0.3">
      <c r="A54" s="356">
        <v>59</v>
      </c>
      <c r="B54" s="356" t="s">
        <v>254</v>
      </c>
      <c r="C54" s="357"/>
      <c r="D54" s="358"/>
      <c r="E54" s="358"/>
      <c r="F54" s="358"/>
      <c r="G54" s="358"/>
      <c r="H54" s="358"/>
      <c r="I54" s="358"/>
      <c r="J54" s="358"/>
      <c r="K54" s="358"/>
      <c r="L54" s="358"/>
      <c r="M54" s="358"/>
      <c r="N54" s="358"/>
      <c r="O54" s="358"/>
      <c r="P54" s="358"/>
      <c r="Q54" s="358"/>
      <c r="R54" s="358"/>
      <c r="S54" s="358"/>
      <c r="T54" s="358"/>
      <c r="U54" s="272">
        <f t="shared" si="0"/>
        <v>0</v>
      </c>
    </row>
    <row r="55" spans="1:21" hidden="1" x14ac:dyDescent="0.3">
      <c r="A55" s="356">
        <v>60</v>
      </c>
      <c r="B55" s="356" t="s">
        <v>256</v>
      </c>
      <c r="C55" s="357">
        <v>10374535.236988943</v>
      </c>
      <c r="D55" s="358">
        <v>12334716.518374223</v>
      </c>
      <c r="E55" s="358">
        <v>0</v>
      </c>
      <c r="F55" s="358">
        <v>842064.77710436634</v>
      </c>
      <c r="G55" s="358">
        <v>0</v>
      </c>
      <c r="H55" s="358">
        <v>0</v>
      </c>
      <c r="I55" s="358"/>
      <c r="J55" s="358"/>
      <c r="K55" s="358"/>
      <c r="L55" s="358"/>
      <c r="M55" s="358"/>
      <c r="N55" s="358"/>
      <c r="O55" s="358"/>
      <c r="P55" s="358"/>
      <c r="Q55" s="358"/>
      <c r="R55" s="358"/>
      <c r="S55" s="358"/>
      <c r="T55" s="358"/>
      <c r="U55" s="272">
        <f t="shared" si="0"/>
        <v>23551316.532467533</v>
      </c>
    </row>
    <row r="56" spans="1:21" hidden="1" x14ac:dyDescent="0.3">
      <c r="A56" s="356">
        <v>61</v>
      </c>
      <c r="B56" s="356" t="s">
        <v>194</v>
      </c>
      <c r="C56" s="357"/>
      <c r="D56" s="358"/>
      <c r="E56" s="358"/>
      <c r="F56" s="358"/>
      <c r="G56" s="358"/>
      <c r="H56" s="358"/>
      <c r="I56" s="358"/>
      <c r="J56" s="358"/>
      <c r="K56" s="358"/>
      <c r="L56" s="358"/>
      <c r="M56" s="358"/>
      <c r="N56" s="358"/>
      <c r="O56" s="358"/>
      <c r="P56" s="358"/>
      <c r="Q56" s="358"/>
      <c r="R56" s="358"/>
      <c r="S56" s="358"/>
      <c r="T56" s="358"/>
      <c r="U56" s="272">
        <f t="shared" si="0"/>
        <v>0</v>
      </c>
    </row>
    <row r="57" spans="1:21" hidden="1" x14ac:dyDescent="0.3">
      <c r="A57" s="356">
        <v>62</v>
      </c>
      <c r="B57" s="356" t="s">
        <v>259</v>
      </c>
      <c r="C57" s="357"/>
      <c r="D57" s="358"/>
      <c r="E57" s="358"/>
      <c r="F57" s="358"/>
      <c r="G57" s="358"/>
      <c r="H57" s="358"/>
      <c r="I57" s="358"/>
      <c r="J57" s="358"/>
      <c r="K57" s="358"/>
      <c r="L57" s="358"/>
      <c r="M57" s="358"/>
      <c r="N57" s="358"/>
      <c r="O57" s="358"/>
      <c r="P57" s="358"/>
      <c r="Q57" s="358"/>
      <c r="R57" s="358"/>
      <c r="S57" s="358"/>
      <c r="T57" s="358"/>
      <c r="U57" s="272">
        <f t="shared" si="0"/>
        <v>0</v>
      </c>
    </row>
    <row r="58" spans="1:21" hidden="1" x14ac:dyDescent="0.3">
      <c r="A58" s="356">
        <v>63</v>
      </c>
      <c r="B58" s="356" t="s">
        <v>261</v>
      </c>
      <c r="C58" s="357">
        <v>0</v>
      </c>
      <c r="D58" s="358">
        <v>0</v>
      </c>
      <c r="E58" s="358">
        <v>0</v>
      </c>
      <c r="F58" s="358">
        <v>0</v>
      </c>
      <c r="G58" s="358">
        <v>0</v>
      </c>
      <c r="H58" s="358">
        <v>0</v>
      </c>
      <c r="I58" s="358"/>
      <c r="J58" s="358"/>
      <c r="K58" s="358"/>
      <c r="L58" s="358"/>
      <c r="M58" s="358"/>
      <c r="N58" s="358"/>
      <c r="O58" s="358"/>
      <c r="P58" s="358"/>
      <c r="Q58" s="358"/>
      <c r="R58" s="358"/>
      <c r="S58" s="358"/>
      <c r="T58" s="358"/>
      <c r="U58" s="272">
        <f t="shared" si="0"/>
        <v>0</v>
      </c>
    </row>
    <row r="59" spans="1:21" hidden="1" x14ac:dyDescent="0.3">
      <c r="A59" s="356">
        <v>64</v>
      </c>
      <c r="B59" s="356" t="s">
        <v>263</v>
      </c>
      <c r="C59" s="357">
        <v>0</v>
      </c>
      <c r="D59" s="358">
        <v>0</v>
      </c>
      <c r="E59" s="358">
        <v>0</v>
      </c>
      <c r="F59" s="358">
        <v>0</v>
      </c>
      <c r="G59" s="358">
        <v>0</v>
      </c>
      <c r="H59" s="358">
        <v>0</v>
      </c>
      <c r="I59" s="358"/>
      <c r="J59" s="358"/>
      <c r="K59" s="358"/>
      <c r="L59" s="358"/>
      <c r="M59" s="358"/>
      <c r="N59" s="358"/>
      <c r="O59" s="358"/>
      <c r="P59" s="358"/>
      <c r="Q59" s="358"/>
      <c r="R59" s="358"/>
      <c r="S59" s="358"/>
      <c r="T59" s="358"/>
      <c r="U59" s="272">
        <f t="shared" si="0"/>
        <v>0</v>
      </c>
    </row>
    <row r="60" spans="1:21" hidden="1" x14ac:dyDescent="0.3">
      <c r="A60" s="356">
        <v>65</v>
      </c>
      <c r="B60" s="356" t="s">
        <v>265</v>
      </c>
      <c r="C60" s="357"/>
      <c r="D60" s="358"/>
      <c r="E60" s="358">
        <v>2858296.25</v>
      </c>
      <c r="F60" s="358"/>
      <c r="G60" s="358"/>
      <c r="H60" s="358"/>
      <c r="I60" s="358"/>
      <c r="J60" s="358"/>
      <c r="K60" s="358"/>
      <c r="L60" s="358"/>
      <c r="M60" s="358"/>
      <c r="N60" s="358"/>
      <c r="O60" s="358"/>
      <c r="P60" s="358"/>
      <c r="Q60" s="358"/>
      <c r="R60" s="358"/>
      <c r="S60" s="358"/>
      <c r="T60" s="358"/>
      <c r="U60" s="272">
        <f t="shared" si="0"/>
        <v>2858296.25</v>
      </c>
    </row>
    <row r="61" spans="1:21" hidden="1" x14ac:dyDescent="0.3">
      <c r="A61" s="356">
        <v>66</v>
      </c>
      <c r="B61" s="356" t="s">
        <v>267</v>
      </c>
      <c r="C61" s="357"/>
      <c r="D61" s="358"/>
      <c r="E61" s="358"/>
      <c r="F61" s="358"/>
      <c r="G61" s="358"/>
      <c r="H61" s="358"/>
      <c r="I61" s="358"/>
      <c r="J61" s="358"/>
      <c r="K61" s="358"/>
      <c r="L61" s="358"/>
      <c r="M61" s="358"/>
      <c r="N61" s="358"/>
      <c r="O61" s="358"/>
      <c r="P61" s="358"/>
      <c r="Q61" s="358"/>
      <c r="R61" s="358"/>
      <c r="S61" s="358"/>
      <c r="T61" s="358"/>
      <c r="U61" s="272">
        <f t="shared" si="0"/>
        <v>0</v>
      </c>
    </row>
    <row r="62" spans="1:21" hidden="1" x14ac:dyDescent="0.3">
      <c r="A62" s="356">
        <v>67</v>
      </c>
      <c r="B62" s="356" t="s">
        <v>269</v>
      </c>
      <c r="C62" s="357"/>
      <c r="D62" s="358"/>
      <c r="E62" s="358"/>
      <c r="F62" s="358"/>
      <c r="G62" s="358"/>
      <c r="H62" s="358"/>
      <c r="I62" s="358"/>
      <c r="J62" s="358"/>
      <c r="K62" s="358"/>
      <c r="L62" s="358"/>
      <c r="M62" s="358"/>
      <c r="N62" s="358"/>
      <c r="O62" s="358"/>
      <c r="P62" s="358"/>
      <c r="Q62" s="358"/>
      <c r="R62" s="358"/>
      <c r="S62" s="358"/>
      <c r="T62" s="358"/>
      <c r="U62" s="272">
        <f t="shared" si="0"/>
        <v>0</v>
      </c>
    </row>
    <row r="63" spans="1:21" hidden="1" x14ac:dyDescent="0.3">
      <c r="A63" s="356">
        <v>68</v>
      </c>
      <c r="B63" s="356" t="s">
        <v>271</v>
      </c>
      <c r="C63" s="357"/>
      <c r="D63" s="358"/>
      <c r="E63" s="358"/>
      <c r="F63" s="358"/>
      <c r="G63" s="358"/>
      <c r="H63" s="358"/>
      <c r="I63" s="358"/>
      <c r="J63" s="358"/>
      <c r="K63" s="358"/>
      <c r="L63" s="358"/>
      <c r="M63" s="358"/>
      <c r="N63" s="358"/>
      <c r="O63" s="358"/>
      <c r="P63" s="358"/>
      <c r="Q63" s="358"/>
      <c r="R63" s="358"/>
      <c r="S63" s="358"/>
      <c r="T63" s="358"/>
      <c r="U63" s="272">
        <f t="shared" si="0"/>
        <v>0</v>
      </c>
    </row>
    <row r="64" spans="1:21" hidden="1" x14ac:dyDescent="0.3">
      <c r="A64" s="356">
        <v>69</v>
      </c>
      <c r="B64" s="356" t="s">
        <v>272</v>
      </c>
      <c r="C64" s="357"/>
      <c r="D64" s="358"/>
      <c r="E64" s="358"/>
      <c r="F64" s="358"/>
      <c r="G64" s="358"/>
      <c r="H64" s="358"/>
      <c r="I64" s="358"/>
      <c r="J64" s="358"/>
      <c r="K64" s="358"/>
      <c r="L64" s="358"/>
      <c r="M64" s="358"/>
      <c r="N64" s="358"/>
      <c r="O64" s="358"/>
      <c r="P64" s="358"/>
      <c r="Q64" s="358"/>
      <c r="R64" s="358"/>
      <c r="S64" s="358"/>
      <c r="T64" s="358"/>
      <c r="U64" s="272">
        <f t="shared" si="0"/>
        <v>0</v>
      </c>
    </row>
    <row r="65" spans="1:21" hidden="1" x14ac:dyDescent="0.3">
      <c r="A65" s="356">
        <v>70</v>
      </c>
      <c r="B65" s="356" t="s">
        <v>273</v>
      </c>
      <c r="C65" s="357"/>
      <c r="D65" s="358"/>
      <c r="E65" s="358"/>
      <c r="F65" s="358"/>
      <c r="G65" s="358"/>
      <c r="H65" s="358"/>
      <c r="I65" s="358"/>
      <c r="J65" s="358"/>
      <c r="K65" s="358"/>
      <c r="L65" s="358"/>
      <c r="M65" s="358"/>
      <c r="N65" s="358"/>
      <c r="O65" s="358"/>
      <c r="P65" s="358"/>
      <c r="Q65" s="358"/>
      <c r="R65" s="358"/>
      <c r="S65" s="358"/>
      <c r="T65" s="358"/>
      <c r="U65" s="272">
        <f t="shared" si="0"/>
        <v>0</v>
      </c>
    </row>
    <row r="66" spans="1:21" hidden="1" x14ac:dyDescent="0.3">
      <c r="A66" s="356">
        <v>71</v>
      </c>
      <c r="B66" s="356" t="s">
        <v>274</v>
      </c>
      <c r="C66" s="357"/>
      <c r="D66" s="358"/>
      <c r="E66" s="358"/>
      <c r="F66" s="358"/>
      <c r="G66" s="358"/>
      <c r="H66" s="358"/>
      <c r="I66" s="358"/>
      <c r="J66" s="358"/>
      <c r="K66" s="358"/>
      <c r="L66" s="358"/>
      <c r="M66" s="358"/>
      <c r="N66" s="358"/>
      <c r="O66" s="358"/>
      <c r="P66" s="358"/>
      <c r="Q66" s="358"/>
      <c r="R66" s="358"/>
      <c r="S66" s="358"/>
      <c r="T66" s="358"/>
      <c r="U66" s="272">
        <f t="shared" si="0"/>
        <v>0</v>
      </c>
    </row>
    <row r="67" spans="1:21" hidden="1" x14ac:dyDescent="0.3">
      <c r="A67" s="356">
        <v>73</v>
      </c>
      <c r="B67" s="356" t="s">
        <v>277</v>
      </c>
      <c r="C67" s="357"/>
      <c r="D67" s="358"/>
      <c r="E67" s="358"/>
      <c r="F67" s="358"/>
      <c r="G67" s="358"/>
      <c r="H67" s="358"/>
      <c r="I67" s="358"/>
      <c r="J67" s="358"/>
      <c r="K67" s="358"/>
      <c r="L67" s="358"/>
      <c r="M67" s="358"/>
      <c r="N67" s="358"/>
      <c r="O67" s="358"/>
      <c r="P67" s="358"/>
      <c r="Q67" s="358"/>
      <c r="R67" s="358"/>
      <c r="S67" s="358"/>
      <c r="T67" s="358"/>
      <c r="U67" s="272">
        <f t="shared" si="0"/>
        <v>0</v>
      </c>
    </row>
    <row r="68" spans="1:21" hidden="1" x14ac:dyDescent="0.3">
      <c r="A68" s="356">
        <v>74</v>
      </c>
      <c r="B68" s="356" t="s">
        <v>279</v>
      </c>
      <c r="C68" s="357"/>
      <c r="D68" s="358"/>
      <c r="E68" s="358"/>
      <c r="F68" s="358"/>
      <c r="G68" s="358"/>
      <c r="H68" s="358"/>
      <c r="I68" s="358"/>
      <c r="J68" s="358"/>
      <c r="K68" s="358"/>
      <c r="L68" s="358"/>
      <c r="M68" s="358"/>
      <c r="N68" s="358"/>
      <c r="O68" s="358"/>
      <c r="P68" s="358"/>
      <c r="Q68" s="358"/>
      <c r="R68" s="358"/>
      <c r="S68" s="358"/>
      <c r="T68" s="358"/>
      <c r="U68" s="272">
        <f t="shared" si="0"/>
        <v>0</v>
      </c>
    </row>
    <row r="69" spans="1:21" hidden="1" x14ac:dyDescent="0.3">
      <c r="A69" s="356">
        <v>75</v>
      </c>
      <c r="B69" s="356" t="s">
        <v>280</v>
      </c>
      <c r="C69" s="357"/>
      <c r="D69" s="358"/>
      <c r="E69" s="358"/>
      <c r="F69" s="358"/>
      <c r="G69" s="358"/>
      <c r="H69" s="358"/>
      <c r="I69" s="358"/>
      <c r="J69" s="358"/>
      <c r="K69" s="358"/>
      <c r="L69" s="358"/>
      <c r="M69" s="358"/>
      <c r="N69" s="358"/>
      <c r="O69" s="358"/>
      <c r="P69" s="358"/>
      <c r="Q69" s="358"/>
      <c r="R69" s="358"/>
      <c r="S69" s="358"/>
      <c r="T69" s="358"/>
      <c r="U69" s="272">
        <f t="shared" si="0"/>
        <v>0</v>
      </c>
    </row>
    <row r="70" spans="1:21" hidden="1" x14ac:dyDescent="0.3">
      <c r="A70" s="356">
        <v>76</v>
      </c>
      <c r="B70" s="356" t="s">
        <v>281</v>
      </c>
      <c r="C70" s="357"/>
      <c r="D70" s="358"/>
      <c r="E70" s="358"/>
      <c r="F70" s="358"/>
      <c r="G70" s="358"/>
      <c r="H70" s="358"/>
      <c r="I70" s="358"/>
      <c r="J70" s="358"/>
      <c r="K70" s="358"/>
      <c r="L70" s="358"/>
      <c r="M70" s="358"/>
      <c r="N70" s="358"/>
      <c r="O70" s="358"/>
      <c r="P70" s="358"/>
      <c r="Q70" s="358"/>
      <c r="R70" s="358"/>
      <c r="S70" s="358"/>
      <c r="T70" s="358"/>
      <c r="U70" s="272">
        <f t="shared" si="0"/>
        <v>0</v>
      </c>
    </row>
    <row r="71" spans="1:21" hidden="1" x14ac:dyDescent="0.3">
      <c r="A71" s="356">
        <v>77</v>
      </c>
      <c r="B71" s="356" t="s">
        <v>282</v>
      </c>
      <c r="C71" s="357"/>
      <c r="D71" s="358"/>
      <c r="E71" s="358"/>
      <c r="F71" s="358"/>
      <c r="G71" s="358"/>
      <c r="H71" s="358"/>
      <c r="I71" s="358"/>
      <c r="J71" s="358"/>
      <c r="K71" s="358"/>
      <c r="L71" s="358"/>
      <c r="M71" s="358"/>
      <c r="N71" s="358"/>
      <c r="O71" s="358"/>
      <c r="P71" s="358"/>
      <c r="Q71" s="358"/>
      <c r="R71" s="358"/>
      <c r="S71" s="358"/>
      <c r="T71" s="358"/>
      <c r="U71" s="272">
        <f t="shared" si="0"/>
        <v>0</v>
      </c>
    </row>
    <row r="72" spans="1:21" hidden="1" x14ac:dyDescent="0.3">
      <c r="A72" s="356">
        <v>78</v>
      </c>
      <c r="B72" s="356" t="s">
        <v>283</v>
      </c>
      <c r="C72" s="357"/>
      <c r="D72" s="358">
        <v>4273000</v>
      </c>
      <c r="E72" s="358"/>
      <c r="F72" s="358"/>
      <c r="G72" s="358"/>
      <c r="H72" s="358"/>
      <c r="I72" s="358"/>
      <c r="J72" s="358"/>
      <c r="K72" s="358"/>
      <c r="L72" s="358"/>
      <c r="M72" s="358"/>
      <c r="N72" s="358"/>
      <c r="O72" s="358"/>
      <c r="P72" s="358"/>
      <c r="Q72" s="358"/>
      <c r="R72" s="358"/>
      <c r="S72" s="358"/>
      <c r="T72" s="358"/>
      <c r="U72" s="272">
        <f t="shared" ref="U72:U135" si="1">SUM(C72:T72)</f>
        <v>4273000</v>
      </c>
    </row>
    <row r="73" spans="1:21" hidden="1" x14ac:dyDescent="0.3">
      <c r="A73" s="356">
        <v>79</v>
      </c>
      <c r="B73" s="356" t="s">
        <v>284</v>
      </c>
      <c r="C73" s="357"/>
      <c r="D73" s="358"/>
      <c r="E73" s="358"/>
      <c r="F73" s="358"/>
      <c r="G73" s="358"/>
      <c r="H73" s="358"/>
      <c r="I73" s="358"/>
      <c r="J73" s="358"/>
      <c r="K73" s="358"/>
      <c r="L73" s="358"/>
      <c r="M73" s="358"/>
      <c r="N73" s="358"/>
      <c r="O73" s="358"/>
      <c r="P73" s="358"/>
      <c r="Q73" s="358"/>
      <c r="R73" s="358"/>
      <c r="S73" s="358"/>
      <c r="T73" s="358"/>
      <c r="U73" s="272">
        <f t="shared" si="1"/>
        <v>0</v>
      </c>
    </row>
    <row r="74" spans="1:21" hidden="1" x14ac:dyDescent="0.3">
      <c r="A74" s="356">
        <v>80</v>
      </c>
      <c r="B74" s="356" t="s">
        <v>285</v>
      </c>
      <c r="C74" s="357"/>
      <c r="D74" s="358"/>
      <c r="E74" s="358"/>
      <c r="F74" s="358"/>
      <c r="G74" s="358"/>
      <c r="H74" s="358"/>
      <c r="I74" s="358"/>
      <c r="J74" s="358"/>
      <c r="K74" s="358"/>
      <c r="L74" s="358"/>
      <c r="M74" s="358"/>
      <c r="N74" s="358"/>
      <c r="O74" s="358"/>
      <c r="P74" s="358"/>
      <c r="Q74" s="358"/>
      <c r="R74" s="358"/>
      <c r="S74" s="358"/>
      <c r="T74" s="358"/>
      <c r="U74" s="272">
        <f t="shared" si="1"/>
        <v>0</v>
      </c>
    </row>
    <row r="75" spans="1:21" hidden="1" x14ac:dyDescent="0.3">
      <c r="A75" s="356">
        <v>81</v>
      </c>
      <c r="B75" s="356" t="s">
        <v>286</v>
      </c>
      <c r="C75" s="357">
        <v>108000</v>
      </c>
      <c r="D75" s="358"/>
      <c r="E75" s="358"/>
      <c r="F75" s="358"/>
      <c r="G75" s="358"/>
      <c r="H75" s="358"/>
      <c r="I75" s="358"/>
      <c r="J75" s="358"/>
      <c r="K75" s="358"/>
      <c r="L75" s="358"/>
      <c r="M75" s="358"/>
      <c r="N75" s="358"/>
      <c r="O75" s="358"/>
      <c r="P75" s="358"/>
      <c r="Q75" s="358"/>
      <c r="R75" s="358"/>
      <c r="S75" s="358"/>
      <c r="T75" s="358"/>
      <c r="U75" s="272">
        <f t="shared" si="1"/>
        <v>108000</v>
      </c>
    </row>
    <row r="76" spans="1:21" hidden="1" x14ac:dyDescent="0.3">
      <c r="A76" s="356">
        <v>84</v>
      </c>
      <c r="B76" s="356" t="s">
        <v>291</v>
      </c>
      <c r="C76" s="357"/>
      <c r="D76" s="358"/>
      <c r="E76" s="358"/>
      <c r="F76" s="358"/>
      <c r="G76" s="358"/>
      <c r="H76" s="358"/>
      <c r="I76" s="358"/>
      <c r="J76" s="358"/>
      <c r="K76" s="358"/>
      <c r="L76" s="358"/>
      <c r="M76" s="358"/>
      <c r="N76" s="358"/>
      <c r="O76" s="358"/>
      <c r="P76" s="358"/>
      <c r="Q76" s="358"/>
      <c r="R76" s="358"/>
      <c r="S76" s="358"/>
      <c r="T76" s="358"/>
      <c r="U76" s="272">
        <f t="shared" si="1"/>
        <v>0</v>
      </c>
    </row>
    <row r="77" spans="1:21" hidden="1" x14ac:dyDescent="0.3">
      <c r="A77" s="356">
        <v>85</v>
      </c>
      <c r="B77" s="356" t="s">
        <v>293</v>
      </c>
      <c r="C77" s="357">
        <v>94976</v>
      </c>
      <c r="D77" s="358"/>
      <c r="E77" s="358"/>
      <c r="F77" s="358"/>
      <c r="G77" s="358"/>
      <c r="H77" s="358"/>
      <c r="I77" s="358"/>
      <c r="J77" s="358"/>
      <c r="K77" s="358"/>
      <c r="L77" s="358"/>
      <c r="M77" s="358"/>
      <c r="N77" s="358"/>
      <c r="O77" s="358"/>
      <c r="P77" s="358"/>
      <c r="Q77" s="358"/>
      <c r="R77" s="358"/>
      <c r="S77" s="358"/>
      <c r="T77" s="358"/>
      <c r="U77" s="272">
        <f t="shared" si="1"/>
        <v>94976</v>
      </c>
    </row>
    <row r="78" spans="1:21" hidden="1" x14ac:dyDescent="0.3">
      <c r="A78" s="356">
        <v>86</v>
      </c>
      <c r="B78" s="356" t="s">
        <v>294</v>
      </c>
      <c r="C78" s="357"/>
      <c r="D78" s="358"/>
      <c r="E78" s="358"/>
      <c r="F78" s="358"/>
      <c r="G78" s="358"/>
      <c r="H78" s="358"/>
      <c r="I78" s="358"/>
      <c r="J78" s="358"/>
      <c r="K78" s="358"/>
      <c r="L78" s="358"/>
      <c r="M78" s="358"/>
      <c r="N78" s="358"/>
      <c r="O78" s="358"/>
      <c r="P78" s="358"/>
      <c r="Q78" s="358"/>
      <c r="R78" s="358"/>
      <c r="S78" s="358"/>
      <c r="T78" s="358"/>
      <c r="U78" s="272">
        <f t="shared" si="1"/>
        <v>0</v>
      </c>
    </row>
    <row r="79" spans="1:21" hidden="1" x14ac:dyDescent="0.3">
      <c r="A79" s="356">
        <v>87</v>
      </c>
      <c r="B79" s="356" t="s">
        <v>295</v>
      </c>
      <c r="C79" s="357"/>
      <c r="D79" s="358"/>
      <c r="E79" s="358"/>
      <c r="F79" s="358"/>
      <c r="G79" s="358"/>
      <c r="H79" s="358"/>
      <c r="I79" s="358"/>
      <c r="J79" s="358"/>
      <c r="K79" s="358"/>
      <c r="L79" s="358"/>
      <c r="M79" s="358"/>
      <c r="N79" s="358"/>
      <c r="O79" s="358"/>
      <c r="P79" s="358"/>
      <c r="Q79" s="358"/>
      <c r="R79" s="358"/>
      <c r="S79" s="358"/>
      <c r="T79" s="358"/>
      <c r="U79" s="272">
        <f t="shared" si="1"/>
        <v>0</v>
      </c>
    </row>
    <row r="80" spans="1:21" hidden="1" x14ac:dyDescent="0.3">
      <c r="A80" s="356">
        <v>88</v>
      </c>
      <c r="B80" s="356" t="s">
        <v>296</v>
      </c>
      <c r="C80" s="357"/>
      <c r="D80" s="358"/>
      <c r="E80" s="358"/>
      <c r="F80" s="358"/>
      <c r="G80" s="358"/>
      <c r="H80" s="358"/>
      <c r="I80" s="358"/>
      <c r="J80" s="358"/>
      <c r="K80" s="358"/>
      <c r="L80" s="358"/>
      <c r="M80" s="358"/>
      <c r="N80" s="358"/>
      <c r="O80" s="358"/>
      <c r="P80" s="358"/>
      <c r="Q80" s="358"/>
      <c r="R80" s="358"/>
      <c r="S80" s="358"/>
      <c r="T80" s="358"/>
      <c r="U80" s="272">
        <f t="shared" si="1"/>
        <v>0</v>
      </c>
    </row>
    <row r="81" spans="1:21" hidden="1" x14ac:dyDescent="0.3">
      <c r="A81" s="356">
        <v>90</v>
      </c>
      <c r="B81" s="356" t="s">
        <v>299</v>
      </c>
      <c r="C81" s="357"/>
      <c r="D81" s="358"/>
      <c r="E81" s="358"/>
      <c r="F81" s="358"/>
      <c r="G81" s="358"/>
      <c r="H81" s="358"/>
      <c r="I81" s="358"/>
      <c r="J81" s="358"/>
      <c r="K81" s="358"/>
      <c r="L81" s="358"/>
      <c r="M81" s="358"/>
      <c r="N81" s="358"/>
      <c r="O81" s="358"/>
      <c r="P81" s="358"/>
      <c r="Q81" s="358"/>
      <c r="R81" s="358"/>
      <c r="S81" s="358"/>
      <c r="T81" s="358"/>
      <c r="U81" s="272">
        <f t="shared" si="1"/>
        <v>0</v>
      </c>
    </row>
    <row r="82" spans="1:21" hidden="1" x14ac:dyDescent="0.3">
      <c r="A82" s="356">
        <v>91</v>
      </c>
      <c r="B82" s="356" t="s">
        <v>301</v>
      </c>
      <c r="C82" s="357"/>
      <c r="D82" s="358"/>
      <c r="E82" s="358"/>
      <c r="F82" s="358"/>
      <c r="G82" s="358"/>
      <c r="H82" s="358"/>
      <c r="I82" s="358"/>
      <c r="J82" s="358"/>
      <c r="K82" s="358"/>
      <c r="L82" s="358"/>
      <c r="M82" s="358"/>
      <c r="N82" s="358"/>
      <c r="O82" s="358"/>
      <c r="P82" s="358"/>
      <c r="Q82" s="358"/>
      <c r="R82" s="358"/>
      <c r="S82" s="358"/>
      <c r="T82" s="358"/>
      <c r="U82" s="272">
        <f t="shared" si="1"/>
        <v>0</v>
      </c>
    </row>
    <row r="83" spans="1:21" hidden="1" x14ac:dyDescent="0.3">
      <c r="A83" s="356">
        <v>92</v>
      </c>
      <c r="B83" s="356" t="s">
        <v>302</v>
      </c>
      <c r="C83" s="357"/>
      <c r="D83" s="358"/>
      <c r="E83" s="358"/>
      <c r="F83" s="358"/>
      <c r="G83" s="358"/>
      <c r="H83" s="358"/>
      <c r="I83" s="358"/>
      <c r="J83" s="358"/>
      <c r="K83" s="358"/>
      <c r="L83" s="358"/>
      <c r="M83" s="358"/>
      <c r="N83" s="358"/>
      <c r="O83" s="358"/>
      <c r="P83" s="358"/>
      <c r="Q83" s="358"/>
      <c r="R83" s="358"/>
      <c r="S83" s="358"/>
      <c r="T83" s="358"/>
      <c r="U83" s="272">
        <f t="shared" si="1"/>
        <v>0</v>
      </c>
    </row>
    <row r="84" spans="1:21" hidden="1" x14ac:dyDescent="0.3">
      <c r="A84" s="356">
        <v>93</v>
      </c>
      <c r="B84" s="356" t="s">
        <v>304</v>
      </c>
      <c r="C84" s="357"/>
      <c r="D84" s="358"/>
      <c r="E84" s="358"/>
      <c r="F84" s="358"/>
      <c r="G84" s="358"/>
      <c r="H84" s="358"/>
      <c r="I84" s="358"/>
      <c r="J84" s="358"/>
      <c r="K84" s="358"/>
      <c r="L84" s="358"/>
      <c r="M84" s="358"/>
      <c r="N84" s="358"/>
      <c r="O84" s="358"/>
      <c r="P84" s="358"/>
      <c r="Q84" s="358"/>
      <c r="R84" s="358"/>
      <c r="S84" s="358"/>
      <c r="T84" s="358"/>
      <c r="U84" s="272">
        <f t="shared" si="1"/>
        <v>0</v>
      </c>
    </row>
    <row r="85" spans="1:21" hidden="1" x14ac:dyDescent="0.3">
      <c r="A85" s="356">
        <v>96</v>
      </c>
      <c r="B85" s="356" t="s">
        <v>309</v>
      </c>
      <c r="C85" s="357"/>
      <c r="D85" s="358"/>
      <c r="E85" s="358"/>
      <c r="F85" s="358"/>
      <c r="G85" s="358"/>
      <c r="H85" s="358"/>
      <c r="I85" s="358"/>
      <c r="J85" s="358"/>
      <c r="K85" s="358"/>
      <c r="L85" s="358"/>
      <c r="M85" s="358"/>
      <c r="N85" s="358"/>
      <c r="O85" s="358"/>
      <c r="P85" s="358"/>
      <c r="Q85" s="358"/>
      <c r="R85" s="358"/>
      <c r="S85" s="358"/>
      <c r="T85" s="358"/>
      <c r="U85" s="272">
        <f t="shared" si="1"/>
        <v>0</v>
      </c>
    </row>
    <row r="86" spans="1:21" hidden="1" x14ac:dyDescent="0.3">
      <c r="A86" s="356">
        <v>97</v>
      </c>
      <c r="B86" s="356" t="s">
        <v>311</v>
      </c>
      <c r="C86" s="357"/>
      <c r="D86" s="358"/>
      <c r="E86" s="358"/>
      <c r="F86" s="358"/>
      <c r="G86" s="358"/>
      <c r="H86" s="358"/>
      <c r="I86" s="358"/>
      <c r="J86" s="358"/>
      <c r="K86" s="358"/>
      <c r="L86" s="358"/>
      <c r="M86" s="358"/>
      <c r="N86" s="358"/>
      <c r="O86" s="358"/>
      <c r="P86" s="358"/>
      <c r="Q86" s="358"/>
      <c r="R86" s="358"/>
      <c r="S86" s="358"/>
      <c r="T86" s="358"/>
      <c r="U86" s="272">
        <f t="shared" si="1"/>
        <v>0</v>
      </c>
    </row>
    <row r="87" spans="1:21" hidden="1" x14ac:dyDescent="0.3">
      <c r="A87" s="356">
        <v>98</v>
      </c>
      <c r="B87" s="356" t="s">
        <v>312</v>
      </c>
      <c r="C87" s="357"/>
      <c r="D87" s="358"/>
      <c r="E87" s="358"/>
      <c r="F87" s="358"/>
      <c r="G87" s="358"/>
      <c r="H87" s="358"/>
      <c r="I87" s="358"/>
      <c r="J87" s="358"/>
      <c r="K87" s="358"/>
      <c r="L87" s="358"/>
      <c r="M87" s="358"/>
      <c r="N87" s="358"/>
      <c r="O87" s="358"/>
      <c r="P87" s="358"/>
      <c r="Q87" s="358"/>
      <c r="R87" s="358"/>
      <c r="S87" s="358"/>
      <c r="T87" s="358"/>
      <c r="U87" s="272">
        <f t="shared" si="1"/>
        <v>0</v>
      </c>
    </row>
    <row r="88" spans="1:21" hidden="1" x14ac:dyDescent="0.3">
      <c r="A88" s="356">
        <v>99</v>
      </c>
      <c r="B88" s="356" t="s">
        <v>313</v>
      </c>
      <c r="C88" s="357"/>
      <c r="D88" s="358"/>
      <c r="E88" s="358"/>
      <c r="F88" s="358"/>
      <c r="G88" s="358"/>
      <c r="H88" s="358"/>
      <c r="I88" s="358"/>
      <c r="J88" s="358"/>
      <c r="K88" s="358"/>
      <c r="L88" s="358"/>
      <c r="M88" s="358"/>
      <c r="N88" s="358"/>
      <c r="O88" s="358"/>
      <c r="P88" s="358"/>
      <c r="Q88" s="358"/>
      <c r="R88" s="358"/>
      <c r="S88" s="358"/>
      <c r="T88" s="358"/>
      <c r="U88" s="272">
        <f t="shared" si="1"/>
        <v>0</v>
      </c>
    </row>
    <row r="89" spans="1:21" hidden="1" x14ac:dyDescent="0.3">
      <c r="A89" s="356">
        <v>100</v>
      </c>
      <c r="B89" s="356" t="s">
        <v>314</v>
      </c>
      <c r="C89" s="357"/>
      <c r="D89" s="358"/>
      <c r="E89" s="358"/>
      <c r="F89" s="358"/>
      <c r="G89" s="358"/>
      <c r="H89" s="358"/>
      <c r="I89" s="358"/>
      <c r="J89" s="358"/>
      <c r="K89" s="358"/>
      <c r="L89" s="358"/>
      <c r="M89" s="358"/>
      <c r="N89" s="358"/>
      <c r="O89" s="358"/>
      <c r="P89" s="358"/>
      <c r="Q89" s="358"/>
      <c r="R89" s="358"/>
      <c r="S89" s="358"/>
      <c r="T89" s="358"/>
      <c r="U89" s="272">
        <f t="shared" si="1"/>
        <v>0</v>
      </c>
    </row>
    <row r="90" spans="1:21" hidden="1" x14ac:dyDescent="0.3">
      <c r="A90" s="356">
        <v>102</v>
      </c>
      <c r="B90" s="356" t="s">
        <v>317</v>
      </c>
      <c r="C90" s="357"/>
      <c r="D90" s="358"/>
      <c r="E90" s="358"/>
      <c r="F90" s="358"/>
      <c r="G90" s="358"/>
      <c r="H90" s="358"/>
      <c r="I90" s="358"/>
      <c r="J90" s="358"/>
      <c r="K90" s="358"/>
      <c r="L90" s="358"/>
      <c r="M90" s="358"/>
      <c r="N90" s="358"/>
      <c r="O90" s="358"/>
      <c r="P90" s="358"/>
      <c r="Q90" s="358"/>
      <c r="R90" s="358"/>
      <c r="S90" s="358"/>
      <c r="T90" s="358"/>
      <c r="U90" s="272">
        <f t="shared" si="1"/>
        <v>0</v>
      </c>
    </row>
    <row r="91" spans="1:21" hidden="1" x14ac:dyDescent="0.3">
      <c r="A91" s="356">
        <v>104</v>
      </c>
      <c r="B91" s="356" t="s">
        <v>320</v>
      </c>
      <c r="C91" s="357"/>
      <c r="D91" s="358"/>
      <c r="E91" s="358"/>
      <c r="F91" s="358"/>
      <c r="G91" s="358"/>
      <c r="H91" s="358"/>
      <c r="I91" s="358"/>
      <c r="J91" s="358"/>
      <c r="K91" s="358"/>
      <c r="L91" s="358"/>
      <c r="M91" s="358"/>
      <c r="N91" s="358"/>
      <c r="O91" s="358"/>
      <c r="P91" s="358"/>
      <c r="Q91" s="358"/>
      <c r="R91" s="358"/>
      <c r="S91" s="358"/>
      <c r="T91" s="358"/>
      <c r="U91" s="272">
        <f t="shared" si="1"/>
        <v>0</v>
      </c>
    </row>
    <row r="92" spans="1:21" hidden="1" x14ac:dyDescent="0.3">
      <c r="A92" s="356">
        <v>105</v>
      </c>
      <c r="B92" s="356" t="s">
        <v>322</v>
      </c>
      <c r="C92" s="357"/>
      <c r="D92" s="358"/>
      <c r="E92" s="358"/>
      <c r="F92" s="358"/>
      <c r="G92" s="358"/>
      <c r="H92" s="358"/>
      <c r="I92" s="358"/>
      <c r="J92" s="358"/>
      <c r="K92" s="358"/>
      <c r="L92" s="358"/>
      <c r="M92" s="358"/>
      <c r="N92" s="358"/>
      <c r="O92" s="358"/>
      <c r="P92" s="358"/>
      <c r="Q92" s="358"/>
      <c r="R92" s="358"/>
      <c r="S92" s="358"/>
      <c r="T92" s="358"/>
      <c r="U92" s="272">
        <f t="shared" si="1"/>
        <v>0</v>
      </c>
    </row>
    <row r="93" spans="1:21" hidden="1" x14ac:dyDescent="0.3">
      <c r="A93" s="356">
        <v>106</v>
      </c>
      <c r="B93" s="356" t="s">
        <v>324</v>
      </c>
      <c r="C93" s="357"/>
      <c r="D93" s="358"/>
      <c r="E93" s="358"/>
      <c r="F93" s="358"/>
      <c r="G93" s="358"/>
      <c r="H93" s="358"/>
      <c r="I93" s="358"/>
      <c r="J93" s="358"/>
      <c r="K93" s="358"/>
      <c r="L93" s="358"/>
      <c r="M93" s="358"/>
      <c r="N93" s="358"/>
      <c r="O93" s="358"/>
      <c r="P93" s="358"/>
      <c r="Q93" s="358"/>
      <c r="R93" s="358"/>
      <c r="S93" s="358"/>
      <c r="T93" s="358"/>
      <c r="U93" s="272">
        <f t="shared" si="1"/>
        <v>0</v>
      </c>
    </row>
    <row r="94" spans="1:21" hidden="1" x14ac:dyDescent="0.3">
      <c r="A94" s="356">
        <v>108</v>
      </c>
      <c r="B94" s="356" t="s">
        <v>327</v>
      </c>
      <c r="C94" s="357"/>
      <c r="D94" s="358"/>
      <c r="E94" s="358"/>
      <c r="F94" s="358"/>
      <c r="G94" s="358"/>
      <c r="H94" s="358"/>
      <c r="I94" s="358"/>
      <c r="J94" s="358"/>
      <c r="K94" s="358"/>
      <c r="L94" s="358"/>
      <c r="M94" s="358"/>
      <c r="N94" s="358"/>
      <c r="O94" s="358"/>
      <c r="P94" s="358"/>
      <c r="Q94" s="358"/>
      <c r="R94" s="358"/>
      <c r="S94" s="358"/>
      <c r="T94" s="358"/>
      <c r="U94" s="272">
        <f t="shared" si="1"/>
        <v>0</v>
      </c>
    </row>
    <row r="95" spans="1:21" hidden="1" x14ac:dyDescent="0.3">
      <c r="A95" s="356">
        <v>109</v>
      </c>
      <c r="B95" s="356" t="s">
        <v>329</v>
      </c>
      <c r="C95" s="357"/>
      <c r="D95" s="358"/>
      <c r="E95" s="358"/>
      <c r="F95" s="358"/>
      <c r="G95" s="358"/>
      <c r="H95" s="358"/>
      <c r="I95" s="358"/>
      <c r="J95" s="358"/>
      <c r="K95" s="358"/>
      <c r="L95" s="358"/>
      <c r="M95" s="358"/>
      <c r="N95" s="358"/>
      <c r="O95" s="358"/>
      <c r="P95" s="358"/>
      <c r="Q95" s="358"/>
      <c r="R95" s="358"/>
      <c r="S95" s="358"/>
      <c r="T95" s="358"/>
      <c r="U95" s="272">
        <f t="shared" si="1"/>
        <v>0</v>
      </c>
    </row>
    <row r="96" spans="1:21" hidden="1" x14ac:dyDescent="0.3">
      <c r="A96" s="356">
        <v>110</v>
      </c>
      <c r="B96" s="356" t="s">
        <v>330</v>
      </c>
      <c r="C96" s="357"/>
      <c r="D96" s="358"/>
      <c r="E96" s="358"/>
      <c r="F96" s="358"/>
      <c r="G96" s="358"/>
      <c r="H96" s="358"/>
      <c r="I96" s="358"/>
      <c r="J96" s="358"/>
      <c r="K96" s="358"/>
      <c r="L96" s="358"/>
      <c r="M96" s="358"/>
      <c r="N96" s="358"/>
      <c r="O96" s="358"/>
      <c r="P96" s="358"/>
      <c r="Q96" s="358"/>
      <c r="R96" s="358"/>
      <c r="S96" s="358"/>
      <c r="T96" s="358"/>
      <c r="U96" s="272">
        <f t="shared" si="1"/>
        <v>0</v>
      </c>
    </row>
    <row r="97" spans="1:21" hidden="1" x14ac:dyDescent="0.3">
      <c r="A97" s="356">
        <v>112</v>
      </c>
      <c r="B97" s="356" t="s">
        <v>333</v>
      </c>
      <c r="C97" s="357"/>
      <c r="D97" s="358"/>
      <c r="E97" s="358"/>
      <c r="F97" s="358"/>
      <c r="G97" s="358"/>
      <c r="H97" s="358"/>
      <c r="I97" s="358"/>
      <c r="J97" s="358"/>
      <c r="K97" s="358"/>
      <c r="L97" s="358"/>
      <c r="M97" s="358"/>
      <c r="N97" s="358"/>
      <c r="O97" s="358"/>
      <c r="P97" s="358"/>
      <c r="Q97" s="358"/>
      <c r="R97" s="358"/>
      <c r="S97" s="358"/>
      <c r="T97" s="358"/>
      <c r="U97" s="272">
        <f t="shared" si="1"/>
        <v>0</v>
      </c>
    </row>
    <row r="98" spans="1:21" hidden="1" x14ac:dyDescent="0.3">
      <c r="A98" s="356">
        <v>113</v>
      </c>
      <c r="B98" s="356" t="s">
        <v>335</v>
      </c>
      <c r="C98" s="357"/>
      <c r="D98" s="358"/>
      <c r="E98" s="358"/>
      <c r="F98" s="358"/>
      <c r="G98" s="358"/>
      <c r="H98" s="358"/>
      <c r="I98" s="358"/>
      <c r="J98" s="358"/>
      <c r="K98" s="358"/>
      <c r="L98" s="358"/>
      <c r="M98" s="358"/>
      <c r="N98" s="358"/>
      <c r="O98" s="358"/>
      <c r="P98" s="358"/>
      <c r="Q98" s="358"/>
      <c r="R98" s="358"/>
      <c r="S98" s="358"/>
      <c r="T98" s="358"/>
      <c r="U98" s="272">
        <f t="shared" si="1"/>
        <v>0</v>
      </c>
    </row>
    <row r="99" spans="1:21" hidden="1" x14ac:dyDescent="0.3">
      <c r="A99" s="356">
        <v>115</v>
      </c>
      <c r="B99" s="356" t="s">
        <v>339</v>
      </c>
      <c r="C99" s="357"/>
      <c r="D99" s="358"/>
      <c r="E99" s="358"/>
      <c r="F99" s="358"/>
      <c r="G99" s="358"/>
      <c r="H99" s="358"/>
      <c r="I99" s="358"/>
      <c r="J99" s="358"/>
      <c r="K99" s="358"/>
      <c r="L99" s="358"/>
      <c r="M99" s="358"/>
      <c r="N99" s="358"/>
      <c r="O99" s="358"/>
      <c r="P99" s="358"/>
      <c r="Q99" s="358"/>
      <c r="R99" s="358"/>
      <c r="S99" s="358"/>
      <c r="T99" s="358"/>
      <c r="U99" s="272">
        <f t="shared" si="1"/>
        <v>0</v>
      </c>
    </row>
    <row r="100" spans="1:21" hidden="1" x14ac:dyDescent="0.3">
      <c r="A100" s="356">
        <v>116</v>
      </c>
      <c r="B100" s="356" t="s">
        <v>341</v>
      </c>
      <c r="C100" s="357"/>
      <c r="D100" s="358"/>
      <c r="E100" s="358"/>
      <c r="F100" s="358"/>
      <c r="G100" s="358"/>
      <c r="H100" s="358"/>
      <c r="I100" s="358"/>
      <c r="J100" s="358"/>
      <c r="K100" s="358"/>
      <c r="L100" s="358"/>
      <c r="M100" s="358"/>
      <c r="N100" s="358"/>
      <c r="O100" s="358"/>
      <c r="P100" s="358"/>
      <c r="Q100" s="358"/>
      <c r="R100" s="358"/>
      <c r="S100" s="358"/>
      <c r="T100" s="358"/>
      <c r="U100" s="272">
        <f t="shared" si="1"/>
        <v>0</v>
      </c>
    </row>
    <row r="101" spans="1:21" hidden="1" x14ac:dyDescent="0.3">
      <c r="A101" s="356">
        <v>117</v>
      </c>
      <c r="B101" s="356" t="s">
        <v>342</v>
      </c>
      <c r="C101" s="357"/>
      <c r="D101" s="358"/>
      <c r="E101" s="358"/>
      <c r="F101" s="358"/>
      <c r="G101" s="358"/>
      <c r="H101" s="358"/>
      <c r="I101" s="358"/>
      <c r="J101" s="358"/>
      <c r="K101" s="358"/>
      <c r="L101" s="358"/>
      <c r="M101" s="358"/>
      <c r="N101" s="358"/>
      <c r="O101" s="358"/>
      <c r="P101" s="358"/>
      <c r="Q101" s="358"/>
      <c r="R101" s="358"/>
      <c r="S101" s="358"/>
      <c r="T101" s="358"/>
      <c r="U101" s="272">
        <f t="shared" si="1"/>
        <v>0</v>
      </c>
    </row>
    <row r="102" spans="1:21" hidden="1" x14ac:dyDescent="0.3">
      <c r="A102" s="356">
        <v>118</v>
      </c>
      <c r="B102" s="356" t="s">
        <v>343</v>
      </c>
      <c r="C102" s="357"/>
      <c r="D102" s="358"/>
      <c r="E102" s="358"/>
      <c r="F102" s="358"/>
      <c r="G102" s="358"/>
      <c r="H102" s="358"/>
      <c r="I102" s="358"/>
      <c r="J102" s="358"/>
      <c r="K102" s="358"/>
      <c r="L102" s="358"/>
      <c r="M102" s="358"/>
      <c r="N102" s="358"/>
      <c r="O102" s="358"/>
      <c r="P102" s="358"/>
      <c r="Q102" s="358"/>
      <c r="R102" s="358"/>
      <c r="S102" s="358"/>
      <c r="T102" s="358"/>
      <c r="U102" s="272">
        <f t="shared" si="1"/>
        <v>0</v>
      </c>
    </row>
    <row r="103" spans="1:21" hidden="1" x14ac:dyDescent="0.3">
      <c r="A103" s="356">
        <v>119</v>
      </c>
      <c r="B103" s="356" t="s">
        <v>344</v>
      </c>
      <c r="C103" s="357"/>
      <c r="D103" s="358"/>
      <c r="E103" s="358"/>
      <c r="F103" s="358"/>
      <c r="G103" s="358"/>
      <c r="H103" s="358"/>
      <c r="I103" s="358"/>
      <c r="J103" s="358"/>
      <c r="K103" s="358"/>
      <c r="L103" s="358"/>
      <c r="M103" s="358"/>
      <c r="N103" s="358"/>
      <c r="O103" s="358"/>
      <c r="P103" s="358"/>
      <c r="Q103" s="358"/>
      <c r="R103" s="358"/>
      <c r="S103" s="358"/>
      <c r="T103" s="358"/>
      <c r="U103" s="272">
        <f t="shared" si="1"/>
        <v>0</v>
      </c>
    </row>
    <row r="104" spans="1:21" hidden="1" x14ac:dyDescent="0.3">
      <c r="A104" s="356">
        <v>120</v>
      </c>
      <c r="B104" s="356" t="s">
        <v>345</v>
      </c>
      <c r="C104" s="357"/>
      <c r="D104" s="358"/>
      <c r="E104" s="358"/>
      <c r="F104" s="358"/>
      <c r="G104" s="358"/>
      <c r="H104" s="358"/>
      <c r="I104" s="358"/>
      <c r="J104" s="358"/>
      <c r="K104" s="358"/>
      <c r="L104" s="358"/>
      <c r="M104" s="358"/>
      <c r="N104" s="358"/>
      <c r="O104" s="358"/>
      <c r="P104" s="358"/>
      <c r="Q104" s="358"/>
      <c r="R104" s="358"/>
      <c r="S104" s="358"/>
      <c r="T104" s="358"/>
      <c r="U104" s="272">
        <f t="shared" si="1"/>
        <v>0</v>
      </c>
    </row>
    <row r="105" spans="1:21" hidden="1" x14ac:dyDescent="0.3">
      <c r="A105" s="356">
        <v>122</v>
      </c>
      <c r="B105" s="356" t="s">
        <v>348</v>
      </c>
      <c r="C105" s="357"/>
      <c r="D105" s="358"/>
      <c r="E105" s="358"/>
      <c r="F105" s="358"/>
      <c r="G105" s="358"/>
      <c r="H105" s="358"/>
      <c r="I105" s="358"/>
      <c r="J105" s="358"/>
      <c r="K105" s="358"/>
      <c r="L105" s="358"/>
      <c r="M105" s="358"/>
      <c r="N105" s="358"/>
      <c r="O105" s="358"/>
      <c r="P105" s="358"/>
      <c r="Q105" s="358"/>
      <c r="R105" s="358"/>
      <c r="S105" s="358"/>
      <c r="T105" s="358"/>
      <c r="U105" s="272">
        <f t="shared" si="1"/>
        <v>0</v>
      </c>
    </row>
    <row r="106" spans="1:21" hidden="1" x14ac:dyDescent="0.3">
      <c r="A106" s="356">
        <v>123</v>
      </c>
      <c r="B106" s="356" t="s">
        <v>350</v>
      </c>
      <c r="C106" s="357"/>
      <c r="D106" s="358"/>
      <c r="E106" s="358"/>
      <c r="F106" s="358"/>
      <c r="G106" s="358"/>
      <c r="H106" s="358"/>
      <c r="I106" s="358"/>
      <c r="J106" s="358"/>
      <c r="K106" s="358"/>
      <c r="L106" s="358"/>
      <c r="M106" s="358"/>
      <c r="N106" s="358"/>
      <c r="O106" s="358"/>
      <c r="P106" s="358"/>
      <c r="Q106" s="358"/>
      <c r="R106" s="358"/>
      <c r="S106" s="358"/>
      <c r="T106" s="358"/>
      <c r="U106" s="272">
        <f t="shared" si="1"/>
        <v>0</v>
      </c>
    </row>
    <row r="107" spans="1:21" hidden="1" x14ac:dyDescent="0.3">
      <c r="A107" s="356">
        <v>124</v>
      </c>
      <c r="B107" s="356" t="s">
        <v>351</v>
      </c>
      <c r="C107" s="357"/>
      <c r="D107" s="358"/>
      <c r="E107" s="358"/>
      <c r="F107" s="358"/>
      <c r="G107" s="358"/>
      <c r="H107" s="358"/>
      <c r="I107" s="358"/>
      <c r="J107" s="358"/>
      <c r="K107" s="358"/>
      <c r="L107" s="358"/>
      <c r="M107" s="358"/>
      <c r="N107" s="358"/>
      <c r="O107" s="358"/>
      <c r="P107" s="358"/>
      <c r="Q107" s="358"/>
      <c r="R107" s="358"/>
      <c r="S107" s="358"/>
      <c r="T107" s="358"/>
      <c r="U107" s="272">
        <f t="shared" si="1"/>
        <v>0</v>
      </c>
    </row>
    <row r="108" spans="1:21" hidden="1" x14ac:dyDescent="0.3">
      <c r="A108" s="356">
        <v>125</v>
      </c>
      <c r="B108" s="356" t="s">
        <v>352</v>
      </c>
      <c r="C108" s="357"/>
      <c r="D108" s="358"/>
      <c r="E108" s="358"/>
      <c r="F108" s="358"/>
      <c r="G108" s="358"/>
      <c r="H108" s="358"/>
      <c r="I108" s="358"/>
      <c r="J108" s="358"/>
      <c r="K108" s="358"/>
      <c r="L108" s="358"/>
      <c r="M108" s="358"/>
      <c r="N108" s="358"/>
      <c r="O108" s="358"/>
      <c r="P108" s="358"/>
      <c r="Q108" s="358"/>
      <c r="R108" s="358"/>
      <c r="S108" s="358"/>
      <c r="T108" s="358"/>
      <c r="U108" s="272">
        <f t="shared" si="1"/>
        <v>0</v>
      </c>
    </row>
    <row r="109" spans="1:21" hidden="1" x14ac:dyDescent="0.3">
      <c r="A109" s="356">
        <v>126</v>
      </c>
      <c r="B109" s="356" t="s">
        <v>353</v>
      </c>
      <c r="C109" s="357"/>
      <c r="D109" s="358"/>
      <c r="E109" s="358"/>
      <c r="F109" s="358"/>
      <c r="G109" s="358"/>
      <c r="H109" s="358"/>
      <c r="I109" s="358"/>
      <c r="J109" s="358"/>
      <c r="K109" s="358"/>
      <c r="L109" s="358"/>
      <c r="M109" s="358"/>
      <c r="N109" s="358"/>
      <c r="O109" s="358"/>
      <c r="P109" s="358"/>
      <c r="Q109" s="358"/>
      <c r="R109" s="358"/>
      <c r="S109" s="358"/>
      <c r="T109" s="358"/>
      <c r="U109" s="272">
        <f t="shared" si="1"/>
        <v>0</v>
      </c>
    </row>
    <row r="110" spans="1:21" hidden="1" x14ac:dyDescent="0.3">
      <c r="A110" s="356">
        <v>127</v>
      </c>
      <c r="B110" s="356" t="s">
        <v>354</v>
      </c>
      <c r="C110" s="357"/>
      <c r="D110" s="358"/>
      <c r="E110" s="358"/>
      <c r="F110" s="358"/>
      <c r="G110" s="358"/>
      <c r="H110" s="358"/>
      <c r="I110" s="358"/>
      <c r="J110" s="358"/>
      <c r="K110" s="358"/>
      <c r="L110" s="358"/>
      <c r="M110" s="358"/>
      <c r="N110" s="358"/>
      <c r="O110" s="358"/>
      <c r="P110" s="358"/>
      <c r="Q110" s="358"/>
      <c r="R110" s="358"/>
      <c r="S110" s="358"/>
      <c r="T110" s="358"/>
      <c r="U110" s="272">
        <f t="shared" si="1"/>
        <v>0</v>
      </c>
    </row>
    <row r="111" spans="1:21" hidden="1" x14ac:dyDescent="0.3">
      <c r="A111" s="356">
        <v>128</v>
      </c>
      <c r="B111" s="356" t="s">
        <v>355</v>
      </c>
      <c r="C111" s="357"/>
      <c r="D111" s="358"/>
      <c r="E111" s="358"/>
      <c r="F111" s="358"/>
      <c r="G111" s="358"/>
      <c r="H111" s="358"/>
      <c r="I111" s="358"/>
      <c r="J111" s="358"/>
      <c r="K111" s="358"/>
      <c r="L111" s="358"/>
      <c r="M111" s="358"/>
      <c r="N111" s="358"/>
      <c r="O111" s="358"/>
      <c r="P111" s="358"/>
      <c r="Q111" s="358"/>
      <c r="R111" s="358"/>
      <c r="S111" s="358"/>
      <c r="T111" s="358"/>
      <c r="U111" s="272">
        <f t="shared" si="1"/>
        <v>0</v>
      </c>
    </row>
    <row r="112" spans="1:21" hidden="1" x14ac:dyDescent="0.3">
      <c r="A112" s="356">
        <v>129</v>
      </c>
      <c r="B112" s="356" t="s">
        <v>356</v>
      </c>
      <c r="C112" s="357"/>
      <c r="D112" s="358"/>
      <c r="E112" s="358"/>
      <c r="F112" s="358"/>
      <c r="G112" s="358"/>
      <c r="H112" s="358"/>
      <c r="I112" s="358"/>
      <c r="J112" s="358"/>
      <c r="K112" s="358"/>
      <c r="L112" s="358"/>
      <c r="M112" s="358"/>
      <c r="N112" s="358"/>
      <c r="O112" s="358"/>
      <c r="P112" s="358"/>
      <c r="Q112" s="358"/>
      <c r="R112" s="358"/>
      <c r="S112" s="358"/>
      <c r="T112" s="358"/>
      <c r="U112" s="272">
        <f t="shared" si="1"/>
        <v>0</v>
      </c>
    </row>
    <row r="113" spans="1:21" hidden="1" x14ac:dyDescent="0.3">
      <c r="A113" s="356">
        <v>130</v>
      </c>
      <c r="B113" s="356" t="s">
        <v>357</v>
      </c>
      <c r="C113" s="357"/>
      <c r="D113" s="358"/>
      <c r="E113" s="358"/>
      <c r="F113" s="358"/>
      <c r="G113" s="358"/>
      <c r="H113" s="358"/>
      <c r="I113" s="358"/>
      <c r="J113" s="358"/>
      <c r="K113" s="358"/>
      <c r="L113" s="358"/>
      <c r="M113" s="358"/>
      <c r="N113" s="358"/>
      <c r="O113" s="358"/>
      <c r="P113" s="358"/>
      <c r="Q113" s="358"/>
      <c r="R113" s="358"/>
      <c r="S113" s="358"/>
      <c r="T113" s="358"/>
      <c r="U113" s="272">
        <f t="shared" si="1"/>
        <v>0</v>
      </c>
    </row>
    <row r="114" spans="1:21" hidden="1" x14ac:dyDescent="0.3">
      <c r="A114" s="356">
        <v>131</v>
      </c>
      <c r="B114" s="356" t="s">
        <v>358</v>
      </c>
      <c r="C114" s="357"/>
      <c r="D114" s="358"/>
      <c r="E114" s="358"/>
      <c r="F114" s="358"/>
      <c r="G114" s="358"/>
      <c r="H114" s="358"/>
      <c r="I114" s="358"/>
      <c r="J114" s="358"/>
      <c r="K114" s="358"/>
      <c r="L114" s="358"/>
      <c r="M114" s="358"/>
      <c r="N114" s="358"/>
      <c r="O114" s="358"/>
      <c r="P114" s="358"/>
      <c r="Q114" s="358"/>
      <c r="R114" s="358"/>
      <c r="S114" s="358"/>
      <c r="T114" s="358"/>
      <c r="U114" s="272">
        <f t="shared" si="1"/>
        <v>0</v>
      </c>
    </row>
    <row r="115" spans="1:21" hidden="1" x14ac:dyDescent="0.3">
      <c r="A115" s="356">
        <v>132</v>
      </c>
      <c r="B115" s="356" t="s">
        <v>359</v>
      </c>
      <c r="C115" s="357"/>
      <c r="D115" s="358"/>
      <c r="E115" s="358"/>
      <c r="F115" s="358"/>
      <c r="G115" s="358"/>
      <c r="H115" s="358"/>
      <c r="I115" s="358"/>
      <c r="J115" s="358"/>
      <c r="K115" s="358"/>
      <c r="L115" s="358"/>
      <c r="M115" s="358"/>
      <c r="N115" s="358"/>
      <c r="O115" s="358"/>
      <c r="P115" s="358"/>
      <c r="Q115" s="358"/>
      <c r="R115" s="358"/>
      <c r="S115" s="358"/>
      <c r="T115" s="358"/>
      <c r="U115" s="272">
        <f t="shared" si="1"/>
        <v>0</v>
      </c>
    </row>
    <row r="116" spans="1:21" hidden="1" x14ac:dyDescent="0.3">
      <c r="A116" s="356">
        <v>133</v>
      </c>
      <c r="B116" s="356" t="s">
        <v>360</v>
      </c>
      <c r="C116" s="357"/>
      <c r="D116" s="358"/>
      <c r="E116" s="358"/>
      <c r="F116" s="358"/>
      <c r="G116" s="358"/>
      <c r="H116" s="358"/>
      <c r="I116" s="358"/>
      <c r="J116" s="358"/>
      <c r="K116" s="358"/>
      <c r="L116" s="358"/>
      <c r="M116" s="358"/>
      <c r="N116" s="358"/>
      <c r="O116" s="358"/>
      <c r="P116" s="358"/>
      <c r="Q116" s="358"/>
      <c r="R116" s="358"/>
      <c r="S116" s="358"/>
      <c r="T116" s="358"/>
      <c r="U116" s="272">
        <f t="shared" si="1"/>
        <v>0</v>
      </c>
    </row>
    <row r="117" spans="1:21" hidden="1" x14ac:dyDescent="0.3">
      <c r="A117" s="356">
        <v>134</v>
      </c>
      <c r="B117" s="356" t="s">
        <v>361</v>
      </c>
      <c r="C117" s="357"/>
      <c r="D117" s="358"/>
      <c r="E117" s="358"/>
      <c r="F117" s="358"/>
      <c r="G117" s="358"/>
      <c r="H117" s="358"/>
      <c r="I117" s="358"/>
      <c r="J117" s="358"/>
      <c r="K117" s="358"/>
      <c r="L117" s="358"/>
      <c r="M117" s="358"/>
      <c r="N117" s="358"/>
      <c r="O117" s="358"/>
      <c r="P117" s="358"/>
      <c r="Q117" s="358"/>
      <c r="R117" s="358"/>
      <c r="S117" s="358"/>
      <c r="T117" s="358"/>
      <c r="U117" s="272">
        <f t="shared" si="1"/>
        <v>0</v>
      </c>
    </row>
    <row r="118" spans="1:21" hidden="1" x14ac:dyDescent="0.3">
      <c r="A118" s="356">
        <v>137</v>
      </c>
      <c r="B118" s="356" t="s">
        <v>367</v>
      </c>
      <c r="C118" s="357"/>
      <c r="D118" s="358"/>
      <c r="E118" s="358"/>
      <c r="F118" s="358"/>
      <c r="G118" s="358"/>
      <c r="H118" s="358"/>
      <c r="I118" s="358"/>
      <c r="J118" s="358"/>
      <c r="K118" s="358"/>
      <c r="L118" s="358"/>
      <c r="M118" s="358"/>
      <c r="N118" s="358"/>
      <c r="O118" s="358"/>
      <c r="P118" s="358"/>
      <c r="Q118" s="358"/>
      <c r="R118" s="358"/>
      <c r="S118" s="358"/>
      <c r="T118" s="358"/>
      <c r="U118" s="272">
        <f t="shared" si="1"/>
        <v>0</v>
      </c>
    </row>
    <row r="119" spans="1:21" hidden="1" x14ac:dyDescent="0.3">
      <c r="A119" s="356">
        <v>138</v>
      </c>
      <c r="B119" s="356" t="s">
        <v>369</v>
      </c>
      <c r="C119" s="357"/>
      <c r="D119" s="358"/>
      <c r="E119" s="358"/>
      <c r="F119" s="358"/>
      <c r="G119" s="358"/>
      <c r="H119" s="358"/>
      <c r="I119" s="358"/>
      <c r="J119" s="358"/>
      <c r="K119" s="358"/>
      <c r="L119" s="358"/>
      <c r="M119" s="358"/>
      <c r="N119" s="358"/>
      <c r="O119" s="358"/>
      <c r="P119" s="358"/>
      <c r="Q119" s="358"/>
      <c r="R119" s="358"/>
      <c r="S119" s="358"/>
      <c r="T119" s="358"/>
      <c r="U119" s="272">
        <f t="shared" si="1"/>
        <v>0</v>
      </c>
    </row>
    <row r="120" spans="1:21" hidden="1" x14ac:dyDescent="0.3">
      <c r="A120" s="356">
        <v>139</v>
      </c>
      <c r="B120" s="356" t="s">
        <v>370</v>
      </c>
      <c r="C120" s="357"/>
      <c r="D120" s="358"/>
      <c r="E120" s="358"/>
      <c r="F120" s="358"/>
      <c r="G120" s="358"/>
      <c r="H120" s="358"/>
      <c r="I120" s="358"/>
      <c r="J120" s="358"/>
      <c r="K120" s="358"/>
      <c r="L120" s="358"/>
      <c r="M120" s="358"/>
      <c r="N120" s="358"/>
      <c r="O120" s="358"/>
      <c r="P120" s="358"/>
      <c r="Q120" s="358"/>
      <c r="R120" s="358"/>
      <c r="S120" s="358"/>
      <c r="T120" s="358"/>
      <c r="U120" s="272">
        <f t="shared" si="1"/>
        <v>0</v>
      </c>
    </row>
    <row r="121" spans="1:21" hidden="1" x14ac:dyDescent="0.3">
      <c r="A121" s="356">
        <v>141</v>
      </c>
      <c r="B121" s="356" t="s">
        <v>374</v>
      </c>
      <c r="C121" s="357">
        <v>54803.87</v>
      </c>
      <c r="D121" s="358">
        <v>1153710</v>
      </c>
      <c r="E121" s="358">
        <v>0</v>
      </c>
      <c r="F121" s="358">
        <v>0</v>
      </c>
      <c r="G121" s="358">
        <v>0</v>
      </c>
      <c r="H121" s="358">
        <v>0.39</v>
      </c>
      <c r="I121" s="358"/>
      <c r="J121" s="358"/>
      <c r="K121" s="358"/>
      <c r="L121" s="358"/>
      <c r="M121" s="358"/>
      <c r="N121" s="358"/>
      <c r="O121" s="358"/>
      <c r="P121" s="358"/>
      <c r="Q121" s="358"/>
      <c r="R121" s="358"/>
      <c r="S121" s="358"/>
      <c r="T121" s="358"/>
      <c r="U121" s="272">
        <f t="shared" si="1"/>
        <v>1208514.26</v>
      </c>
    </row>
    <row r="122" spans="1:21" hidden="1" x14ac:dyDescent="0.3">
      <c r="A122" s="356">
        <v>142</v>
      </c>
      <c r="B122" s="356" t="s">
        <v>376</v>
      </c>
      <c r="C122" s="357"/>
      <c r="D122" s="358"/>
      <c r="E122" s="358"/>
      <c r="F122" s="358"/>
      <c r="G122" s="358"/>
      <c r="H122" s="358"/>
      <c r="I122" s="358"/>
      <c r="J122" s="358"/>
      <c r="K122" s="358"/>
      <c r="L122" s="358"/>
      <c r="M122" s="358"/>
      <c r="N122" s="358"/>
      <c r="O122" s="358"/>
      <c r="P122" s="358"/>
      <c r="Q122" s="358"/>
      <c r="R122" s="358"/>
      <c r="S122" s="358"/>
      <c r="T122" s="358"/>
      <c r="U122" s="272">
        <f t="shared" si="1"/>
        <v>0</v>
      </c>
    </row>
    <row r="123" spans="1:21" hidden="1" x14ac:dyDescent="0.3">
      <c r="A123" s="356">
        <v>144</v>
      </c>
      <c r="B123" s="356" t="s">
        <v>380</v>
      </c>
      <c r="C123" s="357"/>
      <c r="D123" s="358"/>
      <c r="E123" s="358"/>
      <c r="F123" s="358"/>
      <c r="G123" s="358"/>
      <c r="H123" s="358"/>
      <c r="I123" s="358"/>
      <c r="J123" s="358"/>
      <c r="K123" s="358"/>
      <c r="L123" s="358"/>
      <c r="M123" s="358"/>
      <c r="N123" s="358"/>
      <c r="O123" s="358"/>
      <c r="P123" s="358"/>
      <c r="Q123" s="358"/>
      <c r="R123" s="358"/>
      <c r="S123" s="358"/>
      <c r="T123" s="358"/>
      <c r="U123" s="272">
        <f t="shared" si="1"/>
        <v>0</v>
      </c>
    </row>
    <row r="124" spans="1:21" hidden="1" x14ac:dyDescent="0.3">
      <c r="A124" s="356">
        <v>145</v>
      </c>
      <c r="B124" s="356" t="s">
        <v>382</v>
      </c>
      <c r="C124" s="357"/>
      <c r="D124" s="358"/>
      <c r="E124" s="358"/>
      <c r="F124" s="358"/>
      <c r="G124" s="358"/>
      <c r="H124" s="358"/>
      <c r="I124" s="358"/>
      <c r="J124" s="358"/>
      <c r="K124" s="358"/>
      <c r="L124" s="358"/>
      <c r="M124" s="358"/>
      <c r="N124" s="358"/>
      <c r="O124" s="358"/>
      <c r="P124" s="358"/>
      <c r="Q124" s="358"/>
      <c r="R124" s="358"/>
      <c r="S124" s="358"/>
      <c r="T124" s="358"/>
      <c r="U124" s="272">
        <f t="shared" si="1"/>
        <v>0</v>
      </c>
    </row>
    <row r="125" spans="1:21" hidden="1" x14ac:dyDescent="0.3">
      <c r="A125" s="356">
        <v>146</v>
      </c>
      <c r="B125" s="356" t="s">
        <v>384</v>
      </c>
      <c r="C125" s="357"/>
      <c r="D125" s="358"/>
      <c r="E125" s="358"/>
      <c r="F125" s="358"/>
      <c r="G125" s="358"/>
      <c r="H125" s="358"/>
      <c r="I125" s="358"/>
      <c r="J125" s="358"/>
      <c r="K125" s="358"/>
      <c r="L125" s="358"/>
      <c r="M125" s="358"/>
      <c r="N125" s="358"/>
      <c r="O125" s="358"/>
      <c r="P125" s="358"/>
      <c r="Q125" s="358"/>
      <c r="R125" s="358"/>
      <c r="S125" s="358"/>
      <c r="T125" s="358"/>
      <c r="U125" s="272">
        <f t="shared" si="1"/>
        <v>0</v>
      </c>
    </row>
    <row r="126" spans="1:21" hidden="1" x14ac:dyDescent="0.3">
      <c r="A126" s="356">
        <v>147</v>
      </c>
      <c r="B126" s="356" t="s">
        <v>385</v>
      </c>
      <c r="C126" s="357"/>
      <c r="D126" s="358"/>
      <c r="E126" s="358"/>
      <c r="F126" s="358"/>
      <c r="G126" s="358"/>
      <c r="H126" s="358"/>
      <c r="I126" s="358"/>
      <c r="J126" s="358"/>
      <c r="K126" s="358"/>
      <c r="L126" s="358"/>
      <c r="M126" s="358"/>
      <c r="N126" s="358"/>
      <c r="O126" s="358"/>
      <c r="P126" s="358"/>
      <c r="Q126" s="358"/>
      <c r="R126" s="358"/>
      <c r="S126" s="358"/>
      <c r="T126" s="358"/>
      <c r="U126" s="272">
        <f t="shared" si="1"/>
        <v>0</v>
      </c>
    </row>
    <row r="127" spans="1:21" hidden="1" x14ac:dyDescent="0.3">
      <c r="A127" s="356">
        <v>148</v>
      </c>
      <c r="B127" s="356" t="s">
        <v>386</v>
      </c>
      <c r="C127" s="357"/>
      <c r="D127" s="358"/>
      <c r="E127" s="358"/>
      <c r="F127" s="358">
        <v>0.45</v>
      </c>
      <c r="G127" s="358"/>
      <c r="H127" s="358"/>
      <c r="I127" s="358"/>
      <c r="J127" s="358"/>
      <c r="K127" s="358"/>
      <c r="L127" s="358"/>
      <c r="M127" s="358"/>
      <c r="N127" s="358"/>
      <c r="O127" s="358"/>
      <c r="P127" s="358"/>
      <c r="Q127" s="358"/>
      <c r="R127" s="358"/>
      <c r="S127" s="358"/>
      <c r="T127" s="358"/>
      <c r="U127" s="272">
        <f t="shared" si="1"/>
        <v>0.45</v>
      </c>
    </row>
    <row r="128" spans="1:21" hidden="1" x14ac:dyDescent="0.3">
      <c r="A128" s="356">
        <v>149</v>
      </c>
      <c r="B128" s="356" t="s">
        <v>388</v>
      </c>
      <c r="C128" s="357"/>
      <c r="D128" s="358"/>
      <c r="E128" s="358"/>
      <c r="F128" s="358"/>
      <c r="G128" s="358"/>
      <c r="H128" s="358"/>
      <c r="I128" s="358"/>
      <c r="J128" s="358"/>
      <c r="K128" s="358"/>
      <c r="L128" s="358"/>
      <c r="M128" s="358"/>
      <c r="N128" s="358"/>
      <c r="O128" s="358"/>
      <c r="P128" s="358"/>
      <c r="Q128" s="358"/>
      <c r="R128" s="358"/>
      <c r="S128" s="358"/>
      <c r="T128" s="358"/>
      <c r="U128" s="272">
        <f t="shared" si="1"/>
        <v>0</v>
      </c>
    </row>
    <row r="129" spans="1:21" hidden="1" x14ac:dyDescent="0.3">
      <c r="A129" s="356">
        <v>233</v>
      </c>
      <c r="B129" s="356" t="s">
        <v>530</v>
      </c>
      <c r="C129" s="357"/>
      <c r="D129" s="358"/>
      <c r="E129" s="358"/>
      <c r="F129" s="358"/>
      <c r="G129" s="358"/>
      <c r="H129" s="358"/>
      <c r="I129" s="358"/>
      <c r="J129" s="358"/>
      <c r="K129" s="358"/>
      <c r="L129" s="358"/>
      <c r="M129" s="358"/>
      <c r="N129" s="358"/>
      <c r="O129" s="358"/>
      <c r="P129" s="358"/>
      <c r="Q129" s="358"/>
      <c r="R129" s="358"/>
      <c r="S129" s="358"/>
      <c r="T129" s="358"/>
      <c r="U129" s="272">
        <f t="shared" si="1"/>
        <v>0</v>
      </c>
    </row>
    <row r="130" spans="1:21" hidden="1" x14ac:dyDescent="0.3">
      <c r="A130" s="356">
        <v>234</v>
      </c>
      <c r="B130" s="356" t="s">
        <v>532</v>
      </c>
      <c r="C130" s="357"/>
      <c r="D130" s="358"/>
      <c r="E130" s="358"/>
      <c r="F130" s="358"/>
      <c r="G130" s="358"/>
      <c r="H130" s="358"/>
      <c r="I130" s="358"/>
      <c r="J130" s="358"/>
      <c r="K130" s="358"/>
      <c r="L130" s="358"/>
      <c r="M130" s="358"/>
      <c r="N130" s="358"/>
      <c r="O130" s="358"/>
      <c r="P130" s="358"/>
      <c r="Q130" s="358"/>
      <c r="R130" s="358"/>
      <c r="S130" s="358"/>
      <c r="T130" s="358"/>
      <c r="U130" s="272">
        <f t="shared" si="1"/>
        <v>0</v>
      </c>
    </row>
    <row r="131" spans="1:21" hidden="1" x14ac:dyDescent="0.3">
      <c r="A131" s="356">
        <v>235</v>
      </c>
      <c r="B131" s="356" t="s">
        <v>533</v>
      </c>
      <c r="C131" s="357"/>
      <c r="D131" s="358"/>
      <c r="E131" s="358"/>
      <c r="F131" s="358"/>
      <c r="G131" s="358"/>
      <c r="H131" s="358"/>
      <c r="I131" s="358"/>
      <c r="J131" s="358"/>
      <c r="K131" s="358"/>
      <c r="L131" s="358"/>
      <c r="M131" s="358"/>
      <c r="N131" s="358"/>
      <c r="O131" s="358"/>
      <c r="P131" s="358"/>
      <c r="Q131" s="358"/>
      <c r="R131" s="358"/>
      <c r="S131" s="358"/>
      <c r="T131" s="358"/>
      <c r="U131" s="272">
        <f t="shared" si="1"/>
        <v>0</v>
      </c>
    </row>
    <row r="132" spans="1:21" hidden="1" x14ac:dyDescent="0.3">
      <c r="A132" s="356">
        <v>236</v>
      </c>
      <c r="B132" s="356" t="s">
        <v>534</v>
      </c>
      <c r="C132" s="357"/>
      <c r="D132" s="358"/>
      <c r="E132" s="358"/>
      <c r="F132" s="358"/>
      <c r="G132" s="358"/>
      <c r="H132" s="358"/>
      <c r="I132" s="358"/>
      <c r="J132" s="358"/>
      <c r="K132" s="358"/>
      <c r="L132" s="358"/>
      <c r="M132" s="358"/>
      <c r="N132" s="358"/>
      <c r="O132" s="358"/>
      <c r="P132" s="358"/>
      <c r="Q132" s="358"/>
      <c r="R132" s="358"/>
      <c r="S132" s="358"/>
      <c r="T132" s="358"/>
      <c r="U132" s="272">
        <f t="shared" si="1"/>
        <v>0</v>
      </c>
    </row>
    <row r="133" spans="1:21" hidden="1" x14ac:dyDescent="0.3">
      <c r="A133" s="356">
        <v>237</v>
      </c>
      <c r="B133" s="356" t="s">
        <v>536</v>
      </c>
      <c r="C133" s="357"/>
      <c r="D133" s="358"/>
      <c r="E133" s="358"/>
      <c r="F133" s="358"/>
      <c r="G133" s="358"/>
      <c r="H133" s="358"/>
      <c r="I133" s="358"/>
      <c r="J133" s="358"/>
      <c r="K133" s="358"/>
      <c r="L133" s="358"/>
      <c r="M133" s="358"/>
      <c r="N133" s="358"/>
      <c r="O133" s="358"/>
      <c r="P133" s="358"/>
      <c r="Q133" s="358"/>
      <c r="R133" s="358"/>
      <c r="S133" s="358"/>
      <c r="T133" s="358"/>
      <c r="U133" s="272">
        <f t="shared" si="1"/>
        <v>0</v>
      </c>
    </row>
    <row r="134" spans="1:21" hidden="1" x14ac:dyDescent="0.3">
      <c r="A134" s="356">
        <v>238</v>
      </c>
      <c r="B134" s="356" t="s">
        <v>538</v>
      </c>
      <c r="C134" s="357"/>
      <c r="D134" s="358"/>
      <c r="E134" s="358"/>
      <c r="F134" s="358"/>
      <c r="G134" s="358"/>
      <c r="H134" s="358"/>
      <c r="I134" s="358"/>
      <c r="J134" s="358"/>
      <c r="K134" s="358"/>
      <c r="L134" s="358"/>
      <c r="M134" s="358"/>
      <c r="N134" s="358"/>
      <c r="O134" s="358"/>
      <c r="P134" s="358"/>
      <c r="Q134" s="358"/>
      <c r="R134" s="358"/>
      <c r="S134" s="358"/>
      <c r="T134" s="358"/>
      <c r="U134" s="272">
        <f t="shared" si="1"/>
        <v>0</v>
      </c>
    </row>
    <row r="135" spans="1:21" hidden="1" x14ac:dyDescent="0.3">
      <c r="A135" s="356">
        <v>239</v>
      </c>
      <c r="B135" s="356" t="s">
        <v>540</v>
      </c>
      <c r="C135" s="357"/>
      <c r="D135" s="358"/>
      <c r="E135" s="358"/>
      <c r="F135" s="358"/>
      <c r="G135" s="358"/>
      <c r="H135" s="358"/>
      <c r="I135" s="358"/>
      <c r="J135" s="358"/>
      <c r="K135" s="358"/>
      <c r="L135" s="358"/>
      <c r="M135" s="358"/>
      <c r="N135" s="358"/>
      <c r="O135" s="358"/>
      <c r="P135" s="358"/>
      <c r="Q135" s="358"/>
      <c r="R135" s="358"/>
      <c r="S135" s="358"/>
      <c r="T135" s="358"/>
      <c r="U135" s="272">
        <f t="shared" si="1"/>
        <v>0</v>
      </c>
    </row>
    <row r="136" spans="1:21" hidden="1" x14ac:dyDescent="0.3">
      <c r="A136" s="356">
        <v>240</v>
      </c>
      <c r="B136" s="356" t="s">
        <v>542</v>
      </c>
      <c r="C136" s="357"/>
      <c r="D136" s="358"/>
      <c r="E136" s="358"/>
      <c r="F136" s="358"/>
      <c r="G136" s="358"/>
      <c r="H136" s="358">
        <v>21919837.007874016</v>
      </c>
      <c r="I136" s="358"/>
      <c r="J136" s="358"/>
      <c r="K136" s="358"/>
      <c r="L136" s="358"/>
      <c r="M136" s="358"/>
      <c r="N136" s="358"/>
      <c r="O136" s="358"/>
      <c r="P136" s="358"/>
      <c r="Q136" s="358"/>
      <c r="R136" s="358"/>
      <c r="S136" s="358"/>
      <c r="T136" s="358"/>
      <c r="U136" s="272">
        <f t="shared" ref="U136:U199" si="2">SUM(C136:T136)</f>
        <v>21919837.007874016</v>
      </c>
    </row>
    <row r="137" spans="1:21" hidden="1" x14ac:dyDescent="0.3">
      <c r="A137" s="356">
        <v>241</v>
      </c>
      <c r="B137" s="356" t="s">
        <v>543</v>
      </c>
      <c r="C137" s="357"/>
      <c r="D137" s="358"/>
      <c r="E137" s="358"/>
      <c r="F137" s="358"/>
      <c r="G137" s="358"/>
      <c r="H137" s="358"/>
      <c r="I137" s="358"/>
      <c r="J137" s="358"/>
      <c r="K137" s="358"/>
      <c r="L137" s="358"/>
      <c r="M137" s="358"/>
      <c r="N137" s="358"/>
      <c r="O137" s="358"/>
      <c r="P137" s="358"/>
      <c r="Q137" s="358"/>
      <c r="R137" s="358"/>
      <c r="S137" s="358"/>
      <c r="T137" s="358"/>
      <c r="U137" s="272">
        <f t="shared" si="2"/>
        <v>0</v>
      </c>
    </row>
    <row r="138" spans="1:21" hidden="1" x14ac:dyDescent="0.3">
      <c r="A138" s="356">
        <v>242</v>
      </c>
      <c r="B138" s="356" t="s">
        <v>544</v>
      </c>
      <c r="C138" s="357"/>
      <c r="D138" s="358"/>
      <c r="E138" s="358"/>
      <c r="F138" s="358"/>
      <c r="G138" s="358"/>
      <c r="H138" s="358"/>
      <c r="I138" s="358"/>
      <c r="J138" s="358"/>
      <c r="K138" s="358"/>
      <c r="L138" s="358"/>
      <c r="M138" s="358"/>
      <c r="N138" s="358"/>
      <c r="O138" s="358"/>
      <c r="P138" s="358"/>
      <c r="Q138" s="358"/>
      <c r="R138" s="358"/>
      <c r="S138" s="358"/>
      <c r="T138" s="358"/>
      <c r="U138" s="272">
        <f t="shared" si="2"/>
        <v>0</v>
      </c>
    </row>
    <row r="139" spans="1:21" hidden="1" x14ac:dyDescent="0.3">
      <c r="A139" s="356">
        <v>243</v>
      </c>
      <c r="B139" s="356" t="s">
        <v>545</v>
      </c>
      <c r="C139" s="357"/>
      <c r="D139" s="358"/>
      <c r="E139" s="358"/>
      <c r="F139" s="358"/>
      <c r="G139" s="358"/>
      <c r="H139" s="358"/>
      <c r="I139" s="358"/>
      <c r="J139" s="358"/>
      <c r="K139" s="358"/>
      <c r="L139" s="358"/>
      <c r="M139" s="358"/>
      <c r="N139" s="358"/>
      <c r="O139" s="358"/>
      <c r="P139" s="358"/>
      <c r="Q139" s="358"/>
      <c r="R139" s="358"/>
      <c r="S139" s="358"/>
      <c r="T139" s="358"/>
      <c r="U139" s="272">
        <f t="shared" si="2"/>
        <v>0</v>
      </c>
    </row>
    <row r="140" spans="1:21" hidden="1" x14ac:dyDescent="0.3">
      <c r="A140" s="356">
        <v>244</v>
      </c>
      <c r="B140" s="356" t="s">
        <v>547</v>
      </c>
      <c r="C140" s="357"/>
      <c r="D140" s="358"/>
      <c r="E140" s="358"/>
      <c r="F140" s="358"/>
      <c r="G140" s="358"/>
      <c r="H140" s="358"/>
      <c r="I140" s="358"/>
      <c r="J140" s="358"/>
      <c r="K140" s="358"/>
      <c r="L140" s="358"/>
      <c r="M140" s="358"/>
      <c r="N140" s="358"/>
      <c r="O140" s="358"/>
      <c r="P140" s="358"/>
      <c r="Q140" s="358"/>
      <c r="R140" s="358"/>
      <c r="S140" s="358"/>
      <c r="T140" s="358"/>
      <c r="U140" s="272">
        <f t="shared" si="2"/>
        <v>0</v>
      </c>
    </row>
    <row r="141" spans="1:21" hidden="1" x14ac:dyDescent="0.3">
      <c r="A141" s="356">
        <v>245</v>
      </c>
      <c r="B141" s="356" t="s">
        <v>548</v>
      </c>
      <c r="C141" s="357"/>
      <c r="D141" s="358"/>
      <c r="E141" s="358"/>
      <c r="F141" s="358"/>
      <c r="G141" s="358"/>
      <c r="H141" s="358"/>
      <c r="I141" s="358"/>
      <c r="J141" s="358"/>
      <c r="K141" s="358"/>
      <c r="L141" s="358"/>
      <c r="M141" s="358"/>
      <c r="N141" s="358"/>
      <c r="O141" s="358"/>
      <c r="P141" s="358"/>
      <c r="Q141" s="358"/>
      <c r="R141" s="358"/>
      <c r="S141" s="358"/>
      <c r="T141" s="358"/>
      <c r="U141" s="272">
        <f t="shared" si="2"/>
        <v>0</v>
      </c>
    </row>
    <row r="142" spans="1:21" hidden="1" x14ac:dyDescent="0.3">
      <c r="A142" s="356">
        <v>246</v>
      </c>
      <c r="B142" s="356" t="s">
        <v>549</v>
      </c>
      <c r="C142" s="357"/>
      <c r="D142" s="358"/>
      <c r="E142" s="358"/>
      <c r="F142" s="358"/>
      <c r="G142" s="358"/>
      <c r="H142" s="358"/>
      <c r="I142" s="358"/>
      <c r="J142" s="358"/>
      <c r="K142" s="358"/>
      <c r="L142" s="358"/>
      <c r="M142" s="358"/>
      <c r="N142" s="358"/>
      <c r="O142" s="358"/>
      <c r="P142" s="358"/>
      <c r="Q142" s="358"/>
      <c r="R142" s="358"/>
      <c r="S142" s="358"/>
      <c r="T142" s="358"/>
      <c r="U142" s="272">
        <f t="shared" si="2"/>
        <v>0</v>
      </c>
    </row>
    <row r="143" spans="1:21" hidden="1" x14ac:dyDescent="0.3">
      <c r="A143" s="356">
        <v>247</v>
      </c>
      <c r="B143" s="356" t="s">
        <v>550</v>
      </c>
      <c r="C143" s="357"/>
      <c r="D143" s="358"/>
      <c r="E143" s="358"/>
      <c r="F143" s="358"/>
      <c r="G143" s="358"/>
      <c r="H143" s="358"/>
      <c r="I143" s="358"/>
      <c r="J143" s="358"/>
      <c r="K143" s="358"/>
      <c r="L143" s="358"/>
      <c r="M143" s="358"/>
      <c r="N143" s="358"/>
      <c r="O143" s="358"/>
      <c r="P143" s="358"/>
      <c r="Q143" s="358"/>
      <c r="R143" s="358"/>
      <c r="S143" s="358"/>
      <c r="T143" s="358"/>
      <c r="U143" s="272">
        <f t="shared" si="2"/>
        <v>0</v>
      </c>
    </row>
    <row r="144" spans="1:21" hidden="1" x14ac:dyDescent="0.3">
      <c r="A144" s="356">
        <v>248</v>
      </c>
      <c r="B144" s="356" t="s">
        <v>551</v>
      </c>
      <c r="C144" s="357"/>
      <c r="D144" s="358"/>
      <c r="E144" s="358"/>
      <c r="F144" s="358"/>
      <c r="G144" s="358"/>
      <c r="H144" s="358"/>
      <c r="I144" s="358"/>
      <c r="J144" s="358"/>
      <c r="K144" s="358"/>
      <c r="L144" s="358"/>
      <c r="M144" s="358"/>
      <c r="N144" s="358"/>
      <c r="O144" s="358"/>
      <c r="P144" s="358"/>
      <c r="Q144" s="358"/>
      <c r="R144" s="358"/>
      <c r="S144" s="358"/>
      <c r="T144" s="358"/>
      <c r="U144" s="272">
        <f t="shared" si="2"/>
        <v>0</v>
      </c>
    </row>
    <row r="145" spans="1:21" hidden="1" x14ac:dyDescent="0.3">
      <c r="A145" s="356">
        <v>249</v>
      </c>
      <c r="B145" s="356" t="s">
        <v>553</v>
      </c>
      <c r="C145" s="357"/>
      <c r="D145" s="358"/>
      <c r="E145" s="358"/>
      <c r="F145" s="358"/>
      <c r="G145" s="358"/>
      <c r="H145" s="358"/>
      <c r="I145" s="358"/>
      <c r="J145" s="358"/>
      <c r="K145" s="358"/>
      <c r="L145" s="358"/>
      <c r="M145" s="358"/>
      <c r="N145" s="358"/>
      <c r="O145" s="358"/>
      <c r="P145" s="358"/>
      <c r="Q145" s="358"/>
      <c r="R145" s="358"/>
      <c r="S145" s="358"/>
      <c r="T145" s="358"/>
      <c r="U145" s="272">
        <f t="shared" si="2"/>
        <v>0</v>
      </c>
    </row>
    <row r="146" spans="1:21" hidden="1" x14ac:dyDescent="0.3">
      <c r="A146" s="356">
        <v>250</v>
      </c>
      <c r="B146" s="356" t="s">
        <v>555</v>
      </c>
      <c r="C146" s="357"/>
      <c r="D146" s="358"/>
      <c r="E146" s="358"/>
      <c r="F146" s="358"/>
      <c r="G146" s="359"/>
      <c r="H146" s="358">
        <v>300000</v>
      </c>
      <c r="I146" s="358"/>
      <c r="J146" s="358"/>
      <c r="K146" s="358"/>
      <c r="L146" s="358"/>
      <c r="M146" s="358"/>
      <c r="N146" s="358"/>
      <c r="O146" s="358"/>
      <c r="P146" s="358"/>
      <c r="Q146" s="358"/>
      <c r="R146" s="358"/>
      <c r="S146" s="358"/>
      <c r="T146" s="358"/>
      <c r="U146" s="272">
        <f t="shared" si="2"/>
        <v>300000</v>
      </c>
    </row>
    <row r="147" spans="1:21" hidden="1" x14ac:dyDescent="0.3">
      <c r="A147" s="356">
        <v>251</v>
      </c>
      <c r="B147" s="356" t="s">
        <v>557</v>
      </c>
      <c r="C147" s="357"/>
      <c r="D147" s="358"/>
      <c r="E147" s="358"/>
      <c r="F147" s="358"/>
      <c r="G147" s="358"/>
      <c r="H147" s="358"/>
      <c r="I147" s="358"/>
      <c r="J147" s="358"/>
      <c r="K147" s="358"/>
      <c r="L147" s="358"/>
      <c r="M147" s="358"/>
      <c r="N147" s="358"/>
      <c r="O147" s="358"/>
      <c r="P147" s="358"/>
      <c r="Q147" s="358"/>
      <c r="R147" s="358"/>
      <c r="S147" s="358"/>
      <c r="T147" s="358"/>
      <c r="U147" s="272">
        <f t="shared" si="2"/>
        <v>0</v>
      </c>
    </row>
    <row r="148" spans="1:21" hidden="1" x14ac:dyDescent="0.3">
      <c r="A148" s="356">
        <v>252</v>
      </c>
      <c r="B148" s="356" t="s">
        <v>559</v>
      </c>
      <c r="C148" s="357"/>
      <c r="D148" s="358"/>
      <c r="E148" s="358"/>
      <c r="F148" s="358"/>
      <c r="G148" s="358"/>
      <c r="H148" s="358"/>
      <c r="I148" s="358"/>
      <c r="J148" s="358"/>
      <c r="K148" s="358"/>
      <c r="L148" s="358"/>
      <c r="M148" s="358"/>
      <c r="N148" s="358"/>
      <c r="O148" s="358"/>
      <c r="P148" s="358"/>
      <c r="Q148" s="358"/>
      <c r="R148" s="358"/>
      <c r="S148" s="358"/>
      <c r="T148" s="358"/>
      <c r="U148" s="272">
        <f t="shared" si="2"/>
        <v>0</v>
      </c>
    </row>
    <row r="149" spans="1:21" hidden="1" x14ac:dyDescent="0.3">
      <c r="A149" s="356">
        <v>253</v>
      </c>
      <c r="B149" s="356" t="s">
        <v>561</v>
      </c>
      <c r="C149" s="357"/>
      <c r="D149" s="358"/>
      <c r="E149" s="358"/>
      <c r="F149" s="358"/>
      <c r="G149" s="358"/>
      <c r="H149" s="358"/>
      <c r="I149" s="358"/>
      <c r="J149" s="358"/>
      <c r="K149" s="358"/>
      <c r="L149" s="358"/>
      <c r="M149" s="358"/>
      <c r="N149" s="358"/>
      <c r="O149" s="358"/>
      <c r="P149" s="358"/>
      <c r="Q149" s="358"/>
      <c r="R149" s="358"/>
      <c r="S149" s="358"/>
      <c r="T149" s="358"/>
      <c r="U149" s="272">
        <f t="shared" si="2"/>
        <v>0</v>
      </c>
    </row>
    <row r="150" spans="1:21" hidden="1" x14ac:dyDescent="0.3">
      <c r="A150" s="356">
        <v>254</v>
      </c>
      <c r="B150" s="356" t="s">
        <v>562</v>
      </c>
      <c r="C150" s="357"/>
      <c r="D150" s="358"/>
      <c r="E150" s="358"/>
      <c r="F150" s="358"/>
      <c r="G150" s="358"/>
      <c r="H150" s="358"/>
      <c r="I150" s="358"/>
      <c r="J150" s="358"/>
      <c r="K150" s="358"/>
      <c r="L150" s="358"/>
      <c r="M150" s="358"/>
      <c r="N150" s="358"/>
      <c r="O150" s="358"/>
      <c r="P150" s="358"/>
      <c r="Q150" s="358"/>
      <c r="R150" s="358"/>
      <c r="S150" s="358"/>
      <c r="T150" s="358"/>
      <c r="U150" s="272">
        <f t="shared" si="2"/>
        <v>0</v>
      </c>
    </row>
    <row r="151" spans="1:21" hidden="1" x14ac:dyDescent="0.3">
      <c r="A151" s="356">
        <v>255</v>
      </c>
      <c r="B151" s="356" t="s">
        <v>563</v>
      </c>
      <c r="C151" s="357"/>
      <c r="D151" s="358"/>
      <c r="E151" s="358"/>
      <c r="F151" s="358"/>
      <c r="G151" s="359">
        <v>9100000.000171056</v>
      </c>
      <c r="H151" s="358"/>
      <c r="I151" s="358"/>
      <c r="J151" s="358"/>
      <c r="K151" s="358"/>
      <c r="L151" s="358"/>
      <c r="M151" s="358"/>
      <c r="N151" s="358"/>
      <c r="O151" s="358"/>
      <c r="P151" s="358"/>
      <c r="Q151" s="358"/>
      <c r="R151" s="358"/>
      <c r="S151" s="358"/>
      <c r="T151" s="358"/>
      <c r="U151" s="272">
        <f t="shared" si="2"/>
        <v>9100000.000171056</v>
      </c>
    </row>
    <row r="152" spans="1:21" hidden="1" x14ac:dyDescent="0.3">
      <c r="A152" s="356">
        <v>256</v>
      </c>
      <c r="B152" s="356" t="s">
        <v>565</v>
      </c>
      <c r="C152" s="357"/>
      <c r="D152" s="358"/>
      <c r="E152" s="358"/>
      <c r="F152" s="358"/>
      <c r="G152" s="358"/>
      <c r="H152" s="358"/>
      <c r="I152" s="358"/>
      <c r="J152" s="358"/>
      <c r="K152" s="358"/>
      <c r="L152" s="358"/>
      <c r="M152" s="358"/>
      <c r="N152" s="358"/>
      <c r="O152" s="358"/>
      <c r="P152" s="358"/>
      <c r="Q152" s="358"/>
      <c r="R152" s="358"/>
      <c r="S152" s="358"/>
      <c r="T152" s="358"/>
      <c r="U152" s="272">
        <f t="shared" si="2"/>
        <v>0</v>
      </c>
    </row>
    <row r="153" spans="1:21" hidden="1" x14ac:dyDescent="0.3">
      <c r="A153" s="356">
        <v>257</v>
      </c>
      <c r="B153" s="356" t="s">
        <v>567</v>
      </c>
      <c r="C153" s="357"/>
      <c r="D153" s="358"/>
      <c r="E153" s="358"/>
      <c r="F153" s="358"/>
      <c r="G153" s="358"/>
      <c r="H153" s="358"/>
      <c r="I153" s="358"/>
      <c r="J153" s="358"/>
      <c r="K153" s="358"/>
      <c r="L153" s="358"/>
      <c r="M153" s="358"/>
      <c r="N153" s="358"/>
      <c r="O153" s="358"/>
      <c r="P153" s="358"/>
      <c r="Q153" s="358"/>
      <c r="R153" s="358"/>
      <c r="S153" s="358"/>
      <c r="T153" s="358"/>
      <c r="U153" s="272">
        <f t="shared" si="2"/>
        <v>0</v>
      </c>
    </row>
    <row r="154" spans="1:21" hidden="1" x14ac:dyDescent="0.3">
      <c r="A154" s="356">
        <v>258</v>
      </c>
      <c r="B154" s="356" t="s">
        <v>568</v>
      </c>
      <c r="C154" s="357"/>
      <c r="D154" s="358"/>
      <c r="E154" s="358"/>
      <c r="F154" s="358"/>
      <c r="G154" s="358"/>
      <c r="H154" s="358"/>
      <c r="I154" s="358"/>
      <c r="J154" s="358"/>
      <c r="K154" s="358"/>
      <c r="L154" s="358"/>
      <c r="M154" s="358"/>
      <c r="N154" s="358"/>
      <c r="O154" s="358"/>
      <c r="P154" s="358"/>
      <c r="Q154" s="358"/>
      <c r="R154" s="358"/>
      <c r="S154" s="358"/>
      <c r="T154" s="358"/>
      <c r="U154" s="272">
        <f t="shared" si="2"/>
        <v>0</v>
      </c>
    </row>
    <row r="155" spans="1:21" hidden="1" x14ac:dyDescent="0.3">
      <c r="A155" s="356">
        <v>259</v>
      </c>
      <c r="B155" s="356" t="s">
        <v>569</v>
      </c>
      <c r="C155" s="357"/>
      <c r="D155" s="358"/>
      <c r="E155" s="358"/>
      <c r="F155" s="358"/>
      <c r="G155" s="358"/>
      <c r="H155" s="358"/>
      <c r="I155" s="358"/>
      <c r="J155" s="358"/>
      <c r="K155" s="358"/>
      <c r="L155" s="358"/>
      <c r="M155" s="358"/>
      <c r="N155" s="358"/>
      <c r="O155" s="358"/>
      <c r="P155" s="358"/>
      <c r="Q155" s="358"/>
      <c r="R155" s="358"/>
      <c r="S155" s="358"/>
      <c r="T155" s="358"/>
      <c r="U155" s="272">
        <f t="shared" si="2"/>
        <v>0</v>
      </c>
    </row>
    <row r="156" spans="1:21" hidden="1" x14ac:dyDescent="0.3">
      <c r="A156" s="356">
        <v>260</v>
      </c>
      <c r="B156" s="356" t="s">
        <v>570</v>
      </c>
      <c r="C156" s="357"/>
      <c r="D156" s="358"/>
      <c r="E156" s="358"/>
      <c r="F156" s="358"/>
      <c r="G156" s="358"/>
      <c r="H156" s="358"/>
      <c r="I156" s="358"/>
      <c r="J156" s="358"/>
      <c r="K156" s="358"/>
      <c r="L156" s="358"/>
      <c r="M156" s="358"/>
      <c r="N156" s="358"/>
      <c r="O156" s="358"/>
      <c r="P156" s="358"/>
      <c r="Q156" s="358"/>
      <c r="R156" s="358"/>
      <c r="S156" s="358"/>
      <c r="T156" s="358"/>
      <c r="U156" s="272">
        <f t="shared" si="2"/>
        <v>0</v>
      </c>
    </row>
    <row r="157" spans="1:21" hidden="1" x14ac:dyDescent="0.3">
      <c r="A157" s="356">
        <v>261</v>
      </c>
      <c r="B157" s="356" t="s">
        <v>571</v>
      </c>
      <c r="C157" s="357"/>
      <c r="D157" s="358"/>
      <c r="E157" s="358"/>
      <c r="F157" s="358"/>
      <c r="G157" s="358"/>
      <c r="H157" s="358"/>
      <c r="I157" s="358"/>
      <c r="J157" s="358"/>
      <c r="K157" s="358"/>
      <c r="L157" s="358"/>
      <c r="M157" s="358"/>
      <c r="N157" s="358"/>
      <c r="O157" s="358"/>
      <c r="P157" s="358"/>
      <c r="Q157" s="358"/>
      <c r="R157" s="358"/>
      <c r="S157" s="358"/>
      <c r="T157" s="358"/>
      <c r="U157" s="272">
        <f t="shared" si="2"/>
        <v>0</v>
      </c>
    </row>
    <row r="158" spans="1:21" hidden="1" x14ac:dyDescent="0.3">
      <c r="A158" s="356">
        <v>262</v>
      </c>
      <c r="B158" s="356" t="s">
        <v>572</v>
      </c>
      <c r="C158" s="357"/>
      <c r="D158" s="358"/>
      <c r="E158" s="358"/>
      <c r="F158" s="358"/>
      <c r="G158" s="358"/>
      <c r="H158" s="358"/>
      <c r="I158" s="358"/>
      <c r="J158" s="358"/>
      <c r="K158" s="358"/>
      <c r="L158" s="358"/>
      <c r="M158" s="358"/>
      <c r="N158" s="358"/>
      <c r="O158" s="358"/>
      <c r="P158" s="358"/>
      <c r="Q158" s="358"/>
      <c r="R158" s="358"/>
      <c r="S158" s="358"/>
      <c r="T158" s="358"/>
      <c r="U158" s="272">
        <f t="shared" si="2"/>
        <v>0</v>
      </c>
    </row>
    <row r="159" spans="1:21" hidden="1" x14ac:dyDescent="0.3">
      <c r="A159" s="356">
        <v>263</v>
      </c>
      <c r="B159" s="356" t="s">
        <v>573</v>
      </c>
      <c r="C159" s="357"/>
      <c r="D159" s="358"/>
      <c r="E159" s="358"/>
      <c r="F159" s="358"/>
      <c r="G159" s="358"/>
      <c r="H159" s="358"/>
      <c r="I159" s="358"/>
      <c r="J159" s="358"/>
      <c r="K159" s="358"/>
      <c r="L159" s="358"/>
      <c r="M159" s="358"/>
      <c r="N159" s="358"/>
      <c r="O159" s="358"/>
      <c r="P159" s="358"/>
      <c r="Q159" s="358"/>
      <c r="R159" s="358"/>
      <c r="S159" s="358"/>
      <c r="T159" s="358"/>
      <c r="U159" s="272">
        <f t="shared" si="2"/>
        <v>0</v>
      </c>
    </row>
    <row r="160" spans="1:21" hidden="1" x14ac:dyDescent="0.3">
      <c r="A160" s="356">
        <v>264</v>
      </c>
      <c r="B160" s="356" t="s">
        <v>574</v>
      </c>
      <c r="C160" s="357"/>
      <c r="D160" s="358"/>
      <c r="E160" s="358"/>
      <c r="F160" s="358"/>
      <c r="G160" s="358"/>
      <c r="H160" s="358"/>
      <c r="I160" s="358"/>
      <c r="J160" s="358"/>
      <c r="K160" s="358"/>
      <c r="L160" s="358"/>
      <c r="M160" s="358"/>
      <c r="N160" s="358"/>
      <c r="O160" s="358"/>
      <c r="P160" s="358"/>
      <c r="Q160" s="358"/>
      <c r="R160" s="358"/>
      <c r="S160" s="358"/>
      <c r="T160" s="358"/>
      <c r="U160" s="272">
        <f t="shared" si="2"/>
        <v>0</v>
      </c>
    </row>
    <row r="161" spans="1:21" hidden="1" x14ac:dyDescent="0.3">
      <c r="A161" s="356">
        <v>265</v>
      </c>
      <c r="B161" s="356" t="s">
        <v>575</v>
      </c>
      <c r="C161" s="357"/>
      <c r="D161" s="358"/>
      <c r="E161" s="358"/>
      <c r="F161" s="358"/>
      <c r="G161" s="358"/>
      <c r="H161" s="358"/>
      <c r="I161" s="358"/>
      <c r="J161" s="358"/>
      <c r="K161" s="358"/>
      <c r="L161" s="358"/>
      <c r="M161" s="358"/>
      <c r="N161" s="358"/>
      <c r="O161" s="358"/>
      <c r="P161" s="358"/>
      <c r="Q161" s="358"/>
      <c r="R161" s="358"/>
      <c r="S161" s="358"/>
      <c r="T161" s="358"/>
      <c r="U161" s="272">
        <f t="shared" si="2"/>
        <v>0</v>
      </c>
    </row>
    <row r="162" spans="1:21" hidden="1" x14ac:dyDescent="0.3">
      <c r="A162" s="356">
        <v>266</v>
      </c>
      <c r="B162" s="356" t="s">
        <v>576</v>
      </c>
      <c r="C162" s="357"/>
      <c r="D162" s="358"/>
      <c r="E162" s="358"/>
      <c r="F162" s="358"/>
      <c r="G162" s="358"/>
      <c r="H162" s="358"/>
      <c r="I162" s="358"/>
      <c r="J162" s="358"/>
      <c r="K162" s="358"/>
      <c r="L162" s="358"/>
      <c r="M162" s="358"/>
      <c r="N162" s="358"/>
      <c r="O162" s="358"/>
      <c r="P162" s="358"/>
      <c r="Q162" s="358"/>
      <c r="R162" s="358"/>
      <c r="S162" s="358"/>
      <c r="T162" s="358"/>
      <c r="U162" s="272">
        <f t="shared" si="2"/>
        <v>0</v>
      </c>
    </row>
    <row r="163" spans="1:21" hidden="1" x14ac:dyDescent="0.3">
      <c r="A163" s="356">
        <v>267</v>
      </c>
      <c r="B163" s="356" t="s">
        <v>577</v>
      </c>
      <c r="C163" s="357"/>
      <c r="D163" s="358"/>
      <c r="E163" s="358"/>
      <c r="F163" s="358"/>
      <c r="G163" s="358"/>
      <c r="H163" s="358"/>
      <c r="I163" s="358"/>
      <c r="J163" s="358"/>
      <c r="K163" s="358"/>
      <c r="L163" s="358"/>
      <c r="M163" s="358"/>
      <c r="N163" s="358"/>
      <c r="O163" s="358"/>
      <c r="P163" s="358"/>
      <c r="Q163" s="358"/>
      <c r="R163" s="358"/>
      <c r="S163" s="358"/>
      <c r="T163" s="358"/>
      <c r="U163" s="272">
        <f t="shared" si="2"/>
        <v>0</v>
      </c>
    </row>
    <row r="164" spans="1:21" hidden="1" x14ac:dyDescent="0.3">
      <c r="A164" s="356">
        <v>268</v>
      </c>
      <c r="B164" s="356" t="s">
        <v>578</v>
      </c>
      <c r="C164" s="357"/>
      <c r="D164" s="358"/>
      <c r="E164" s="358"/>
      <c r="F164" s="358"/>
      <c r="G164" s="358"/>
      <c r="H164" s="358"/>
      <c r="I164" s="358"/>
      <c r="J164" s="358"/>
      <c r="K164" s="358"/>
      <c r="L164" s="358"/>
      <c r="M164" s="358"/>
      <c r="N164" s="358"/>
      <c r="O164" s="358"/>
      <c r="P164" s="358"/>
      <c r="Q164" s="358"/>
      <c r="R164" s="358"/>
      <c r="S164" s="358"/>
      <c r="T164" s="358"/>
      <c r="U164" s="272">
        <f t="shared" si="2"/>
        <v>0</v>
      </c>
    </row>
    <row r="165" spans="1:21" hidden="1" x14ac:dyDescent="0.3">
      <c r="A165" s="356">
        <v>269</v>
      </c>
      <c r="B165" s="356" t="s">
        <v>580</v>
      </c>
      <c r="C165" s="357"/>
      <c r="D165" s="358"/>
      <c r="E165" s="358"/>
      <c r="F165" s="358"/>
      <c r="G165" s="358"/>
      <c r="H165" s="358"/>
      <c r="I165" s="358"/>
      <c r="J165" s="358"/>
      <c r="K165" s="358"/>
      <c r="L165" s="358"/>
      <c r="M165" s="358"/>
      <c r="N165" s="358"/>
      <c r="O165" s="358"/>
      <c r="P165" s="358"/>
      <c r="Q165" s="358"/>
      <c r="R165" s="358"/>
      <c r="S165" s="358"/>
      <c r="T165" s="358"/>
      <c r="U165" s="272">
        <f t="shared" si="2"/>
        <v>0</v>
      </c>
    </row>
    <row r="166" spans="1:21" hidden="1" x14ac:dyDescent="0.3">
      <c r="A166" s="356">
        <v>270</v>
      </c>
      <c r="B166" s="356" t="s">
        <v>582</v>
      </c>
      <c r="C166" s="357"/>
      <c r="D166" s="358"/>
      <c r="E166" s="358"/>
      <c r="F166" s="358"/>
      <c r="G166" s="358"/>
      <c r="H166" s="358"/>
      <c r="I166" s="358"/>
      <c r="J166" s="358"/>
      <c r="K166" s="358"/>
      <c r="L166" s="358"/>
      <c r="M166" s="358"/>
      <c r="N166" s="358"/>
      <c r="O166" s="358"/>
      <c r="P166" s="358"/>
      <c r="Q166" s="358"/>
      <c r="R166" s="358"/>
      <c r="S166" s="358"/>
      <c r="T166" s="358"/>
      <c r="U166" s="272">
        <f t="shared" si="2"/>
        <v>0</v>
      </c>
    </row>
    <row r="167" spans="1:21" hidden="1" x14ac:dyDescent="0.3">
      <c r="A167" s="356">
        <v>271</v>
      </c>
      <c r="B167" s="356" t="s">
        <v>583</v>
      </c>
      <c r="C167" s="357"/>
      <c r="D167" s="358"/>
      <c r="E167" s="358"/>
      <c r="F167" s="358"/>
      <c r="G167" s="358"/>
      <c r="H167" s="358"/>
      <c r="I167" s="358"/>
      <c r="J167" s="358"/>
      <c r="K167" s="358"/>
      <c r="L167" s="358"/>
      <c r="M167" s="358"/>
      <c r="N167" s="358"/>
      <c r="O167" s="358"/>
      <c r="P167" s="358"/>
      <c r="Q167" s="358"/>
      <c r="R167" s="358"/>
      <c r="S167" s="358"/>
      <c r="T167" s="358"/>
      <c r="U167" s="272">
        <f t="shared" si="2"/>
        <v>0</v>
      </c>
    </row>
    <row r="168" spans="1:21" hidden="1" x14ac:dyDescent="0.3">
      <c r="A168" s="356">
        <v>272</v>
      </c>
      <c r="B168" s="356" t="s">
        <v>585</v>
      </c>
      <c r="C168" s="357"/>
      <c r="D168" s="358"/>
      <c r="E168" s="358"/>
      <c r="F168" s="358"/>
      <c r="G168" s="358"/>
      <c r="H168" s="358"/>
      <c r="I168" s="358"/>
      <c r="J168" s="358"/>
      <c r="K168" s="358"/>
      <c r="L168" s="358"/>
      <c r="M168" s="358"/>
      <c r="N168" s="358"/>
      <c r="O168" s="358"/>
      <c r="P168" s="358"/>
      <c r="Q168" s="358"/>
      <c r="R168" s="358"/>
      <c r="S168" s="358"/>
      <c r="T168" s="358"/>
      <c r="U168" s="272">
        <f t="shared" si="2"/>
        <v>0</v>
      </c>
    </row>
    <row r="169" spans="1:21" hidden="1" x14ac:dyDescent="0.3">
      <c r="A169" s="356">
        <v>273</v>
      </c>
      <c r="B169" s="356" t="s">
        <v>587</v>
      </c>
      <c r="C169" s="357"/>
      <c r="D169" s="358"/>
      <c r="E169" s="358"/>
      <c r="F169" s="358"/>
      <c r="G169" s="358"/>
      <c r="H169" s="358">
        <v>5918355.9921259843</v>
      </c>
      <c r="I169" s="358"/>
      <c r="J169" s="358"/>
      <c r="K169" s="358"/>
      <c r="L169" s="358"/>
      <c r="M169" s="358"/>
      <c r="N169" s="358"/>
      <c r="O169" s="358"/>
      <c r="P169" s="358"/>
      <c r="Q169" s="358"/>
      <c r="R169" s="358"/>
      <c r="S169" s="358"/>
      <c r="T169" s="358"/>
      <c r="U169" s="272">
        <f t="shared" si="2"/>
        <v>5918355.9921259843</v>
      </c>
    </row>
    <row r="170" spans="1:21" hidden="1" x14ac:dyDescent="0.3">
      <c r="A170" s="356">
        <v>274</v>
      </c>
      <c r="B170" s="356" t="s">
        <v>589</v>
      </c>
      <c r="C170" s="357"/>
      <c r="D170" s="358"/>
      <c r="E170" s="358"/>
      <c r="F170" s="358"/>
      <c r="G170" s="358"/>
      <c r="H170" s="358"/>
      <c r="I170" s="358"/>
      <c r="J170" s="358"/>
      <c r="K170" s="358"/>
      <c r="L170" s="358"/>
      <c r="M170" s="358"/>
      <c r="N170" s="358"/>
      <c r="O170" s="358"/>
      <c r="P170" s="358"/>
      <c r="Q170" s="358"/>
      <c r="R170" s="358"/>
      <c r="S170" s="358"/>
      <c r="T170" s="358"/>
      <c r="U170" s="272">
        <f t="shared" si="2"/>
        <v>0</v>
      </c>
    </row>
    <row r="171" spans="1:21" hidden="1" x14ac:dyDescent="0.3">
      <c r="A171" s="356">
        <v>275</v>
      </c>
      <c r="B171" s="356" t="s">
        <v>591</v>
      </c>
      <c r="C171" s="357"/>
      <c r="D171" s="358"/>
      <c r="E171" s="358"/>
      <c r="F171" s="358"/>
      <c r="G171" s="358"/>
      <c r="H171" s="358"/>
      <c r="I171" s="358"/>
      <c r="J171" s="358"/>
      <c r="K171" s="358"/>
      <c r="L171" s="358"/>
      <c r="M171" s="358"/>
      <c r="N171" s="358"/>
      <c r="O171" s="358"/>
      <c r="P171" s="358"/>
      <c r="Q171" s="358"/>
      <c r="R171" s="358"/>
      <c r="S171" s="358"/>
      <c r="T171" s="358"/>
      <c r="U171" s="272">
        <f t="shared" si="2"/>
        <v>0</v>
      </c>
    </row>
    <row r="172" spans="1:21" hidden="1" x14ac:dyDescent="0.3">
      <c r="A172" s="356">
        <v>276</v>
      </c>
      <c r="B172" s="356" t="s">
        <v>593</v>
      </c>
      <c r="C172" s="357"/>
      <c r="D172" s="358"/>
      <c r="E172" s="358"/>
      <c r="F172" s="358"/>
      <c r="G172" s="358"/>
      <c r="H172" s="358"/>
      <c r="I172" s="358"/>
      <c r="J172" s="358"/>
      <c r="K172" s="358"/>
      <c r="L172" s="358"/>
      <c r="M172" s="358"/>
      <c r="N172" s="358"/>
      <c r="O172" s="358"/>
      <c r="P172" s="358"/>
      <c r="Q172" s="358"/>
      <c r="R172" s="358"/>
      <c r="S172" s="358"/>
      <c r="T172" s="358"/>
      <c r="U172" s="272">
        <f t="shared" si="2"/>
        <v>0</v>
      </c>
    </row>
    <row r="173" spans="1:21" hidden="1" x14ac:dyDescent="0.3">
      <c r="A173" s="356">
        <v>277</v>
      </c>
      <c r="B173" s="356" t="s">
        <v>595</v>
      </c>
      <c r="C173" s="357"/>
      <c r="D173" s="358"/>
      <c r="E173" s="358"/>
      <c r="F173" s="358"/>
      <c r="G173" s="358"/>
      <c r="H173" s="358"/>
      <c r="I173" s="358"/>
      <c r="J173" s="358"/>
      <c r="K173" s="358"/>
      <c r="L173" s="358"/>
      <c r="M173" s="358"/>
      <c r="N173" s="358"/>
      <c r="O173" s="358"/>
      <c r="P173" s="358"/>
      <c r="Q173" s="358"/>
      <c r="R173" s="358"/>
      <c r="S173" s="358"/>
      <c r="T173" s="358"/>
      <c r="U173" s="272">
        <f t="shared" si="2"/>
        <v>0</v>
      </c>
    </row>
    <row r="174" spans="1:21" hidden="1" x14ac:dyDescent="0.3">
      <c r="A174" s="356">
        <v>278</v>
      </c>
      <c r="B174" s="356" t="s">
        <v>596</v>
      </c>
      <c r="C174" s="357"/>
      <c r="D174" s="358"/>
      <c r="E174" s="358"/>
      <c r="F174" s="358"/>
      <c r="G174" s="358"/>
      <c r="H174" s="358"/>
      <c r="I174" s="358"/>
      <c r="J174" s="358"/>
      <c r="K174" s="358"/>
      <c r="L174" s="358"/>
      <c r="M174" s="358"/>
      <c r="N174" s="358"/>
      <c r="O174" s="358"/>
      <c r="P174" s="358"/>
      <c r="Q174" s="358"/>
      <c r="R174" s="358"/>
      <c r="S174" s="358"/>
      <c r="T174" s="358"/>
      <c r="U174" s="272">
        <f t="shared" si="2"/>
        <v>0</v>
      </c>
    </row>
    <row r="175" spans="1:21" hidden="1" x14ac:dyDescent="0.3">
      <c r="A175" s="356">
        <v>279</v>
      </c>
      <c r="B175" s="356" t="s">
        <v>598</v>
      </c>
      <c r="C175" s="357"/>
      <c r="D175" s="358"/>
      <c r="E175" s="358"/>
      <c r="F175" s="358"/>
      <c r="G175" s="358"/>
      <c r="H175" s="358"/>
      <c r="I175" s="358"/>
      <c r="J175" s="358"/>
      <c r="K175" s="358"/>
      <c r="L175" s="358"/>
      <c r="M175" s="358"/>
      <c r="N175" s="358"/>
      <c r="O175" s="358"/>
      <c r="P175" s="358"/>
      <c r="Q175" s="358"/>
      <c r="R175" s="358"/>
      <c r="S175" s="358"/>
      <c r="T175" s="358"/>
      <c r="U175" s="272">
        <f t="shared" si="2"/>
        <v>0</v>
      </c>
    </row>
    <row r="176" spans="1:21" hidden="1" x14ac:dyDescent="0.3">
      <c r="A176" s="356">
        <v>280</v>
      </c>
      <c r="B176" s="356" t="s">
        <v>599</v>
      </c>
      <c r="C176" s="357"/>
      <c r="D176" s="358"/>
      <c r="E176" s="358"/>
      <c r="F176" s="358"/>
      <c r="G176" s="358"/>
      <c r="H176" s="358"/>
      <c r="I176" s="358"/>
      <c r="J176" s="358"/>
      <c r="K176" s="358"/>
      <c r="L176" s="358"/>
      <c r="M176" s="358"/>
      <c r="N176" s="358"/>
      <c r="O176" s="358"/>
      <c r="P176" s="358"/>
      <c r="Q176" s="358"/>
      <c r="R176" s="358"/>
      <c r="S176" s="358"/>
      <c r="T176" s="358"/>
      <c r="U176" s="272">
        <f t="shared" si="2"/>
        <v>0</v>
      </c>
    </row>
    <row r="177" spans="1:21" hidden="1" x14ac:dyDescent="0.3">
      <c r="A177" s="356">
        <v>281</v>
      </c>
      <c r="B177" s="356" t="s">
        <v>601</v>
      </c>
      <c r="C177" s="357"/>
      <c r="D177" s="358"/>
      <c r="E177" s="358"/>
      <c r="F177" s="358"/>
      <c r="G177" s="358"/>
      <c r="H177" s="358"/>
      <c r="I177" s="358"/>
      <c r="J177" s="358"/>
      <c r="K177" s="358"/>
      <c r="L177" s="358"/>
      <c r="M177" s="358"/>
      <c r="N177" s="358"/>
      <c r="O177" s="358"/>
      <c r="P177" s="358"/>
      <c r="Q177" s="358"/>
      <c r="R177" s="358"/>
      <c r="S177" s="358"/>
      <c r="T177" s="358"/>
      <c r="U177" s="272">
        <f t="shared" si="2"/>
        <v>0</v>
      </c>
    </row>
    <row r="178" spans="1:21" hidden="1" x14ac:dyDescent="0.3">
      <c r="A178" s="356">
        <v>282</v>
      </c>
      <c r="B178" s="356" t="s">
        <v>603</v>
      </c>
      <c r="C178" s="357"/>
      <c r="D178" s="358"/>
      <c r="E178" s="358"/>
      <c r="F178" s="358"/>
      <c r="G178" s="358"/>
      <c r="H178" s="358"/>
      <c r="I178" s="358"/>
      <c r="J178" s="358"/>
      <c r="K178" s="358"/>
      <c r="L178" s="358"/>
      <c r="M178" s="358"/>
      <c r="N178" s="358"/>
      <c r="O178" s="358"/>
      <c r="P178" s="358"/>
      <c r="Q178" s="358"/>
      <c r="R178" s="358"/>
      <c r="S178" s="358"/>
      <c r="T178" s="358"/>
      <c r="U178" s="272">
        <f t="shared" si="2"/>
        <v>0</v>
      </c>
    </row>
    <row r="179" spans="1:21" hidden="1" x14ac:dyDescent="0.3">
      <c r="A179" s="356">
        <v>283</v>
      </c>
      <c r="B179" s="356" t="s">
        <v>605</v>
      </c>
      <c r="C179" s="357"/>
      <c r="D179" s="358"/>
      <c r="E179" s="358"/>
      <c r="F179" s="358"/>
      <c r="G179" s="358"/>
      <c r="H179" s="358"/>
      <c r="I179" s="358"/>
      <c r="J179" s="358"/>
      <c r="K179" s="358"/>
      <c r="L179" s="358"/>
      <c r="M179" s="358"/>
      <c r="N179" s="358"/>
      <c r="O179" s="358"/>
      <c r="P179" s="358"/>
      <c r="Q179" s="358"/>
      <c r="R179" s="358"/>
      <c r="S179" s="358"/>
      <c r="T179" s="358"/>
      <c r="U179" s="272">
        <f t="shared" si="2"/>
        <v>0</v>
      </c>
    </row>
    <row r="180" spans="1:21" hidden="1" x14ac:dyDescent="0.3">
      <c r="A180" s="356">
        <v>284</v>
      </c>
      <c r="B180" s="356" t="s">
        <v>607</v>
      </c>
      <c r="C180" s="357"/>
      <c r="D180" s="358"/>
      <c r="E180" s="358"/>
      <c r="F180" s="358"/>
      <c r="G180" s="358"/>
      <c r="H180" s="358"/>
      <c r="I180" s="358"/>
      <c r="J180" s="358"/>
      <c r="K180" s="358"/>
      <c r="L180" s="358"/>
      <c r="M180" s="358"/>
      <c r="N180" s="358"/>
      <c r="O180" s="358"/>
      <c r="P180" s="358"/>
      <c r="Q180" s="358"/>
      <c r="R180" s="358"/>
      <c r="S180" s="358"/>
      <c r="T180" s="358"/>
      <c r="U180" s="272">
        <f t="shared" si="2"/>
        <v>0</v>
      </c>
    </row>
    <row r="181" spans="1:21" hidden="1" x14ac:dyDescent="0.3">
      <c r="A181" s="356">
        <v>285</v>
      </c>
      <c r="B181" s="356" t="s">
        <v>609</v>
      </c>
      <c r="C181" s="357">
        <v>-3280173.6338925189</v>
      </c>
      <c r="D181" s="358">
        <v>-1997337.8992820641</v>
      </c>
      <c r="E181" s="358">
        <v>0</v>
      </c>
      <c r="F181" s="358">
        <v>0</v>
      </c>
      <c r="G181" s="358">
        <v>0</v>
      </c>
      <c r="H181" s="358">
        <v>-5346256.67</v>
      </c>
      <c r="I181" s="358"/>
      <c r="J181" s="358">
        <v>10623768.300000001</v>
      </c>
      <c r="K181" s="358"/>
      <c r="L181" s="358"/>
      <c r="M181" s="358"/>
      <c r="N181" s="358"/>
      <c r="O181" s="358"/>
      <c r="P181" s="358"/>
      <c r="Q181" s="358"/>
      <c r="R181" s="358"/>
      <c r="S181" s="358"/>
      <c r="T181" s="358"/>
      <c r="U181" s="272">
        <f t="shared" si="2"/>
        <v>9.6825417131185532E-2</v>
      </c>
    </row>
    <row r="182" spans="1:21" hidden="1" x14ac:dyDescent="0.3">
      <c r="A182" s="356">
        <v>286</v>
      </c>
      <c r="B182" s="356" t="s">
        <v>611</v>
      </c>
      <c r="C182" s="357">
        <v>2566005.0074060736</v>
      </c>
      <c r="D182" s="358">
        <v>6395085.5761154369</v>
      </c>
      <c r="E182" s="358">
        <v>0</v>
      </c>
      <c r="F182" s="358"/>
      <c r="G182" s="359">
        <v>-8961090.5835215114</v>
      </c>
      <c r="H182" s="358"/>
      <c r="I182" s="358"/>
      <c r="J182" s="358"/>
      <c r="K182" s="358"/>
      <c r="L182" s="358"/>
      <c r="M182" s="358"/>
      <c r="N182" s="358"/>
      <c r="O182" s="358"/>
      <c r="P182" s="358"/>
      <c r="Q182" s="358"/>
      <c r="R182" s="358"/>
      <c r="S182" s="358"/>
      <c r="T182" s="358"/>
      <c r="U182" s="272">
        <f t="shared" si="2"/>
        <v>0</v>
      </c>
    </row>
    <row r="183" spans="1:21" hidden="1" x14ac:dyDescent="0.3">
      <c r="A183" s="356">
        <v>287</v>
      </c>
      <c r="B183" s="356" t="s">
        <v>3022</v>
      </c>
      <c r="C183" s="357">
        <v>0</v>
      </c>
      <c r="D183" s="358">
        <v>0</v>
      </c>
      <c r="E183" s="358">
        <v>0</v>
      </c>
      <c r="F183" s="358"/>
      <c r="G183" s="358"/>
      <c r="H183" s="358"/>
      <c r="I183" s="358"/>
      <c r="J183" s="358"/>
      <c r="K183" s="358"/>
      <c r="L183" s="358"/>
      <c r="M183" s="358"/>
      <c r="N183" s="358"/>
      <c r="O183" s="358"/>
      <c r="P183" s="358"/>
      <c r="Q183" s="358"/>
      <c r="R183" s="358"/>
      <c r="S183" s="358"/>
      <c r="T183" s="358">
        <v>0</v>
      </c>
      <c r="U183" s="272">
        <f t="shared" si="2"/>
        <v>0</v>
      </c>
    </row>
    <row r="184" spans="1:21" x14ac:dyDescent="0.3">
      <c r="A184" s="356">
        <v>288</v>
      </c>
      <c r="B184" s="356" t="s">
        <v>132</v>
      </c>
      <c r="C184" s="357">
        <v>-10105356.964938616</v>
      </c>
      <c r="D184" s="357">
        <v>-15582630.277867531</v>
      </c>
      <c r="E184" s="357">
        <v>0</v>
      </c>
      <c r="F184" s="357"/>
      <c r="G184" s="357"/>
      <c r="H184" s="357">
        <v>25687987.242806148</v>
      </c>
      <c r="I184" s="358"/>
      <c r="J184" s="358"/>
      <c r="K184" s="358"/>
      <c r="L184" s="358"/>
      <c r="M184" s="358"/>
      <c r="N184" s="358"/>
      <c r="O184" s="358"/>
      <c r="P184" s="358"/>
      <c r="Q184" s="358"/>
      <c r="R184" s="358"/>
      <c r="S184" s="358"/>
      <c r="T184" s="358"/>
      <c r="U184" s="272">
        <f t="shared" si="2"/>
        <v>0</v>
      </c>
    </row>
    <row r="185" spans="1:21" hidden="1" x14ac:dyDescent="0.3">
      <c r="A185" s="356">
        <v>290</v>
      </c>
      <c r="B185" s="356" t="s">
        <v>616</v>
      </c>
      <c r="C185" s="357">
        <v>2088565.2628099173</v>
      </c>
      <c r="D185" s="357">
        <v>3220602.7371900827</v>
      </c>
      <c r="E185" s="357">
        <v>0</v>
      </c>
      <c r="F185" s="357"/>
      <c r="G185" s="357"/>
      <c r="H185" s="357"/>
      <c r="I185" s="358">
        <v>-5309168</v>
      </c>
      <c r="J185" s="358"/>
      <c r="K185" s="358"/>
      <c r="L185" s="358"/>
      <c r="M185" s="358"/>
      <c r="N185" s="358"/>
      <c r="O185" s="358"/>
      <c r="P185" s="358"/>
      <c r="Q185" s="358"/>
      <c r="R185" s="358"/>
      <c r="S185" s="358"/>
      <c r="T185" s="358"/>
      <c r="U185" s="272">
        <f t="shared" si="2"/>
        <v>0</v>
      </c>
    </row>
    <row r="186" spans="1:21" hidden="1" x14ac:dyDescent="0.3">
      <c r="A186" s="356">
        <v>291</v>
      </c>
      <c r="B186" s="356" t="s">
        <v>618</v>
      </c>
      <c r="C186" s="357">
        <v>0</v>
      </c>
      <c r="D186" s="357">
        <v>0</v>
      </c>
      <c r="E186" s="357">
        <v>0</v>
      </c>
      <c r="F186" s="357"/>
      <c r="G186" s="357"/>
      <c r="H186" s="357"/>
      <c r="I186" s="358"/>
      <c r="J186" s="358"/>
      <c r="K186" s="358"/>
      <c r="L186" s="358"/>
      <c r="M186" s="358"/>
      <c r="N186" s="358"/>
      <c r="O186" s="358"/>
      <c r="P186" s="358"/>
      <c r="Q186" s="358"/>
      <c r="R186" s="358"/>
      <c r="S186" s="358"/>
      <c r="T186" s="358"/>
      <c r="U186" s="272">
        <f t="shared" si="2"/>
        <v>0</v>
      </c>
    </row>
    <row r="187" spans="1:21" hidden="1" x14ac:dyDescent="0.3">
      <c r="A187" s="356">
        <v>292</v>
      </c>
      <c r="B187" s="356" t="s">
        <v>620</v>
      </c>
      <c r="C187" s="357"/>
      <c r="D187" s="357"/>
      <c r="E187" s="357"/>
      <c r="F187" s="357"/>
      <c r="G187" s="357"/>
      <c r="H187" s="357"/>
      <c r="I187" s="358"/>
      <c r="J187" s="358"/>
      <c r="K187" s="358"/>
      <c r="L187" s="358"/>
      <c r="M187" s="358"/>
      <c r="N187" s="358"/>
      <c r="O187" s="358"/>
      <c r="P187" s="358"/>
      <c r="Q187" s="358"/>
      <c r="R187" s="358"/>
      <c r="S187" s="358"/>
      <c r="T187" s="358"/>
      <c r="U187" s="272">
        <f t="shared" si="2"/>
        <v>0</v>
      </c>
    </row>
    <row r="188" spans="1:21" hidden="1" x14ac:dyDescent="0.3">
      <c r="A188" s="356">
        <v>293</v>
      </c>
      <c r="B188" s="356" t="s">
        <v>622</v>
      </c>
      <c r="C188" s="357">
        <v>0</v>
      </c>
      <c r="D188" s="357">
        <v>0</v>
      </c>
      <c r="E188" s="357">
        <v>0</v>
      </c>
      <c r="F188" s="357"/>
      <c r="G188" s="357"/>
      <c r="H188" s="357"/>
      <c r="I188" s="358"/>
      <c r="J188" s="358"/>
      <c r="K188" s="358"/>
      <c r="L188" s="358"/>
      <c r="M188" s="358"/>
      <c r="N188" s="358"/>
      <c r="O188" s="358"/>
      <c r="P188" s="358"/>
      <c r="Q188" s="358"/>
      <c r="R188" s="358"/>
      <c r="S188" s="358"/>
      <c r="T188" s="358"/>
      <c r="U188" s="272">
        <f t="shared" si="2"/>
        <v>0</v>
      </c>
    </row>
    <row r="189" spans="1:21" hidden="1" x14ac:dyDescent="0.3">
      <c r="A189" s="356">
        <v>294</v>
      </c>
      <c r="B189" s="356" t="s">
        <v>624</v>
      </c>
      <c r="C189" s="357"/>
      <c r="D189" s="357"/>
      <c r="E189" s="357"/>
      <c r="F189" s="357"/>
      <c r="G189" s="360">
        <v>-138909.41664954461</v>
      </c>
      <c r="H189" s="357"/>
      <c r="I189" s="358"/>
      <c r="J189" s="358"/>
      <c r="K189" s="358"/>
      <c r="L189" s="358"/>
      <c r="M189" s="358"/>
      <c r="N189" s="358"/>
      <c r="O189" s="358">
        <v>138909.41664954461</v>
      </c>
      <c r="P189" s="358"/>
      <c r="Q189" s="358"/>
      <c r="R189" s="358">
        <v>0</v>
      </c>
      <c r="S189" s="358"/>
      <c r="T189" s="358"/>
      <c r="U189" s="272">
        <f t="shared" si="2"/>
        <v>0</v>
      </c>
    </row>
    <row r="190" spans="1:21" hidden="1" x14ac:dyDescent="0.3">
      <c r="A190" s="356">
        <v>297</v>
      </c>
      <c r="B190" s="356" t="s">
        <v>629</v>
      </c>
      <c r="C190" s="357">
        <v>-258961.07635993569</v>
      </c>
      <c r="D190" s="357">
        <v>-157684.57099595241</v>
      </c>
      <c r="E190" s="357">
        <v>0</v>
      </c>
      <c r="F190" s="357">
        <v>838718.54999999993</v>
      </c>
      <c r="G190" s="357">
        <v>0</v>
      </c>
      <c r="H190" s="357">
        <v>-422072.89499999996</v>
      </c>
      <c r="I190" s="358"/>
      <c r="J190" s="358"/>
      <c r="K190" s="358"/>
      <c r="L190" s="358"/>
      <c r="M190" s="358"/>
      <c r="N190" s="358"/>
      <c r="O190" s="358"/>
      <c r="P190" s="358"/>
      <c r="Q190" s="358"/>
      <c r="R190" s="358"/>
      <c r="S190" s="358"/>
      <c r="T190" s="358"/>
      <c r="U190" s="272">
        <f t="shared" si="2"/>
        <v>7.6441118726506829E-3</v>
      </c>
    </row>
    <row r="191" spans="1:21" hidden="1" x14ac:dyDescent="0.3">
      <c r="A191" s="356">
        <v>298</v>
      </c>
      <c r="B191" s="356" t="s">
        <v>631</v>
      </c>
      <c r="C191" s="357">
        <v>-86320.358786645229</v>
      </c>
      <c r="D191" s="357">
        <v>-52561.523665317472</v>
      </c>
      <c r="E191" s="357">
        <v>0</v>
      </c>
      <c r="F191" s="357">
        <v>0</v>
      </c>
      <c r="G191" s="357">
        <v>0</v>
      </c>
      <c r="H191" s="357">
        <v>-140690.965</v>
      </c>
      <c r="I191" s="358">
        <v>0</v>
      </c>
      <c r="J191" s="358">
        <v>0</v>
      </c>
      <c r="K191" s="358">
        <v>0</v>
      </c>
      <c r="L191" s="358">
        <v>279572.84999999998</v>
      </c>
      <c r="M191" s="358"/>
      <c r="N191" s="358"/>
      <c r="O191" s="358"/>
      <c r="P191" s="358"/>
      <c r="Q191" s="358"/>
      <c r="R191" s="358"/>
      <c r="S191" s="358"/>
      <c r="T191" s="358"/>
      <c r="U191" s="272">
        <f t="shared" si="2"/>
        <v>2.5480372714810073E-3</v>
      </c>
    </row>
    <row r="192" spans="1:21" hidden="1" x14ac:dyDescent="0.3">
      <c r="A192" s="356">
        <v>299</v>
      </c>
      <c r="B192" s="356" t="s">
        <v>633</v>
      </c>
      <c r="C192" s="357">
        <v>-3280173.6338925189</v>
      </c>
      <c r="D192" s="357">
        <v>-1997337.8992820641</v>
      </c>
      <c r="E192" s="357">
        <v>27506684.003174581</v>
      </c>
      <c r="F192" s="357"/>
      <c r="G192" s="357"/>
      <c r="H192" s="357">
        <v>-22229172.469999999</v>
      </c>
      <c r="I192" s="358"/>
      <c r="J192" s="358"/>
      <c r="K192" s="358"/>
      <c r="L192" s="358"/>
      <c r="M192" s="358"/>
      <c r="N192" s="358"/>
      <c r="O192" s="358"/>
      <c r="P192" s="358"/>
      <c r="Q192" s="358"/>
      <c r="R192" s="358"/>
      <c r="S192" s="358"/>
      <c r="T192" s="358"/>
      <c r="U192" s="272">
        <f t="shared" si="2"/>
        <v>0</v>
      </c>
    </row>
    <row r="193" spans="1:21" hidden="1" x14ac:dyDescent="0.3">
      <c r="A193" s="356">
        <v>300</v>
      </c>
      <c r="B193" s="356" t="s">
        <v>635</v>
      </c>
      <c r="C193" s="357">
        <v>0</v>
      </c>
      <c r="D193" s="357">
        <v>27382364.700839356</v>
      </c>
      <c r="E193" s="357">
        <v>-27382365.150839355</v>
      </c>
      <c r="F193" s="357">
        <v>0.45000000006984919</v>
      </c>
      <c r="G193" s="357"/>
      <c r="H193" s="357">
        <v>0</v>
      </c>
      <c r="I193" s="358"/>
      <c r="J193" s="358"/>
      <c r="K193" s="358"/>
      <c r="L193" s="358"/>
      <c r="M193" s="358"/>
      <c r="N193" s="358"/>
      <c r="O193" s="358"/>
      <c r="P193" s="358"/>
      <c r="Q193" s="358"/>
      <c r="R193" s="358"/>
      <c r="S193" s="358"/>
      <c r="T193" s="358"/>
      <c r="U193" s="272">
        <f t="shared" si="2"/>
        <v>8.149072527885437E-10</v>
      </c>
    </row>
    <row r="194" spans="1:21" hidden="1" x14ac:dyDescent="0.3">
      <c r="A194" s="356">
        <v>301</v>
      </c>
      <c r="B194" s="356" t="s">
        <v>637</v>
      </c>
      <c r="C194" s="357">
        <v>14698066.749922974</v>
      </c>
      <c r="D194" s="357">
        <v>4117219.1569480593</v>
      </c>
      <c r="E194" s="357">
        <v>0</v>
      </c>
      <c r="F194" s="357"/>
      <c r="G194" s="360"/>
      <c r="H194" s="357"/>
      <c r="I194" s="358"/>
      <c r="J194" s="358"/>
      <c r="K194" s="358"/>
      <c r="L194" s="358"/>
      <c r="M194" s="358"/>
      <c r="N194" s="358"/>
      <c r="O194" s="358">
        <v>-18348552.708645355</v>
      </c>
      <c r="P194" s="358"/>
      <c r="Q194" s="358"/>
      <c r="R194" s="358">
        <v>-466733.1982256826</v>
      </c>
      <c r="S194" s="358"/>
      <c r="T194" s="358"/>
      <c r="U194" s="272">
        <f t="shared" si="2"/>
        <v>-5.5879354476928711E-9</v>
      </c>
    </row>
    <row r="195" spans="1:21" hidden="1" x14ac:dyDescent="0.3">
      <c r="A195" s="356">
        <v>320</v>
      </c>
      <c r="B195" s="356" t="s">
        <v>675</v>
      </c>
      <c r="C195" s="357">
        <v>313639.87420462712</v>
      </c>
      <c r="D195" s="357">
        <v>454360.12579537288</v>
      </c>
      <c r="E195" s="357">
        <v>0</v>
      </c>
      <c r="F195" s="357"/>
      <c r="G195" s="360">
        <v>105166091.74698077</v>
      </c>
      <c r="H195" s="357"/>
      <c r="I195" s="358"/>
      <c r="J195" s="358"/>
      <c r="K195" s="358"/>
      <c r="L195" s="358"/>
      <c r="M195" s="358"/>
      <c r="N195" s="358"/>
      <c r="O195" s="358"/>
      <c r="P195" s="358"/>
      <c r="Q195" s="358"/>
      <c r="R195" s="358"/>
      <c r="S195" s="358"/>
      <c r="T195" s="358"/>
      <c r="U195" s="272">
        <f t="shared" si="2"/>
        <v>105934091.74698077</v>
      </c>
    </row>
    <row r="196" spans="1:21" hidden="1" x14ac:dyDescent="0.3">
      <c r="A196" s="356">
        <v>322</v>
      </c>
      <c r="B196" s="356" t="s">
        <v>679</v>
      </c>
      <c r="C196" s="357">
        <v>9072242.6722960062</v>
      </c>
      <c r="D196" s="357">
        <v>15006757.327703994</v>
      </c>
      <c r="E196" s="357">
        <v>0</v>
      </c>
      <c r="F196" s="357">
        <v>0</v>
      </c>
      <c r="G196" s="360"/>
      <c r="H196" s="357"/>
      <c r="I196" s="358"/>
      <c r="J196" s="358"/>
      <c r="K196" s="358"/>
      <c r="L196" s="358"/>
      <c r="M196" s="358"/>
      <c r="N196" s="358"/>
      <c r="O196" s="358"/>
      <c r="P196" s="358"/>
      <c r="Q196" s="358"/>
      <c r="R196" s="358"/>
      <c r="S196" s="358"/>
      <c r="T196" s="358"/>
      <c r="U196" s="272">
        <f t="shared" si="2"/>
        <v>24079000</v>
      </c>
    </row>
    <row r="197" spans="1:21" hidden="1" x14ac:dyDescent="0.3">
      <c r="A197" s="356">
        <v>327</v>
      </c>
      <c r="B197" s="356" t="s">
        <v>689</v>
      </c>
      <c r="C197" s="357">
        <v>0</v>
      </c>
      <c r="D197" s="357">
        <v>0</v>
      </c>
      <c r="E197" s="357">
        <v>0</v>
      </c>
      <c r="F197" s="357"/>
      <c r="G197" s="357">
        <v>0</v>
      </c>
      <c r="H197" s="357"/>
      <c r="I197" s="358"/>
      <c r="J197" s="358"/>
      <c r="K197" s="358"/>
      <c r="L197" s="358"/>
      <c r="M197" s="358"/>
      <c r="N197" s="358"/>
      <c r="O197" s="358"/>
      <c r="P197" s="358"/>
      <c r="Q197" s="358"/>
      <c r="R197" s="358"/>
      <c r="S197" s="358"/>
      <c r="T197" s="358"/>
      <c r="U197" s="272">
        <f t="shared" si="2"/>
        <v>0</v>
      </c>
    </row>
    <row r="198" spans="1:21" hidden="1" x14ac:dyDescent="0.3">
      <c r="A198" s="356">
        <v>332</v>
      </c>
      <c r="B198" s="356" t="s">
        <v>698</v>
      </c>
      <c r="C198" s="357">
        <v>-27820008.582193818</v>
      </c>
      <c r="D198" s="357">
        <v>-41036272.808670446</v>
      </c>
      <c r="E198" s="357">
        <v>0</v>
      </c>
      <c r="F198" s="357">
        <v>0</v>
      </c>
      <c r="G198" s="357">
        <v>0</v>
      </c>
      <c r="H198" s="357">
        <v>0</v>
      </c>
      <c r="I198" s="358"/>
      <c r="J198" s="358">
        <v>68856281.306689546</v>
      </c>
      <c r="K198" s="358"/>
      <c r="L198" s="358"/>
      <c r="M198" s="358"/>
      <c r="N198" s="358"/>
      <c r="O198" s="358"/>
      <c r="P198" s="358"/>
      <c r="Q198" s="358"/>
      <c r="R198" s="358"/>
      <c r="S198" s="358"/>
      <c r="T198" s="358"/>
      <c r="U198" s="272">
        <f t="shared" si="2"/>
        <v>-8.417472243309021E-2</v>
      </c>
    </row>
    <row r="199" spans="1:21" hidden="1" x14ac:dyDescent="0.3">
      <c r="A199" s="356">
        <v>333</v>
      </c>
      <c r="B199" s="356" t="s">
        <v>700</v>
      </c>
      <c r="C199" s="357">
        <v>59218963.893546388</v>
      </c>
      <c r="D199" s="357">
        <v>58813041.330586895</v>
      </c>
      <c r="E199" s="357">
        <v>0</v>
      </c>
      <c r="F199" s="357"/>
      <c r="G199" s="360">
        <v>-103010412.66260937</v>
      </c>
      <c r="H199" s="357"/>
      <c r="I199" s="358"/>
      <c r="J199" s="358"/>
      <c r="K199" s="358"/>
      <c r="L199" s="358"/>
      <c r="M199" s="358"/>
      <c r="N199" s="358"/>
      <c r="O199" s="358"/>
      <c r="P199" s="358"/>
      <c r="Q199" s="358"/>
      <c r="R199" s="358"/>
      <c r="S199" s="358"/>
      <c r="T199" s="358"/>
      <c r="U199" s="272">
        <f t="shared" si="2"/>
        <v>15021592.561523914</v>
      </c>
    </row>
    <row r="200" spans="1:21" hidden="1" x14ac:dyDescent="0.3">
      <c r="A200" s="356">
        <v>334</v>
      </c>
      <c r="B200" s="356" t="s">
        <v>3021</v>
      </c>
      <c r="C200" s="357">
        <v>-10711788.637058344</v>
      </c>
      <c r="D200" s="357">
        <v>-15517828.034365002</v>
      </c>
      <c r="E200" s="357">
        <v>0</v>
      </c>
      <c r="F200" s="357"/>
      <c r="G200" s="357"/>
      <c r="H200" s="357"/>
      <c r="I200" s="358"/>
      <c r="J200" s="358"/>
      <c r="K200" s="358"/>
      <c r="L200" s="358"/>
      <c r="M200" s="358"/>
      <c r="N200" s="358"/>
      <c r="O200" s="358"/>
      <c r="P200" s="358"/>
      <c r="Q200" s="358"/>
      <c r="R200" s="358"/>
      <c r="S200" s="358"/>
      <c r="T200" s="358">
        <v>26229616.671423346</v>
      </c>
      <c r="U200" s="272">
        <f t="shared" ref="U200:U229" si="3">SUM(C200:T200)</f>
        <v>0</v>
      </c>
    </row>
    <row r="201" spans="1:21" hidden="1" x14ac:dyDescent="0.3">
      <c r="A201" s="356">
        <v>335</v>
      </c>
      <c r="B201" s="356" t="s">
        <v>702</v>
      </c>
      <c r="C201" s="357">
        <v>-6520160.9235145459</v>
      </c>
      <c r="D201" s="357">
        <v>-8091475.1442481671</v>
      </c>
      <c r="E201" s="357">
        <v>0</v>
      </c>
      <c r="F201" s="357"/>
      <c r="G201" s="357"/>
      <c r="H201" s="357">
        <v>-341923.93223728728</v>
      </c>
      <c r="I201" s="358"/>
      <c r="J201" s="358"/>
      <c r="K201" s="358">
        <v>14953560</v>
      </c>
      <c r="L201" s="358"/>
      <c r="M201" s="358"/>
      <c r="N201" s="358"/>
      <c r="O201" s="358"/>
      <c r="P201" s="358"/>
      <c r="Q201" s="358"/>
      <c r="R201" s="358"/>
      <c r="S201" s="358"/>
      <c r="T201" s="358"/>
      <c r="U201" s="272">
        <f t="shared" si="3"/>
        <v>0</v>
      </c>
    </row>
    <row r="202" spans="1:21" hidden="1" x14ac:dyDescent="0.3">
      <c r="A202" s="356">
        <v>336</v>
      </c>
      <c r="B202" s="356" t="s">
        <v>704</v>
      </c>
      <c r="C202" s="357">
        <v>545169.48760330584</v>
      </c>
      <c r="D202" s="357">
        <v>840660.51239669416</v>
      </c>
      <c r="E202" s="357">
        <v>0</v>
      </c>
      <c r="F202" s="357"/>
      <c r="G202" s="357"/>
      <c r="H202" s="357"/>
      <c r="I202" s="358">
        <v>-1385830</v>
      </c>
      <c r="J202" s="358"/>
      <c r="K202" s="358"/>
      <c r="L202" s="358"/>
      <c r="M202" s="358"/>
      <c r="N202" s="358"/>
      <c r="O202" s="358"/>
      <c r="P202" s="358"/>
      <c r="Q202" s="358"/>
      <c r="R202" s="358"/>
      <c r="S202" s="358"/>
      <c r="T202" s="358"/>
      <c r="U202" s="272">
        <f t="shared" si="3"/>
        <v>0</v>
      </c>
    </row>
    <row r="203" spans="1:21" hidden="1" x14ac:dyDescent="0.3">
      <c r="A203" s="356">
        <v>337</v>
      </c>
      <c r="B203" s="356" t="s">
        <v>706</v>
      </c>
      <c r="C203" s="357">
        <v>0</v>
      </c>
      <c r="D203" s="357">
        <v>0</v>
      </c>
      <c r="E203" s="357">
        <v>0</v>
      </c>
      <c r="F203" s="357"/>
      <c r="G203" s="357"/>
      <c r="H203" s="357"/>
      <c r="I203" s="358"/>
      <c r="J203" s="358"/>
      <c r="K203" s="358"/>
      <c r="L203" s="358"/>
      <c r="M203" s="358"/>
      <c r="N203" s="358"/>
      <c r="O203" s="358"/>
      <c r="P203" s="358"/>
      <c r="Q203" s="358"/>
      <c r="R203" s="358"/>
      <c r="S203" s="358"/>
      <c r="T203" s="358"/>
      <c r="U203" s="272">
        <f t="shared" si="3"/>
        <v>0</v>
      </c>
    </row>
    <row r="204" spans="1:21" hidden="1" x14ac:dyDescent="0.3">
      <c r="A204" s="356">
        <v>340</v>
      </c>
      <c r="B204" s="356" t="s">
        <v>710</v>
      </c>
      <c r="C204" s="357">
        <v>0</v>
      </c>
      <c r="D204" s="357">
        <v>0</v>
      </c>
      <c r="E204" s="357">
        <v>0</v>
      </c>
      <c r="F204" s="357"/>
      <c r="G204" s="357"/>
      <c r="H204" s="357"/>
      <c r="I204" s="358"/>
      <c r="J204" s="358"/>
      <c r="K204" s="358"/>
      <c r="L204" s="358"/>
      <c r="M204" s="358"/>
      <c r="N204" s="358"/>
      <c r="O204" s="358"/>
      <c r="P204" s="358"/>
      <c r="Q204" s="358"/>
      <c r="R204" s="358"/>
      <c r="S204" s="358"/>
      <c r="T204" s="358"/>
      <c r="U204" s="272">
        <f t="shared" si="3"/>
        <v>0</v>
      </c>
    </row>
    <row r="205" spans="1:21" hidden="1" x14ac:dyDescent="0.3">
      <c r="A205" s="356">
        <v>341</v>
      </c>
      <c r="B205" s="356" t="s">
        <v>712</v>
      </c>
      <c r="C205" s="357">
        <v>-2196316.4670153013</v>
      </c>
      <c r="D205" s="357">
        <v>-3239705.7480529295</v>
      </c>
      <c r="E205" s="357">
        <v>0</v>
      </c>
      <c r="F205" s="357">
        <v>5436022.2084228592</v>
      </c>
      <c r="G205" s="357">
        <v>0</v>
      </c>
      <c r="H205" s="357">
        <v>0</v>
      </c>
      <c r="I205" s="358"/>
      <c r="J205" s="358"/>
      <c r="K205" s="358"/>
      <c r="L205" s="358"/>
      <c r="M205" s="358"/>
      <c r="N205" s="358"/>
      <c r="O205" s="358"/>
      <c r="P205" s="358"/>
      <c r="Q205" s="358"/>
      <c r="R205" s="358"/>
      <c r="S205" s="358"/>
      <c r="T205" s="358"/>
      <c r="U205" s="272">
        <f t="shared" si="3"/>
        <v>-6.6453712061047554E-3</v>
      </c>
    </row>
    <row r="206" spans="1:21" hidden="1" x14ac:dyDescent="0.3">
      <c r="A206" s="356">
        <v>342</v>
      </c>
      <c r="B206" s="356" t="s">
        <v>714</v>
      </c>
      <c r="C206" s="357">
        <v>-732105.48900510045</v>
      </c>
      <c r="D206" s="357">
        <v>-1079901.9160176432</v>
      </c>
      <c r="E206" s="357">
        <v>0</v>
      </c>
      <c r="F206" s="357">
        <v>0</v>
      </c>
      <c r="G206" s="357">
        <v>0</v>
      </c>
      <c r="H206" s="357">
        <v>0</v>
      </c>
      <c r="I206" s="358">
        <v>0</v>
      </c>
      <c r="J206" s="358">
        <v>0</v>
      </c>
      <c r="K206" s="358">
        <v>0</v>
      </c>
      <c r="L206" s="358">
        <v>1812007.4028076194</v>
      </c>
      <c r="M206" s="358"/>
      <c r="N206" s="358"/>
      <c r="O206" s="358"/>
      <c r="P206" s="358"/>
      <c r="Q206" s="358"/>
      <c r="R206" s="358"/>
      <c r="S206" s="358"/>
      <c r="T206" s="358"/>
      <c r="U206" s="272">
        <f t="shared" si="3"/>
        <v>-2.2151242010295391E-3</v>
      </c>
    </row>
    <row r="207" spans="1:21" hidden="1" x14ac:dyDescent="0.3">
      <c r="A207" s="356">
        <v>343</v>
      </c>
      <c r="B207" s="356" t="s">
        <v>716</v>
      </c>
      <c r="C207" s="357"/>
      <c r="D207" s="357"/>
      <c r="E207" s="357"/>
      <c r="F207" s="357"/>
      <c r="G207" s="360">
        <v>-2155679.0843714089</v>
      </c>
      <c r="H207" s="357"/>
      <c r="I207" s="358"/>
      <c r="J207" s="358"/>
      <c r="K207" s="358"/>
      <c r="L207" s="358"/>
      <c r="M207" s="358"/>
      <c r="N207" s="358"/>
      <c r="O207" s="358"/>
      <c r="P207" s="358">
        <v>2155679.0843714089</v>
      </c>
      <c r="Q207" s="358">
        <v>0</v>
      </c>
      <c r="R207" s="358"/>
      <c r="S207" s="358"/>
      <c r="T207" s="358"/>
      <c r="U207" s="272">
        <f t="shared" si="3"/>
        <v>0</v>
      </c>
    </row>
    <row r="208" spans="1:21" hidden="1" x14ac:dyDescent="0.3">
      <c r="A208" s="356">
        <v>344</v>
      </c>
      <c r="B208" s="356" t="s">
        <v>718</v>
      </c>
      <c r="C208" s="357">
        <v>-37152751.73886241</v>
      </c>
      <c r="D208" s="357">
        <v>-56112242.52328895</v>
      </c>
      <c r="E208" s="357">
        <v>68514357.458626986</v>
      </c>
      <c r="F208" s="357"/>
      <c r="G208" s="357"/>
      <c r="H208" s="357">
        <v>341923.93223728728</v>
      </c>
      <c r="I208" s="358"/>
      <c r="J208" s="358"/>
      <c r="K208" s="358"/>
      <c r="L208" s="358"/>
      <c r="M208" s="358"/>
      <c r="N208" s="358"/>
      <c r="O208" s="358"/>
      <c r="P208" s="358"/>
      <c r="Q208" s="358"/>
      <c r="R208" s="358"/>
      <c r="S208" s="358">
        <v>24408712.8712871</v>
      </c>
      <c r="T208" s="358"/>
      <c r="U208" s="272">
        <f t="shared" si="3"/>
        <v>0</v>
      </c>
    </row>
    <row r="209" spans="1:21" hidden="1" x14ac:dyDescent="0.3">
      <c r="A209" s="356">
        <v>345</v>
      </c>
      <c r="B209" s="356" t="s">
        <v>720</v>
      </c>
      <c r="C209" s="357">
        <v>40294981.400237098</v>
      </c>
      <c r="D209" s="357">
        <v>24848721.156612575</v>
      </c>
      <c r="E209" s="357">
        <v>-65143702.556849673</v>
      </c>
      <c r="F209" s="357">
        <v>0</v>
      </c>
      <c r="G209" s="357"/>
      <c r="H209" s="357">
        <v>0</v>
      </c>
      <c r="I209" s="358"/>
      <c r="J209" s="358"/>
      <c r="K209" s="358"/>
      <c r="L209" s="358"/>
      <c r="M209" s="358"/>
      <c r="N209" s="358"/>
      <c r="O209" s="358"/>
      <c r="P209" s="358"/>
      <c r="Q209" s="358"/>
      <c r="R209" s="358"/>
      <c r="S209" s="358"/>
      <c r="T209" s="358"/>
      <c r="U209" s="272">
        <f t="shared" si="3"/>
        <v>0</v>
      </c>
    </row>
    <row r="210" spans="1:21" hidden="1" x14ac:dyDescent="0.3">
      <c r="A210" s="356">
        <v>346</v>
      </c>
      <c r="B210" s="356" t="s">
        <v>722</v>
      </c>
      <c r="C210" s="357">
        <v>-5416856.2142797764</v>
      </c>
      <c r="D210" s="357">
        <v>-8750306.1922981013</v>
      </c>
      <c r="E210" s="357">
        <v>0</v>
      </c>
      <c r="F210" s="357"/>
      <c r="G210" s="357"/>
      <c r="H210" s="357"/>
      <c r="I210" s="358"/>
      <c r="J210" s="358"/>
      <c r="K210" s="358"/>
      <c r="L210" s="358"/>
      <c r="M210" s="358"/>
      <c r="N210" s="358">
        <v>14167162.406577878</v>
      </c>
      <c r="O210" s="358"/>
      <c r="P210" s="358"/>
      <c r="Q210" s="358"/>
      <c r="R210" s="358"/>
      <c r="S210" s="358"/>
      <c r="T210" s="358"/>
      <c r="U210" s="272">
        <f t="shared" si="3"/>
        <v>0</v>
      </c>
    </row>
    <row r="211" spans="1:21" hidden="1" x14ac:dyDescent="0.3">
      <c r="A211" s="356">
        <v>349</v>
      </c>
      <c r="B211" s="356" t="s">
        <v>726</v>
      </c>
      <c r="C211" s="357">
        <v>77816251.36097306</v>
      </c>
      <c r="D211" s="357">
        <v>141706224.41944236</v>
      </c>
      <c r="E211" s="357">
        <v>0</v>
      </c>
      <c r="F211" s="357"/>
      <c r="G211" s="357"/>
      <c r="H211" s="357"/>
      <c r="I211" s="358"/>
      <c r="J211" s="358"/>
      <c r="K211" s="358"/>
      <c r="L211" s="358"/>
      <c r="M211" s="358"/>
      <c r="N211" s="358"/>
      <c r="O211" s="358"/>
      <c r="P211" s="358">
        <v>-219522475.78041548</v>
      </c>
      <c r="Q211" s="358">
        <v>0</v>
      </c>
      <c r="R211" s="358"/>
      <c r="S211" s="358"/>
      <c r="T211" s="358"/>
      <c r="U211" s="272">
        <f t="shared" si="3"/>
        <v>-5.9604644775390625E-8</v>
      </c>
    </row>
    <row r="212" spans="1:21" x14ac:dyDescent="0.3">
      <c r="A212" s="356">
        <v>350</v>
      </c>
      <c r="B212" s="356" t="s">
        <v>133</v>
      </c>
      <c r="C212" s="357">
        <v>-20359040.996142603</v>
      </c>
      <c r="D212" s="357">
        <v>-31393983.384808131</v>
      </c>
      <c r="E212" s="357">
        <v>0</v>
      </c>
      <c r="F212" s="357"/>
      <c r="G212" s="357"/>
      <c r="H212" s="357">
        <v>51753024.380950734</v>
      </c>
      <c r="I212" s="358"/>
      <c r="J212" s="358"/>
      <c r="K212" s="358"/>
      <c r="L212" s="358"/>
      <c r="M212" s="358"/>
      <c r="N212" s="358"/>
      <c r="O212" s="358"/>
      <c r="P212" s="358"/>
      <c r="Q212" s="358"/>
      <c r="R212" s="358"/>
      <c r="S212" s="358"/>
      <c r="T212" s="358"/>
      <c r="U212" s="272">
        <f t="shared" si="3"/>
        <v>0</v>
      </c>
    </row>
    <row r="213" spans="1:21" hidden="1" x14ac:dyDescent="0.3">
      <c r="A213" s="356" t="s">
        <v>134</v>
      </c>
      <c r="B213" s="356" t="s">
        <v>3036</v>
      </c>
      <c r="C213" s="357">
        <v>280628911.38330388</v>
      </c>
      <c r="D213" s="358">
        <v>364782595.47620296</v>
      </c>
      <c r="E213" s="358">
        <v>150673625.5802398</v>
      </c>
      <c r="F213" s="358">
        <v>67088511.933691427</v>
      </c>
      <c r="G213" s="358">
        <v>0</v>
      </c>
      <c r="H213" s="358">
        <v>346357803.79720294</v>
      </c>
      <c r="I213" s="358">
        <v>-13389996</v>
      </c>
      <c r="J213" s="358">
        <v>158960099.21337909</v>
      </c>
      <c r="K213" s="358">
        <v>29907120</v>
      </c>
      <c r="L213" s="358">
        <v>4183160.505615239</v>
      </c>
      <c r="M213" s="358">
        <v>0</v>
      </c>
      <c r="N213" s="358">
        <v>28334324.813155755</v>
      </c>
      <c r="O213" s="358">
        <v>-18209643.291995808</v>
      </c>
      <c r="P213" s="358">
        <v>-217366796.69604406</v>
      </c>
      <c r="Q213" s="358">
        <v>0</v>
      </c>
      <c r="R213" s="358">
        <v>-466733.1982256826</v>
      </c>
      <c r="S213" s="358">
        <v>48817425.7425742</v>
      </c>
      <c r="T213" s="358">
        <v>52459233.342846692</v>
      </c>
      <c r="U213" s="272">
        <f t="shared" si="3"/>
        <v>1282759642.6019464</v>
      </c>
    </row>
    <row r="214" spans="1:21" hidden="1" x14ac:dyDescent="0.3">
      <c r="A214" s="356"/>
      <c r="B214" s="356" t="s">
        <v>2713</v>
      </c>
      <c r="C214" s="357"/>
      <c r="D214" s="358"/>
      <c r="E214" s="358"/>
      <c r="F214" s="358"/>
      <c r="G214" s="358"/>
      <c r="H214" s="358"/>
      <c r="I214" s="358"/>
      <c r="J214" s="358"/>
      <c r="K214" s="358"/>
      <c r="L214" s="358"/>
      <c r="M214" s="358"/>
      <c r="N214" s="358"/>
      <c r="O214" s="358"/>
      <c r="P214" s="358"/>
      <c r="Q214" s="358"/>
      <c r="R214" s="358"/>
      <c r="S214" s="358"/>
      <c r="T214" s="358"/>
      <c r="U214" s="272">
        <f t="shared" si="3"/>
        <v>0</v>
      </c>
    </row>
    <row r="215" spans="1:21" hidden="1" x14ac:dyDescent="0.3">
      <c r="A215" s="356"/>
      <c r="B215" s="356" t="s">
        <v>2712</v>
      </c>
      <c r="C215" s="357"/>
      <c r="D215" s="358"/>
      <c r="E215" s="358"/>
      <c r="F215" s="358"/>
      <c r="G215" s="358"/>
      <c r="H215" s="358">
        <v>77441011.234401464</v>
      </c>
      <c r="I215" s="358"/>
      <c r="J215" s="358"/>
      <c r="K215" s="358"/>
      <c r="L215" s="358"/>
      <c r="M215" s="358"/>
      <c r="N215" s="358"/>
      <c r="O215" s="358"/>
      <c r="P215" s="358"/>
      <c r="Q215" s="358"/>
      <c r="R215" s="358"/>
      <c r="S215" s="358"/>
      <c r="T215" s="358"/>
      <c r="U215" s="272">
        <f t="shared" si="3"/>
        <v>77441011.234401464</v>
      </c>
    </row>
    <row r="216" spans="1:21" hidden="1" x14ac:dyDescent="0.3">
      <c r="A216" s="356"/>
      <c r="B216" s="356" t="s">
        <v>2710</v>
      </c>
      <c r="C216" s="357">
        <v>0</v>
      </c>
      <c r="D216" s="358">
        <v>0</v>
      </c>
      <c r="E216" s="358">
        <v>0</v>
      </c>
      <c r="F216" s="358"/>
      <c r="G216" s="358"/>
      <c r="H216" s="358"/>
      <c r="I216" s="358"/>
      <c r="J216" s="358"/>
      <c r="K216" s="358"/>
      <c r="L216" s="358"/>
      <c r="M216" s="358"/>
      <c r="N216" s="358"/>
      <c r="O216" s="358"/>
      <c r="P216" s="358"/>
      <c r="Q216" s="358"/>
      <c r="R216" s="358"/>
      <c r="S216" s="358"/>
      <c r="T216" s="358"/>
      <c r="U216" s="272">
        <f t="shared" si="3"/>
        <v>0</v>
      </c>
    </row>
    <row r="217" spans="1:21" hidden="1" x14ac:dyDescent="0.3">
      <c r="A217" s="356"/>
      <c r="B217" s="356" t="s">
        <v>2</v>
      </c>
      <c r="C217" s="357">
        <v>11077459</v>
      </c>
      <c r="D217" s="358">
        <v>4658327</v>
      </c>
      <c r="E217" s="358">
        <v>38702559</v>
      </c>
      <c r="F217" s="358">
        <v>20994774</v>
      </c>
      <c r="G217" s="358">
        <v>5527376</v>
      </c>
      <c r="H217" s="358">
        <v>-6595454</v>
      </c>
      <c r="I217" s="358"/>
      <c r="J217" s="358"/>
      <c r="K217" s="358"/>
      <c r="L217" s="358">
        <v>0</v>
      </c>
      <c r="M217" s="358"/>
      <c r="N217" s="358"/>
      <c r="O217" s="358"/>
      <c r="P217" s="358"/>
      <c r="Q217" s="358"/>
      <c r="R217" s="358"/>
      <c r="S217" s="358"/>
      <c r="T217" s="358"/>
      <c r="U217" s="272">
        <f t="shared" si="3"/>
        <v>74365041</v>
      </c>
    </row>
    <row r="218" spans="1:21" hidden="1" x14ac:dyDescent="0.3">
      <c r="A218" s="356"/>
      <c r="B218" s="356" t="s">
        <v>2753</v>
      </c>
      <c r="C218" s="357">
        <v>959299</v>
      </c>
      <c r="D218" s="358">
        <v>30449753</v>
      </c>
      <c r="E218" s="358">
        <v>-36153757.190780878</v>
      </c>
      <c r="F218" s="358"/>
      <c r="G218" s="358">
        <v>-5527376</v>
      </c>
      <c r="H218" s="358">
        <v>10272081.190780882</v>
      </c>
      <c r="I218" s="358"/>
      <c r="J218" s="358"/>
      <c r="K218" s="358"/>
      <c r="L218" s="358"/>
      <c r="M218" s="358"/>
      <c r="N218" s="358"/>
      <c r="O218" s="358"/>
      <c r="P218" s="358"/>
      <c r="Q218" s="358"/>
      <c r="R218" s="358"/>
      <c r="S218" s="358"/>
      <c r="T218" s="358"/>
      <c r="U218" s="272">
        <f t="shared" si="3"/>
        <v>0</v>
      </c>
    </row>
    <row r="219" spans="1:21" hidden="1" x14ac:dyDescent="0.3">
      <c r="A219" s="356"/>
      <c r="B219" s="356" t="s">
        <v>2910</v>
      </c>
      <c r="C219" s="357"/>
      <c r="D219" s="358"/>
      <c r="E219" s="358"/>
      <c r="F219" s="358"/>
      <c r="G219" s="358"/>
      <c r="H219" s="358"/>
      <c r="I219" s="358"/>
      <c r="J219" s="358"/>
      <c r="K219" s="358"/>
      <c r="L219" s="358"/>
      <c r="M219" s="358"/>
      <c r="N219" s="358"/>
      <c r="O219" s="358"/>
      <c r="P219" s="358"/>
      <c r="Q219" s="358"/>
      <c r="R219" s="358"/>
      <c r="S219" s="358"/>
      <c r="T219" s="358"/>
      <c r="U219" s="272">
        <f t="shared" si="3"/>
        <v>0</v>
      </c>
    </row>
    <row r="220" spans="1:21" hidden="1" x14ac:dyDescent="0.3">
      <c r="A220" s="356"/>
      <c r="B220" s="356" t="s">
        <v>2761</v>
      </c>
      <c r="C220" s="357">
        <v>0</v>
      </c>
      <c r="D220" s="358">
        <v>0</v>
      </c>
      <c r="E220" s="358">
        <v>0</v>
      </c>
      <c r="F220" s="358">
        <v>0</v>
      </c>
      <c r="G220" s="358">
        <v>0</v>
      </c>
      <c r="H220" s="358">
        <v>0</v>
      </c>
      <c r="I220" s="358">
        <v>0</v>
      </c>
      <c r="J220" s="358">
        <v>0</v>
      </c>
      <c r="K220" s="358">
        <v>0</v>
      </c>
      <c r="L220" s="358">
        <v>0</v>
      </c>
      <c r="M220" s="358">
        <v>0</v>
      </c>
      <c r="N220" s="358">
        <v>0</v>
      </c>
      <c r="O220" s="358">
        <v>0</v>
      </c>
      <c r="P220" s="358">
        <v>0</v>
      </c>
      <c r="Q220" s="358">
        <v>0</v>
      </c>
      <c r="R220" s="358">
        <v>0</v>
      </c>
      <c r="S220" s="358"/>
      <c r="T220" s="358"/>
      <c r="U220" s="272">
        <f t="shared" si="3"/>
        <v>0</v>
      </c>
    </row>
    <row r="221" spans="1:21" hidden="1" x14ac:dyDescent="0.3">
      <c r="A221" s="356"/>
      <c r="B221" s="356" t="s">
        <v>2707</v>
      </c>
      <c r="C221" s="357">
        <v>79456200.487829655</v>
      </c>
      <c r="D221" s="358">
        <v>127527433.0873538</v>
      </c>
      <c r="E221" s="358">
        <v>254819084.4446238</v>
      </c>
      <c r="F221" s="358">
        <v>29321610.175268576</v>
      </c>
      <c r="G221" s="358">
        <v>-5527376</v>
      </c>
      <c r="H221" s="358">
        <v>202839169.72083342</v>
      </c>
      <c r="I221" s="358">
        <v>-6694998</v>
      </c>
      <c r="J221" s="358">
        <v>79480049.606689543</v>
      </c>
      <c r="K221" s="358">
        <v>0</v>
      </c>
      <c r="L221" s="358">
        <v>2091580.2528076195</v>
      </c>
      <c r="M221" s="358">
        <v>0</v>
      </c>
      <c r="N221" s="358">
        <v>0</v>
      </c>
      <c r="O221" s="358">
        <v>0</v>
      </c>
      <c r="P221" s="358">
        <v>0</v>
      </c>
      <c r="Q221" s="358">
        <v>0</v>
      </c>
      <c r="R221" s="358">
        <v>0</v>
      </c>
      <c r="S221" s="358"/>
      <c r="T221" s="358"/>
      <c r="U221" s="272">
        <f t="shared" si="3"/>
        <v>763312753.77540648</v>
      </c>
    </row>
    <row r="222" spans="1:21" hidden="1" x14ac:dyDescent="0.3">
      <c r="A222" s="356"/>
      <c r="B222" s="356" t="s">
        <v>2708</v>
      </c>
      <c r="C222" s="357"/>
      <c r="D222" s="358"/>
      <c r="E222" s="358"/>
      <c r="F222" s="358"/>
      <c r="G222" s="358"/>
      <c r="H222" s="358"/>
      <c r="I222" s="358"/>
      <c r="J222" s="358"/>
      <c r="K222" s="358"/>
      <c r="L222" s="358"/>
      <c r="M222" s="358"/>
      <c r="N222" s="358"/>
      <c r="O222" s="358"/>
      <c r="P222" s="358"/>
      <c r="Q222" s="358"/>
      <c r="R222" s="358"/>
      <c r="S222" s="358"/>
      <c r="T222" s="358"/>
      <c r="U222" s="272">
        <f t="shared" si="3"/>
        <v>0</v>
      </c>
    </row>
    <row r="223" spans="1:21" hidden="1" x14ac:dyDescent="0.3">
      <c r="A223" s="356"/>
      <c r="B223" s="356" t="s">
        <v>2757</v>
      </c>
      <c r="C223" s="357"/>
      <c r="D223" s="358"/>
      <c r="E223" s="358"/>
      <c r="F223" s="358"/>
      <c r="G223" s="358"/>
      <c r="H223" s="358">
        <v>3676627.1907808813</v>
      </c>
      <c r="I223" s="358"/>
      <c r="J223" s="358"/>
      <c r="K223" s="358"/>
      <c r="L223" s="358"/>
      <c r="M223" s="358"/>
      <c r="N223" s="358"/>
      <c r="O223" s="358"/>
      <c r="P223" s="358"/>
      <c r="Q223" s="358"/>
      <c r="R223" s="358"/>
      <c r="S223" s="358"/>
      <c r="T223" s="358"/>
      <c r="U223" s="272">
        <f t="shared" si="3"/>
        <v>3676627.1907808813</v>
      </c>
    </row>
    <row r="224" spans="1:21" hidden="1" x14ac:dyDescent="0.3">
      <c r="A224" s="356"/>
      <c r="B224" s="356" t="s">
        <v>2857</v>
      </c>
      <c r="C224" s="357">
        <v>308000</v>
      </c>
      <c r="D224" s="358">
        <v>0</v>
      </c>
      <c r="E224" s="358">
        <v>0</v>
      </c>
      <c r="F224" s="358"/>
      <c r="G224" s="358"/>
      <c r="H224" s="358"/>
      <c r="I224" s="358"/>
      <c r="J224" s="358"/>
      <c r="K224" s="358"/>
      <c r="L224" s="358"/>
      <c r="M224" s="358"/>
      <c r="N224" s="358"/>
      <c r="O224" s="358"/>
      <c r="P224" s="358"/>
      <c r="Q224" s="358"/>
      <c r="R224" s="358"/>
      <c r="S224" s="358"/>
      <c r="T224" s="358"/>
      <c r="U224" s="272">
        <f t="shared" si="3"/>
        <v>308000</v>
      </c>
    </row>
    <row r="225" spans="1:21" hidden="1" x14ac:dyDescent="0.3">
      <c r="A225" s="356"/>
      <c r="B225" s="356" t="s">
        <v>134</v>
      </c>
      <c r="C225" s="357">
        <v>503419031.67318797</v>
      </c>
      <c r="D225" s="358">
        <v>564066450.54162371</v>
      </c>
      <c r="E225" s="358">
        <v>674074525.92254746</v>
      </c>
      <c r="F225" s="358">
        <v>95936432.082114279</v>
      </c>
      <c r="G225" s="358">
        <v>11054752</v>
      </c>
      <c r="H225" s="358">
        <v>633725993.5499953</v>
      </c>
      <c r="I225" s="358">
        <v>-66949980</v>
      </c>
      <c r="J225" s="358">
        <v>788800450.89351642</v>
      </c>
      <c r="K225" s="358">
        <v>149535600</v>
      </c>
      <c r="L225" s="358">
        <v>20757906.602460954</v>
      </c>
      <c r="M225" s="358">
        <v>0</v>
      </c>
      <c r="N225" s="358">
        <v>141671624.06577882</v>
      </c>
      <c r="O225" s="358">
        <v>-91048216.459979042</v>
      </c>
      <c r="P225" s="358">
        <v>-1086833983.4802203</v>
      </c>
      <c r="Q225" s="358">
        <v>0</v>
      </c>
      <c r="R225" s="358">
        <v>-2333665.991128413</v>
      </c>
      <c r="S225" s="358">
        <v>244087128.71287104</v>
      </c>
      <c r="T225" s="358">
        <v>183607316.69996342</v>
      </c>
      <c r="U225" s="272">
        <f t="shared" si="3"/>
        <v>2763571366.8127317</v>
      </c>
    </row>
    <row r="226" spans="1:21" hidden="1" x14ac:dyDescent="0.3">
      <c r="A226" s="356"/>
      <c r="B226" s="356" t="s">
        <v>3065</v>
      </c>
      <c r="C226" s="357">
        <v>959299</v>
      </c>
      <c r="D226" s="358"/>
      <c r="E226" s="358"/>
      <c r="F226" s="358"/>
      <c r="G226" s="358">
        <v>-959299</v>
      </c>
      <c r="H226" s="358"/>
      <c r="I226" s="358"/>
      <c r="J226" s="358"/>
      <c r="K226" s="358"/>
      <c r="L226" s="358"/>
      <c r="M226" s="358"/>
      <c r="N226" s="358"/>
      <c r="O226" s="358"/>
      <c r="P226" s="358"/>
      <c r="Q226" s="358"/>
      <c r="R226" s="358"/>
      <c r="S226" s="358"/>
      <c r="T226" s="358"/>
      <c r="U226" s="272">
        <f t="shared" si="3"/>
        <v>0</v>
      </c>
    </row>
    <row r="227" spans="1:21" hidden="1" x14ac:dyDescent="0.3">
      <c r="A227" s="356"/>
      <c r="B227" s="356" t="s">
        <v>3066</v>
      </c>
      <c r="C227" s="357"/>
      <c r="D227" s="358">
        <v>30449753</v>
      </c>
      <c r="E227" s="358">
        <v>-30449753</v>
      </c>
      <c r="F227" s="358"/>
      <c r="G227" s="358"/>
      <c r="H227" s="358"/>
      <c r="I227" s="358"/>
      <c r="J227" s="358"/>
      <c r="K227" s="358"/>
      <c r="L227" s="358"/>
      <c r="M227" s="358"/>
      <c r="N227" s="358"/>
      <c r="O227" s="358"/>
      <c r="P227" s="358"/>
      <c r="Q227" s="358"/>
      <c r="R227" s="358"/>
      <c r="S227" s="358"/>
      <c r="T227" s="358"/>
      <c r="U227" s="272">
        <f t="shared" si="3"/>
        <v>0</v>
      </c>
    </row>
    <row r="228" spans="1:21" hidden="1" x14ac:dyDescent="0.3">
      <c r="A228" s="356"/>
      <c r="B228" s="356" t="s">
        <v>3067</v>
      </c>
      <c r="C228" s="357"/>
      <c r="D228" s="358"/>
      <c r="E228" s="358">
        <v>4568077</v>
      </c>
      <c r="F228" s="358"/>
      <c r="G228" s="358">
        <v>-4568077</v>
      </c>
      <c r="H228" s="358"/>
      <c r="I228" s="358"/>
      <c r="J228" s="358"/>
      <c r="K228" s="358"/>
      <c r="L228" s="358"/>
      <c r="M228" s="358"/>
      <c r="N228" s="358"/>
      <c r="O228" s="358"/>
      <c r="P228" s="358"/>
      <c r="Q228" s="358"/>
      <c r="R228" s="358"/>
      <c r="S228" s="358"/>
      <c r="T228" s="358"/>
      <c r="U228" s="272">
        <f t="shared" si="3"/>
        <v>0</v>
      </c>
    </row>
    <row r="229" spans="1:21" hidden="1" x14ac:dyDescent="0.3">
      <c r="A229" s="356"/>
      <c r="B229" s="356" t="s">
        <v>3274</v>
      </c>
      <c r="C229" s="357"/>
      <c r="D229" s="358"/>
      <c r="E229" s="358">
        <v>-6595454</v>
      </c>
      <c r="F229" s="358"/>
      <c r="G229" s="358"/>
      <c r="H229" s="358">
        <v>6595454</v>
      </c>
      <c r="I229" s="358"/>
      <c r="J229" s="358"/>
      <c r="K229" s="358"/>
      <c r="L229" s="358"/>
      <c r="M229" s="358"/>
      <c r="N229" s="358"/>
      <c r="O229" s="358"/>
      <c r="P229" s="358"/>
      <c r="Q229" s="358"/>
      <c r="R229" s="358"/>
      <c r="S229" s="358"/>
      <c r="T229" s="358"/>
      <c r="U229" s="273">
        <f t="shared" si="3"/>
        <v>0</v>
      </c>
    </row>
    <row r="230" spans="1:21" hidden="1" x14ac:dyDescent="0.3">
      <c r="A230" s="356">
        <v>158</v>
      </c>
      <c r="B230" s="356" t="s">
        <v>400</v>
      </c>
      <c r="C230" s="357"/>
      <c r="D230" s="358"/>
      <c r="E230" s="358"/>
      <c r="F230" s="358"/>
      <c r="G230" s="358"/>
      <c r="H230" s="358"/>
      <c r="I230" s="358"/>
      <c r="J230" s="358"/>
      <c r="K230" s="358"/>
      <c r="L230" s="358"/>
      <c r="M230" s="358"/>
      <c r="N230" s="358"/>
      <c r="O230" s="358"/>
      <c r="P230" s="358"/>
      <c r="Q230" s="358"/>
      <c r="R230" s="358"/>
      <c r="S230" s="358"/>
      <c r="T230" s="358"/>
    </row>
    <row r="231" spans="1:21" hidden="1" x14ac:dyDescent="0.3">
      <c r="A231" s="356">
        <v>203</v>
      </c>
      <c r="B231" s="356" t="s">
        <v>476</v>
      </c>
      <c r="C231" s="357"/>
      <c r="D231" s="358"/>
      <c r="E231" s="358"/>
      <c r="F231" s="358"/>
      <c r="G231" s="358"/>
      <c r="H231" s="358"/>
      <c r="I231" s="358"/>
      <c r="J231" s="358"/>
      <c r="K231" s="358"/>
      <c r="L231" s="358"/>
      <c r="M231" s="358"/>
      <c r="N231" s="358"/>
      <c r="O231" s="358"/>
      <c r="P231" s="358"/>
      <c r="Q231" s="358"/>
      <c r="R231" s="358"/>
      <c r="S231" s="358"/>
      <c r="T231" s="358"/>
    </row>
    <row r="232" spans="1:21" hidden="1" x14ac:dyDescent="0.3">
      <c r="A232" s="356">
        <v>210</v>
      </c>
      <c r="B232" s="356" t="s">
        <v>488</v>
      </c>
      <c r="C232" s="357"/>
      <c r="D232" s="358"/>
      <c r="E232" s="358"/>
      <c r="F232" s="358"/>
      <c r="G232" s="358"/>
      <c r="H232" s="358"/>
      <c r="I232" s="358"/>
      <c r="J232" s="358"/>
      <c r="K232" s="358"/>
      <c r="L232" s="358"/>
      <c r="M232" s="358"/>
      <c r="N232" s="358"/>
      <c r="O232" s="358"/>
      <c r="P232" s="358"/>
      <c r="Q232" s="358"/>
      <c r="R232" s="358"/>
      <c r="S232" s="358"/>
      <c r="T232" s="358"/>
    </row>
    <row r="233" spans="1:21" hidden="1" x14ac:dyDescent="0.3">
      <c r="A233" s="356" t="s">
        <v>765</v>
      </c>
      <c r="B233" s="356"/>
      <c r="C233" s="357">
        <v>1033887942.5281674</v>
      </c>
      <c r="D233" s="358">
        <v>1317485850.3467577</v>
      </c>
      <c r="E233" s="358">
        <v>1055992177.7607427</v>
      </c>
      <c r="F233" s="358">
        <v>225890810.60791999</v>
      </c>
      <c r="G233" s="358">
        <v>-5.5879354476928711E-9</v>
      </c>
      <c r="H233" s="358">
        <v>1351753698.6977518</v>
      </c>
      <c r="I233" s="358">
        <v>-93729972</v>
      </c>
      <c r="J233" s="358">
        <v>1106720649.3202746</v>
      </c>
      <c r="K233" s="358">
        <v>194396280</v>
      </c>
      <c r="L233" s="358">
        <v>29124227.613691434</v>
      </c>
      <c r="M233" s="358">
        <v>0</v>
      </c>
      <c r="N233" s="358">
        <v>184173111.28551245</v>
      </c>
      <c r="O233" s="358">
        <v>-127467503.04397066</v>
      </c>
      <c r="P233" s="358">
        <v>-1521567576.8723085</v>
      </c>
      <c r="Q233" s="358">
        <v>0</v>
      </c>
      <c r="R233" s="358">
        <v>-3267132.3875797782</v>
      </c>
      <c r="S233" s="358">
        <v>317313267.32673234</v>
      </c>
      <c r="T233" s="358">
        <v>262296166.71423346</v>
      </c>
    </row>
    <row r="241" spans="1:2" x14ac:dyDescent="0.3">
      <c r="A241" s="275">
        <v>240</v>
      </c>
      <c r="B241" s="275" t="s">
        <v>542</v>
      </c>
    </row>
    <row r="242" spans="1:2" x14ac:dyDescent="0.3">
      <c r="A242" s="275">
        <v>250</v>
      </c>
      <c r="B242" s="275" t="s">
        <v>555</v>
      </c>
    </row>
    <row r="243" spans="1:2" x14ac:dyDescent="0.3">
      <c r="A243" s="275">
        <v>255</v>
      </c>
      <c r="B243" s="275" t="s">
        <v>563</v>
      </c>
    </row>
    <row r="244" spans="1:2" x14ac:dyDescent="0.3">
      <c r="A244" s="275">
        <v>286</v>
      </c>
      <c r="B244" s="275" t="s">
        <v>611</v>
      </c>
    </row>
    <row r="245" spans="1:2" x14ac:dyDescent="0.3">
      <c r="A245" s="275">
        <v>294</v>
      </c>
      <c r="B245" s="275" t="s">
        <v>624</v>
      </c>
    </row>
    <row r="246" spans="1:2" x14ac:dyDescent="0.3">
      <c r="A246" s="275">
        <v>301</v>
      </c>
      <c r="B246" s="275" t="s">
        <v>637</v>
      </c>
    </row>
    <row r="247" spans="1:2" x14ac:dyDescent="0.3">
      <c r="A247" s="275">
        <v>320</v>
      </c>
      <c r="B247" s="275" t="s">
        <v>675</v>
      </c>
    </row>
    <row r="248" spans="1:2" x14ac:dyDescent="0.3">
      <c r="A248" s="275">
        <v>322</v>
      </c>
      <c r="B248" s="275" t="s">
        <v>679</v>
      </c>
    </row>
    <row r="249" spans="1:2" x14ac:dyDescent="0.3">
      <c r="A249" s="275">
        <v>333</v>
      </c>
      <c r="B249" s="275" t="s">
        <v>700</v>
      </c>
    </row>
    <row r="250" spans="1:2" x14ac:dyDescent="0.3">
      <c r="A250" s="275">
        <v>343</v>
      </c>
      <c r="B250" s="275" t="s">
        <v>716</v>
      </c>
    </row>
    <row r="251" spans="1:2" x14ac:dyDescent="0.3">
      <c r="A251" s="275">
        <v>349</v>
      </c>
      <c r="B251" s="275" t="s">
        <v>726</v>
      </c>
    </row>
  </sheetData>
  <autoFilter ref="A6:U233">
    <filterColumn colId="0">
      <filters>
        <filter val="288"/>
        <filter val="350"/>
      </filters>
    </filterColumn>
  </autoFilter>
  <sortState ref="A241:B251">
    <sortCondition ref="A241"/>
  </sortState>
  <pageMargins left="0.7" right="0.7" top="0.75" bottom="0.75" header="0.3" footer="0.3"/>
  <pageSetup paperSize="9"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XFD22"/>
  <sheetViews>
    <sheetView showGridLines="0" zoomScale="85" zoomScaleNormal="85" workbookViewId="0">
      <selection activeCell="B19" sqref="B19:E22"/>
    </sheetView>
  </sheetViews>
  <sheetFormatPr defaultColWidth="34" defaultRowHeight="13.8" x14ac:dyDescent="0.3"/>
  <cols>
    <col min="1" max="1" width="5.6640625" style="948" customWidth="1"/>
    <col min="2" max="2" width="28.109375" style="361" customWidth="1"/>
    <col min="3" max="3" width="24.21875" style="361" customWidth="1"/>
    <col min="4" max="8" width="7.6640625" style="361" customWidth="1"/>
    <col min="9" max="9" width="27" style="361" customWidth="1"/>
    <col min="10" max="16384" width="34" style="361"/>
  </cols>
  <sheetData>
    <row r="1" spans="1:16384" ht="57" customHeight="1" x14ac:dyDescent="0.3">
      <c r="A1" s="1158" t="s">
        <v>4037</v>
      </c>
      <c r="B1" s="1158"/>
      <c r="C1" s="1158"/>
      <c r="D1" s="1158"/>
      <c r="E1" s="1158"/>
      <c r="F1" s="1158"/>
      <c r="G1" s="1158"/>
      <c r="H1" s="1158"/>
      <c r="I1" s="1158"/>
      <c r="J1" s="952"/>
      <c r="K1" s="952"/>
      <c r="L1" s="952"/>
      <c r="M1" s="952"/>
      <c r="N1" s="952"/>
      <c r="O1" s="1082"/>
      <c r="P1" s="1082"/>
      <c r="Q1" s="1082"/>
      <c r="R1" s="1082"/>
      <c r="S1" s="1082"/>
      <c r="T1" s="1082"/>
      <c r="U1" s="1082"/>
      <c r="V1" s="1082"/>
      <c r="W1" s="1082"/>
      <c r="X1" s="1082"/>
      <c r="Y1" s="1082"/>
      <c r="Z1" s="1082"/>
      <c r="AA1" s="1082"/>
      <c r="AB1" s="1082"/>
      <c r="AC1" s="1082"/>
      <c r="AD1" s="1082"/>
      <c r="AE1" s="1082"/>
      <c r="AF1" s="1082"/>
      <c r="AG1" s="1082"/>
      <c r="AH1" s="1082"/>
      <c r="AI1" s="1082"/>
      <c r="AJ1" s="1082"/>
      <c r="AK1" s="1082"/>
      <c r="AL1" s="1082"/>
      <c r="AM1" s="1082"/>
      <c r="AN1" s="1082"/>
      <c r="AO1" s="1082"/>
      <c r="AP1" s="1082"/>
      <c r="AQ1" s="1082"/>
      <c r="AR1" s="1082"/>
      <c r="AS1" s="1082"/>
      <c r="AT1" s="1082"/>
      <c r="AU1" s="1082"/>
      <c r="AV1" s="1082"/>
      <c r="AW1" s="1082"/>
      <c r="AX1" s="1082"/>
      <c r="AY1" s="1082"/>
      <c r="AZ1" s="1082"/>
      <c r="BA1" s="1082"/>
      <c r="BB1" s="1082"/>
      <c r="BC1" s="1082"/>
      <c r="BD1" s="1082"/>
      <c r="BE1" s="1082"/>
      <c r="BF1" s="1082"/>
      <c r="BG1" s="1082"/>
      <c r="BH1" s="1082"/>
      <c r="BI1" s="1082"/>
      <c r="BJ1" s="1082"/>
      <c r="BK1" s="1082"/>
      <c r="BL1" s="1082"/>
      <c r="BM1" s="1082"/>
      <c r="BN1" s="1082"/>
      <c r="BO1" s="1082"/>
      <c r="BP1" s="1082"/>
      <c r="BQ1" s="1082"/>
      <c r="BR1" s="1082"/>
      <c r="BS1" s="1082"/>
      <c r="BT1" s="1082"/>
      <c r="BU1" s="1082"/>
      <c r="BV1" s="1082"/>
      <c r="BW1" s="1082"/>
      <c r="BX1" s="1082"/>
      <c r="BY1" s="1082"/>
      <c r="BZ1" s="1082"/>
      <c r="CA1" s="1082"/>
      <c r="CB1" s="1082"/>
      <c r="CC1" s="1082"/>
      <c r="CD1" s="1082"/>
      <c r="CE1" s="1082"/>
      <c r="CF1" s="1082"/>
      <c r="CG1" s="1082"/>
      <c r="CH1" s="1082"/>
      <c r="CI1" s="1082"/>
      <c r="CJ1" s="1082"/>
      <c r="CK1" s="1082"/>
      <c r="CL1" s="1082"/>
      <c r="CM1" s="1082"/>
      <c r="CN1" s="1082"/>
      <c r="CO1" s="1082"/>
      <c r="CP1" s="1082"/>
      <c r="CQ1" s="1082"/>
      <c r="CR1" s="1082"/>
      <c r="CS1" s="1082"/>
      <c r="CT1" s="1082"/>
      <c r="CU1" s="1082"/>
      <c r="CV1" s="1082"/>
      <c r="CW1" s="1082"/>
      <c r="CX1" s="1082"/>
      <c r="CY1" s="1082"/>
      <c r="CZ1" s="1082"/>
      <c r="DA1" s="1082"/>
      <c r="DB1" s="1082"/>
      <c r="DC1" s="1082"/>
      <c r="DD1" s="1082"/>
      <c r="DE1" s="1082"/>
      <c r="DF1" s="1082"/>
      <c r="DG1" s="1082"/>
      <c r="DH1" s="1082"/>
      <c r="DI1" s="1082"/>
      <c r="DJ1" s="1082"/>
      <c r="DK1" s="1082"/>
      <c r="DL1" s="1082"/>
      <c r="DM1" s="1082"/>
      <c r="DN1" s="1082"/>
      <c r="DO1" s="1082"/>
      <c r="DP1" s="1082"/>
      <c r="DQ1" s="1082"/>
      <c r="DR1" s="1082"/>
      <c r="DS1" s="1082"/>
      <c r="DT1" s="1082"/>
      <c r="DU1" s="1082"/>
      <c r="DV1" s="1082"/>
      <c r="DW1" s="1082"/>
      <c r="DX1" s="1082"/>
      <c r="DY1" s="1082"/>
      <c r="DZ1" s="1082"/>
      <c r="EA1" s="1082"/>
      <c r="EB1" s="1082"/>
      <c r="EC1" s="1082"/>
      <c r="ED1" s="1082"/>
      <c r="EE1" s="1082"/>
      <c r="EF1" s="1082"/>
      <c r="EG1" s="1082"/>
      <c r="EH1" s="1082"/>
      <c r="EI1" s="1082"/>
      <c r="EJ1" s="1082"/>
      <c r="EK1" s="1082"/>
      <c r="EL1" s="1082"/>
      <c r="EM1" s="1082"/>
      <c r="EN1" s="1082"/>
      <c r="EO1" s="1082"/>
      <c r="EP1" s="1082"/>
      <c r="EQ1" s="1082"/>
      <c r="ER1" s="1082"/>
      <c r="ES1" s="1082"/>
      <c r="ET1" s="1082"/>
      <c r="EU1" s="1082"/>
      <c r="EV1" s="1082"/>
      <c r="EW1" s="1082"/>
      <c r="EX1" s="1082"/>
      <c r="EY1" s="1082"/>
      <c r="EZ1" s="1082"/>
      <c r="FA1" s="1082"/>
      <c r="FB1" s="1082"/>
      <c r="FC1" s="1082"/>
      <c r="FD1" s="1082"/>
      <c r="FE1" s="1082"/>
      <c r="FF1" s="1082"/>
      <c r="FG1" s="1082"/>
      <c r="FH1" s="1082"/>
      <c r="FI1" s="1082"/>
      <c r="FJ1" s="1082"/>
      <c r="FK1" s="1082"/>
      <c r="FL1" s="1082"/>
      <c r="FM1" s="1082"/>
      <c r="FN1" s="1082"/>
      <c r="FO1" s="1082"/>
      <c r="FP1" s="1082"/>
      <c r="FQ1" s="1082"/>
      <c r="FR1" s="1082"/>
      <c r="FS1" s="1082"/>
      <c r="FT1" s="1082"/>
      <c r="FU1" s="1082"/>
      <c r="FV1" s="1082"/>
      <c r="FW1" s="1082"/>
      <c r="FX1" s="1082"/>
      <c r="FY1" s="1082"/>
      <c r="FZ1" s="1082"/>
      <c r="GA1" s="1082"/>
      <c r="GB1" s="1082"/>
      <c r="GC1" s="1082"/>
      <c r="GD1" s="1082"/>
      <c r="GE1" s="1082"/>
      <c r="GF1" s="1082"/>
      <c r="GG1" s="1082"/>
      <c r="GH1" s="1082"/>
      <c r="GI1" s="1082"/>
      <c r="GJ1" s="1082"/>
      <c r="GK1" s="1082"/>
      <c r="GL1" s="1082"/>
      <c r="GM1" s="1082"/>
      <c r="GN1" s="1082"/>
      <c r="GO1" s="1082"/>
      <c r="GP1" s="1082"/>
      <c r="GQ1" s="1082"/>
      <c r="GR1" s="1082"/>
      <c r="GS1" s="1082"/>
      <c r="GT1" s="1082"/>
      <c r="GU1" s="1082"/>
      <c r="GV1" s="1082"/>
      <c r="GW1" s="1082"/>
      <c r="GX1" s="1082"/>
      <c r="GY1" s="1082"/>
      <c r="GZ1" s="1082"/>
      <c r="HA1" s="1082"/>
      <c r="HB1" s="1082"/>
      <c r="HC1" s="1082"/>
      <c r="HD1" s="1082"/>
      <c r="HE1" s="1082"/>
      <c r="HF1" s="1082"/>
      <c r="HG1" s="1082"/>
      <c r="HH1" s="1082"/>
      <c r="HI1" s="1082"/>
      <c r="HJ1" s="1082"/>
      <c r="HK1" s="1082"/>
      <c r="HL1" s="1082"/>
      <c r="HM1" s="1082"/>
      <c r="HN1" s="1082"/>
      <c r="HO1" s="1082"/>
      <c r="HP1" s="1082"/>
      <c r="HQ1" s="1082"/>
      <c r="HR1" s="1082"/>
      <c r="HS1" s="1082"/>
      <c r="HT1" s="1082"/>
      <c r="HU1" s="1082"/>
      <c r="HV1" s="1082"/>
      <c r="HW1" s="1082"/>
      <c r="HX1" s="1082"/>
      <c r="HY1" s="1082"/>
      <c r="HZ1" s="1082"/>
      <c r="IA1" s="1082"/>
      <c r="IB1" s="1082"/>
      <c r="IC1" s="1082"/>
      <c r="ID1" s="1082"/>
      <c r="IE1" s="1082"/>
      <c r="IF1" s="1082"/>
      <c r="IG1" s="1082"/>
      <c r="IH1" s="1082"/>
      <c r="II1" s="1082"/>
      <c r="IJ1" s="1082"/>
      <c r="IK1" s="1082"/>
      <c r="IL1" s="1082"/>
      <c r="IM1" s="1082"/>
      <c r="IN1" s="1082"/>
      <c r="IO1" s="1082"/>
      <c r="IP1" s="1082"/>
      <c r="IQ1" s="1082"/>
      <c r="IR1" s="1082"/>
      <c r="IS1" s="1082"/>
      <c r="IT1" s="1082"/>
      <c r="IU1" s="1082"/>
      <c r="IV1" s="1082"/>
      <c r="IW1" s="1082"/>
      <c r="IX1" s="1082"/>
      <c r="IY1" s="1082"/>
      <c r="IZ1" s="1082"/>
      <c r="JA1" s="1082"/>
      <c r="JB1" s="1082"/>
      <c r="JC1" s="1082"/>
      <c r="JD1" s="1082"/>
      <c r="JE1" s="1082"/>
      <c r="JF1" s="1082"/>
      <c r="JG1" s="1082"/>
      <c r="JH1" s="1082"/>
      <c r="JI1" s="1082"/>
      <c r="JJ1" s="1082"/>
      <c r="JK1" s="1082"/>
      <c r="JL1" s="1082"/>
      <c r="JM1" s="1082"/>
      <c r="JN1" s="1082"/>
      <c r="JO1" s="1082"/>
      <c r="JP1" s="1082"/>
      <c r="JQ1" s="1082"/>
      <c r="JR1" s="1082"/>
      <c r="JS1" s="1082"/>
      <c r="JT1" s="1082"/>
      <c r="JU1" s="1082"/>
      <c r="JV1" s="1082"/>
      <c r="JW1" s="1082"/>
      <c r="JX1" s="1082"/>
      <c r="JY1" s="1082"/>
      <c r="JZ1" s="1082"/>
      <c r="KA1" s="1082"/>
      <c r="KB1" s="1082"/>
      <c r="KC1" s="1082"/>
      <c r="KD1" s="1082"/>
      <c r="KE1" s="1082"/>
      <c r="KF1" s="1082"/>
      <c r="KG1" s="1082"/>
      <c r="KH1" s="1082"/>
      <c r="KI1" s="1082"/>
      <c r="KJ1" s="1082"/>
      <c r="KK1" s="1082"/>
      <c r="KL1" s="1082"/>
      <c r="KM1" s="1082"/>
      <c r="KN1" s="1082"/>
      <c r="KO1" s="1082"/>
      <c r="KP1" s="1082"/>
      <c r="KQ1" s="1082"/>
      <c r="KR1" s="1082"/>
      <c r="KS1" s="1082"/>
      <c r="KT1" s="1082"/>
      <c r="KU1" s="1082"/>
      <c r="KV1" s="1082"/>
      <c r="KW1" s="1082"/>
      <c r="KX1" s="1082"/>
      <c r="KY1" s="1082"/>
      <c r="KZ1" s="1082"/>
      <c r="LA1" s="1082"/>
      <c r="LB1" s="1082"/>
      <c r="LC1" s="1082"/>
      <c r="LD1" s="1082"/>
      <c r="LE1" s="1082"/>
      <c r="LF1" s="1082"/>
      <c r="LG1" s="1082"/>
      <c r="LH1" s="1082"/>
      <c r="LI1" s="1082"/>
      <c r="LJ1" s="1082"/>
      <c r="LK1" s="1082"/>
      <c r="LL1" s="1082"/>
      <c r="LM1" s="1082"/>
      <c r="LN1" s="1082"/>
      <c r="LO1" s="1082"/>
      <c r="LP1" s="1082"/>
      <c r="LQ1" s="1082"/>
      <c r="LR1" s="1082"/>
      <c r="LS1" s="1082"/>
      <c r="LT1" s="1082"/>
      <c r="LU1" s="1082"/>
      <c r="LV1" s="1082"/>
      <c r="LW1" s="1082"/>
      <c r="LX1" s="1082"/>
      <c r="LY1" s="1082"/>
      <c r="LZ1" s="1082"/>
      <c r="MA1" s="1082"/>
      <c r="MB1" s="1082"/>
      <c r="MC1" s="1082"/>
      <c r="MD1" s="1082"/>
      <c r="ME1" s="1082"/>
      <c r="MF1" s="1082"/>
      <c r="MG1" s="1082"/>
      <c r="MH1" s="1082"/>
      <c r="MI1" s="1082"/>
      <c r="MJ1" s="1082"/>
      <c r="MK1" s="1082"/>
      <c r="ML1" s="1082"/>
      <c r="MM1" s="1082"/>
      <c r="MN1" s="1082"/>
      <c r="MO1" s="1082"/>
      <c r="MP1" s="1082"/>
      <c r="MQ1" s="1082"/>
      <c r="MR1" s="1082"/>
      <c r="MS1" s="1082"/>
      <c r="MT1" s="1082"/>
      <c r="MU1" s="1082"/>
      <c r="MV1" s="1082"/>
      <c r="MW1" s="1082"/>
      <c r="MX1" s="1082"/>
      <c r="MY1" s="1082"/>
      <c r="MZ1" s="1082"/>
      <c r="NA1" s="1082"/>
      <c r="NB1" s="1082"/>
      <c r="NC1" s="1082"/>
      <c r="ND1" s="1082"/>
      <c r="NE1" s="1082"/>
      <c r="NF1" s="1082"/>
      <c r="NG1" s="1082"/>
      <c r="NH1" s="1082"/>
      <c r="NI1" s="1082"/>
      <c r="NJ1" s="1082"/>
      <c r="NK1" s="1082"/>
      <c r="NL1" s="1082"/>
      <c r="NM1" s="1082"/>
      <c r="NN1" s="1082"/>
      <c r="NO1" s="1082"/>
      <c r="NP1" s="1082"/>
      <c r="NQ1" s="1082"/>
      <c r="NR1" s="1082"/>
      <c r="NS1" s="1082"/>
      <c r="NT1" s="1082"/>
      <c r="NU1" s="1082"/>
      <c r="NV1" s="1082"/>
      <c r="NW1" s="1082"/>
      <c r="NX1" s="1082"/>
      <c r="NY1" s="1082"/>
      <c r="NZ1" s="1082"/>
      <c r="OA1" s="1082"/>
      <c r="OB1" s="1082"/>
      <c r="OC1" s="1082"/>
      <c r="OD1" s="1082"/>
      <c r="OE1" s="1082"/>
      <c r="OF1" s="1082"/>
      <c r="OG1" s="1082"/>
      <c r="OH1" s="1082"/>
      <c r="OI1" s="1082"/>
      <c r="OJ1" s="1082"/>
      <c r="OK1" s="1082"/>
      <c r="OL1" s="1082"/>
      <c r="OM1" s="1082"/>
      <c r="ON1" s="1082"/>
      <c r="OO1" s="1082"/>
      <c r="OP1" s="1082"/>
      <c r="OQ1" s="1082"/>
      <c r="OR1" s="1082"/>
      <c r="OS1" s="1082"/>
      <c r="OT1" s="1082"/>
      <c r="OU1" s="1082"/>
      <c r="OV1" s="1082"/>
      <c r="OW1" s="1082"/>
      <c r="OX1" s="1082"/>
      <c r="OY1" s="1082"/>
      <c r="OZ1" s="1082"/>
      <c r="PA1" s="1082"/>
      <c r="PB1" s="1082"/>
      <c r="PC1" s="1082"/>
      <c r="PD1" s="1082"/>
      <c r="PE1" s="1082"/>
      <c r="PF1" s="1082"/>
      <c r="PG1" s="1082"/>
      <c r="PH1" s="1082"/>
      <c r="PI1" s="1082"/>
      <c r="PJ1" s="1082"/>
      <c r="PK1" s="1082"/>
      <c r="PL1" s="1082"/>
      <c r="PM1" s="1082"/>
      <c r="PN1" s="1082"/>
      <c r="PO1" s="1082"/>
      <c r="PP1" s="1082"/>
      <c r="PQ1" s="1082"/>
      <c r="PR1" s="1082"/>
      <c r="PS1" s="1082"/>
      <c r="PT1" s="1082"/>
      <c r="PU1" s="1082"/>
      <c r="PV1" s="1082"/>
      <c r="PW1" s="1082"/>
      <c r="PX1" s="1082"/>
      <c r="PY1" s="1082"/>
      <c r="PZ1" s="1082"/>
      <c r="QA1" s="1082"/>
      <c r="QB1" s="1082"/>
      <c r="QC1" s="1082"/>
      <c r="QD1" s="1082"/>
      <c r="QE1" s="1082"/>
      <c r="QF1" s="1082"/>
      <c r="QG1" s="1082"/>
      <c r="QH1" s="1082"/>
      <c r="QI1" s="1082"/>
      <c r="QJ1" s="1082"/>
      <c r="QK1" s="1082"/>
      <c r="QL1" s="1082"/>
      <c r="QM1" s="1082"/>
      <c r="QN1" s="1082"/>
      <c r="QO1" s="1082"/>
      <c r="QP1" s="1082"/>
      <c r="QQ1" s="1082"/>
      <c r="QR1" s="1082"/>
      <c r="QS1" s="1082"/>
      <c r="QT1" s="1082"/>
      <c r="QU1" s="1082"/>
      <c r="QV1" s="1082"/>
      <c r="QW1" s="1082"/>
      <c r="QX1" s="1082"/>
      <c r="QY1" s="1082"/>
      <c r="QZ1" s="1082"/>
      <c r="RA1" s="1082"/>
      <c r="RB1" s="1082"/>
      <c r="RC1" s="1082"/>
      <c r="RD1" s="1082"/>
      <c r="RE1" s="1082"/>
      <c r="RF1" s="1082"/>
      <c r="RG1" s="1082"/>
      <c r="RH1" s="1082"/>
      <c r="RI1" s="1082"/>
      <c r="RJ1" s="1082"/>
      <c r="RK1" s="1082"/>
      <c r="RL1" s="1082"/>
      <c r="RM1" s="1082"/>
      <c r="RN1" s="1082"/>
      <c r="RO1" s="1082"/>
      <c r="RP1" s="1082"/>
      <c r="RQ1" s="1082"/>
      <c r="RR1" s="1082"/>
      <c r="RS1" s="1082"/>
      <c r="RT1" s="1082"/>
      <c r="RU1" s="1082"/>
      <c r="RV1" s="1082"/>
      <c r="RW1" s="1082"/>
      <c r="RX1" s="1082"/>
      <c r="RY1" s="1082"/>
      <c r="RZ1" s="1082"/>
      <c r="SA1" s="1082"/>
      <c r="SB1" s="1082"/>
      <c r="SC1" s="1082"/>
      <c r="SD1" s="1082"/>
      <c r="SE1" s="1082"/>
      <c r="SF1" s="1082"/>
      <c r="SG1" s="1082"/>
      <c r="SH1" s="1082"/>
      <c r="SI1" s="1082"/>
      <c r="SJ1" s="1082"/>
      <c r="SK1" s="1082"/>
      <c r="SL1" s="1082"/>
      <c r="SM1" s="1082"/>
      <c r="SN1" s="1082"/>
      <c r="SO1" s="1082"/>
      <c r="SP1" s="1082"/>
      <c r="SQ1" s="1082"/>
      <c r="SR1" s="1082"/>
      <c r="SS1" s="1082"/>
      <c r="ST1" s="1082"/>
      <c r="SU1" s="1082"/>
      <c r="SV1" s="1082"/>
      <c r="SW1" s="1082"/>
      <c r="SX1" s="1082"/>
      <c r="SY1" s="1082"/>
      <c r="SZ1" s="1082"/>
      <c r="TA1" s="1082"/>
      <c r="TB1" s="1082"/>
      <c r="TC1" s="1082"/>
      <c r="TD1" s="1082"/>
      <c r="TE1" s="1082"/>
      <c r="TF1" s="1082"/>
      <c r="TG1" s="1082"/>
      <c r="TH1" s="1082"/>
      <c r="TI1" s="1082"/>
      <c r="TJ1" s="1082"/>
      <c r="TK1" s="1082"/>
      <c r="TL1" s="1082"/>
      <c r="TM1" s="1082"/>
      <c r="TN1" s="1082"/>
      <c r="TO1" s="1082"/>
      <c r="TP1" s="1082"/>
      <c r="TQ1" s="1082"/>
      <c r="TR1" s="1082"/>
      <c r="TS1" s="1082"/>
      <c r="TT1" s="1082"/>
      <c r="TU1" s="1082"/>
      <c r="TV1" s="1082"/>
      <c r="TW1" s="1082"/>
      <c r="TX1" s="1082"/>
      <c r="TY1" s="1082"/>
      <c r="TZ1" s="1082"/>
      <c r="UA1" s="1082"/>
      <c r="UB1" s="1082"/>
      <c r="UC1" s="1082"/>
      <c r="UD1" s="1082"/>
      <c r="UE1" s="1082"/>
      <c r="UF1" s="1082"/>
      <c r="UG1" s="1082"/>
      <c r="UH1" s="1082"/>
      <c r="UI1" s="1082"/>
      <c r="UJ1" s="1082"/>
      <c r="UK1" s="1082"/>
      <c r="UL1" s="1082"/>
      <c r="UM1" s="1082"/>
      <c r="UN1" s="1082"/>
      <c r="UO1" s="1082"/>
      <c r="UP1" s="1082"/>
      <c r="UQ1" s="1082"/>
      <c r="UR1" s="1082"/>
      <c r="US1" s="1082"/>
      <c r="UT1" s="1082"/>
      <c r="UU1" s="1082"/>
      <c r="UV1" s="1082"/>
      <c r="UW1" s="1082"/>
      <c r="UX1" s="1082"/>
      <c r="UY1" s="1082"/>
      <c r="UZ1" s="1082"/>
      <c r="VA1" s="1082"/>
      <c r="VB1" s="1082"/>
      <c r="VC1" s="1082"/>
      <c r="VD1" s="1082"/>
      <c r="VE1" s="1082"/>
      <c r="VF1" s="1082"/>
      <c r="VG1" s="1082"/>
      <c r="VH1" s="1082"/>
      <c r="VI1" s="1082"/>
      <c r="VJ1" s="1082"/>
      <c r="VK1" s="1082"/>
      <c r="VL1" s="1082"/>
      <c r="VM1" s="1082"/>
      <c r="VN1" s="1082"/>
      <c r="VO1" s="1082"/>
      <c r="VP1" s="1082"/>
      <c r="VQ1" s="1082"/>
      <c r="VR1" s="1082"/>
      <c r="VS1" s="1082"/>
      <c r="VT1" s="1082"/>
      <c r="VU1" s="1082"/>
      <c r="VV1" s="1082"/>
      <c r="VW1" s="1082"/>
      <c r="VX1" s="1082"/>
      <c r="VY1" s="1082"/>
      <c r="VZ1" s="1082"/>
      <c r="WA1" s="1082"/>
      <c r="WB1" s="1082"/>
      <c r="WC1" s="1082"/>
      <c r="WD1" s="1082"/>
      <c r="WE1" s="1082"/>
      <c r="WF1" s="1082"/>
      <c r="WG1" s="1082"/>
      <c r="WH1" s="1082"/>
      <c r="WI1" s="1082"/>
      <c r="WJ1" s="1082"/>
      <c r="WK1" s="1082"/>
      <c r="WL1" s="1082"/>
      <c r="WM1" s="1082"/>
      <c r="WN1" s="1082"/>
      <c r="WO1" s="1082"/>
      <c r="WP1" s="1082"/>
      <c r="WQ1" s="1082"/>
      <c r="WR1" s="1082"/>
      <c r="WS1" s="1082"/>
      <c r="WT1" s="1082"/>
      <c r="WU1" s="1082"/>
      <c r="WV1" s="1082"/>
      <c r="WW1" s="1082"/>
      <c r="WX1" s="1082"/>
      <c r="WY1" s="1082"/>
      <c r="WZ1" s="1082"/>
      <c r="XA1" s="1082"/>
      <c r="XB1" s="1082"/>
      <c r="XC1" s="1082"/>
      <c r="XD1" s="1082"/>
      <c r="XE1" s="1082"/>
      <c r="XF1" s="1082"/>
      <c r="XG1" s="1082"/>
      <c r="XH1" s="1082"/>
      <c r="XI1" s="1082"/>
      <c r="XJ1" s="1082"/>
      <c r="XK1" s="1082"/>
      <c r="XL1" s="1082"/>
      <c r="XM1" s="1082"/>
      <c r="XN1" s="1082"/>
      <c r="XO1" s="1082"/>
      <c r="XP1" s="1082"/>
      <c r="XQ1" s="1082"/>
      <c r="XR1" s="1082"/>
      <c r="XS1" s="1082"/>
      <c r="XT1" s="1082"/>
      <c r="XU1" s="1082"/>
      <c r="XV1" s="1082"/>
      <c r="XW1" s="1082"/>
      <c r="XX1" s="1082"/>
      <c r="XY1" s="1082"/>
      <c r="XZ1" s="1082"/>
      <c r="YA1" s="1082"/>
      <c r="YB1" s="1082"/>
      <c r="YC1" s="1082"/>
      <c r="YD1" s="1082"/>
      <c r="YE1" s="1082"/>
      <c r="YF1" s="1082"/>
      <c r="YG1" s="1082"/>
      <c r="YH1" s="1082"/>
      <c r="YI1" s="1082"/>
      <c r="YJ1" s="1082"/>
      <c r="YK1" s="1082"/>
      <c r="YL1" s="1082"/>
      <c r="YM1" s="1082"/>
      <c r="YN1" s="1082"/>
      <c r="YO1" s="1082"/>
      <c r="YP1" s="1082"/>
      <c r="YQ1" s="1082"/>
      <c r="YR1" s="1082"/>
      <c r="YS1" s="1082"/>
      <c r="YT1" s="1082"/>
      <c r="YU1" s="1082"/>
      <c r="YV1" s="1082"/>
      <c r="YW1" s="1082"/>
      <c r="YX1" s="1082"/>
      <c r="YY1" s="1082"/>
      <c r="YZ1" s="1082"/>
      <c r="ZA1" s="1082"/>
      <c r="ZB1" s="1082"/>
      <c r="ZC1" s="1082"/>
      <c r="ZD1" s="1082"/>
      <c r="ZE1" s="1082"/>
      <c r="ZF1" s="1082"/>
      <c r="ZG1" s="1082"/>
      <c r="ZH1" s="1082"/>
      <c r="ZI1" s="1082"/>
      <c r="ZJ1" s="1082"/>
      <c r="ZK1" s="1082"/>
      <c r="ZL1" s="1082"/>
      <c r="ZM1" s="1082"/>
      <c r="ZN1" s="1082"/>
      <c r="ZO1" s="1082"/>
      <c r="ZP1" s="1082"/>
      <c r="ZQ1" s="1082"/>
      <c r="ZR1" s="1082"/>
      <c r="ZS1" s="1082"/>
      <c r="ZT1" s="1082"/>
      <c r="ZU1" s="1082"/>
      <c r="ZV1" s="1082"/>
      <c r="ZW1" s="1082"/>
      <c r="ZX1" s="1082"/>
      <c r="ZY1" s="1082"/>
      <c r="ZZ1" s="1082"/>
      <c r="AAA1" s="1082"/>
      <c r="AAB1" s="1082"/>
      <c r="AAC1" s="1082"/>
      <c r="AAD1" s="1082"/>
      <c r="AAE1" s="1082"/>
      <c r="AAF1" s="1082"/>
      <c r="AAG1" s="1082"/>
      <c r="AAH1" s="1082"/>
      <c r="AAI1" s="1082"/>
      <c r="AAJ1" s="1082"/>
      <c r="AAK1" s="1082"/>
      <c r="AAL1" s="1082"/>
      <c r="AAM1" s="1082"/>
      <c r="AAN1" s="1082"/>
      <c r="AAO1" s="1082"/>
      <c r="AAP1" s="1082"/>
      <c r="AAQ1" s="1082"/>
      <c r="AAR1" s="1082"/>
      <c r="AAS1" s="1082"/>
      <c r="AAT1" s="1082"/>
      <c r="AAU1" s="1082"/>
      <c r="AAV1" s="1082"/>
      <c r="AAW1" s="1082"/>
      <c r="AAX1" s="1082"/>
      <c r="AAY1" s="1082"/>
      <c r="AAZ1" s="1082"/>
      <c r="ABA1" s="1082"/>
      <c r="ABB1" s="1082"/>
      <c r="ABC1" s="1082"/>
      <c r="ABD1" s="1082"/>
      <c r="ABE1" s="1082"/>
      <c r="ABF1" s="1082"/>
      <c r="ABG1" s="1082"/>
      <c r="ABH1" s="1082"/>
      <c r="ABI1" s="1082"/>
      <c r="ABJ1" s="1082"/>
      <c r="ABK1" s="1082"/>
      <c r="ABL1" s="1082"/>
      <c r="ABM1" s="1082"/>
      <c r="ABN1" s="1082"/>
      <c r="ABO1" s="1082"/>
      <c r="ABP1" s="1082"/>
      <c r="ABQ1" s="1082"/>
      <c r="ABR1" s="1082"/>
      <c r="ABS1" s="1082"/>
      <c r="ABT1" s="1082"/>
      <c r="ABU1" s="1082"/>
      <c r="ABV1" s="1082"/>
      <c r="ABW1" s="1082"/>
      <c r="ABX1" s="1082"/>
      <c r="ABY1" s="1082"/>
      <c r="ABZ1" s="1082"/>
      <c r="ACA1" s="1082"/>
      <c r="ACB1" s="1082"/>
      <c r="ACC1" s="1082"/>
      <c r="ACD1" s="1082"/>
      <c r="ACE1" s="1082"/>
      <c r="ACF1" s="1082"/>
      <c r="ACG1" s="1082"/>
      <c r="ACH1" s="1082"/>
      <c r="ACI1" s="1082"/>
      <c r="ACJ1" s="1082"/>
      <c r="ACK1" s="1082"/>
      <c r="ACL1" s="1082"/>
      <c r="ACM1" s="1082"/>
      <c r="ACN1" s="1082"/>
      <c r="ACO1" s="1082"/>
      <c r="ACP1" s="1082"/>
      <c r="ACQ1" s="1082"/>
      <c r="ACR1" s="1082"/>
      <c r="ACS1" s="1082"/>
      <c r="ACT1" s="1082"/>
      <c r="ACU1" s="1082"/>
      <c r="ACV1" s="1082"/>
      <c r="ACW1" s="1082"/>
      <c r="ACX1" s="1082"/>
      <c r="ACY1" s="1082"/>
      <c r="ACZ1" s="1082"/>
      <c r="ADA1" s="1082"/>
      <c r="ADB1" s="1082"/>
      <c r="ADC1" s="1082"/>
      <c r="ADD1" s="1082"/>
      <c r="ADE1" s="1082"/>
      <c r="ADF1" s="1082"/>
      <c r="ADG1" s="1082"/>
      <c r="ADH1" s="1082"/>
      <c r="ADI1" s="1082"/>
      <c r="ADJ1" s="1082"/>
      <c r="ADK1" s="1082"/>
      <c r="ADL1" s="1082"/>
      <c r="ADM1" s="1082"/>
      <c r="ADN1" s="1082"/>
      <c r="ADO1" s="1082"/>
      <c r="ADP1" s="1082"/>
      <c r="ADQ1" s="1082"/>
      <c r="ADR1" s="1082"/>
      <c r="ADS1" s="1082"/>
      <c r="ADT1" s="1082"/>
      <c r="ADU1" s="1082"/>
      <c r="ADV1" s="1082"/>
      <c r="ADW1" s="1082"/>
      <c r="ADX1" s="1082"/>
      <c r="ADY1" s="1082"/>
      <c r="ADZ1" s="1082"/>
      <c r="AEA1" s="1082"/>
      <c r="AEB1" s="1082"/>
      <c r="AEC1" s="1082"/>
      <c r="AED1" s="1082"/>
      <c r="AEE1" s="1082"/>
      <c r="AEF1" s="1082"/>
      <c r="AEG1" s="1082"/>
      <c r="AEH1" s="1082"/>
      <c r="AEI1" s="1082"/>
      <c r="AEJ1" s="1082"/>
      <c r="AEK1" s="1082"/>
      <c r="AEL1" s="1082"/>
      <c r="AEM1" s="1082"/>
      <c r="AEN1" s="1082"/>
      <c r="AEO1" s="1082"/>
      <c r="AEP1" s="1082"/>
      <c r="AEQ1" s="1082"/>
      <c r="AER1" s="1082"/>
      <c r="AES1" s="1082"/>
      <c r="AET1" s="1082"/>
      <c r="AEU1" s="1082"/>
      <c r="AEV1" s="1082"/>
      <c r="AEW1" s="1082"/>
      <c r="AEX1" s="1082"/>
      <c r="AEY1" s="1082"/>
      <c r="AEZ1" s="1082"/>
      <c r="AFA1" s="1082"/>
      <c r="AFB1" s="1082"/>
      <c r="AFC1" s="1082"/>
      <c r="AFD1" s="1082"/>
      <c r="AFE1" s="1082"/>
      <c r="AFF1" s="1082"/>
      <c r="AFG1" s="1082"/>
      <c r="AFH1" s="1082"/>
      <c r="AFI1" s="1082"/>
      <c r="AFJ1" s="1082"/>
      <c r="AFK1" s="1082"/>
      <c r="AFL1" s="1082"/>
      <c r="AFM1" s="1082"/>
      <c r="AFN1" s="1082"/>
      <c r="AFO1" s="1082"/>
      <c r="AFP1" s="1082"/>
      <c r="AFQ1" s="1082"/>
      <c r="AFR1" s="1082"/>
      <c r="AFS1" s="1082"/>
      <c r="AFT1" s="1082"/>
      <c r="AFU1" s="1082"/>
      <c r="AFV1" s="1082"/>
      <c r="AFW1" s="1082"/>
      <c r="AFX1" s="1082"/>
      <c r="AFY1" s="1082"/>
      <c r="AFZ1" s="1082"/>
      <c r="AGA1" s="1082"/>
      <c r="AGB1" s="1082"/>
      <c r="AGC1" s="1082"/>
      <c r="AGD1" s="1082"/>
      <c r="AGE1" s="1082"/>
      <c r="AGF1" s="1082"/>
      <c r="AGG1" s="1082"/>
      <c r="AGH1" s="1082"/>
      <c r="AGI1" s="1082"/>
      <c r="AGJ1" s="1082"/>
      <c r="AGK1" s="1082"/>
      <c r="AGL1" s="1082"/>
      <c r="AGM1" s="1082"/>
      <c r="AGN1" s="1082"/>
      <c r="AGO1" s="1082"/>
      <c r="AGP1" s="1082"/>
      <c r="AGQ1" s="1082"/>
      <c r="AGR1" s="1082"/>
      <c r="AGS1" s="1082"/>
      <c r="AGT1" s="1082"/>
      <c r="AGU1" s="1082"/>
      <c r="AGV1" s="1082"/>
      <c r="AGW1" s="1082"/>
      <c r="AGX1" s="1082"/>
      <c r="AGY1" s="1082"/>
      <c r="AGZ1" s="1082"/>
      <c r="AHA1" s="1082"/>
      <c r="AHB1" s="1082"/>
      <c r="AHC1" s="1082"/>
      <c r="AHD1" s="1082"/>
      <c r="AHE1" s="1082"/>
      <c r="AHF1" s="1082"/>
      <c r="AHG1" s="1082"/>
      <c r="AHH1" s="1082"/>
      <c r="AHI1" s="1082"/>
      <c r="AHJ1" s="1082"/>
      <c r="AHK1" s="1082"/>
      <c r="AHL1" s="1082"/>
      <c r="AHM1" s="1082"/>
      <c r="AHN1" s="1082"/>
      <c r="AHO1" s="1082"/>
      <c r="AHP1" s="1082"/>
      <c r="AHQ1" s="1082"/>
      <c r="AHR1" s="1082"/>
      <c r="AHS1" s="1082"/>
      <c r="AHT1" s="1082"/>
      <c r="AHU1" s="1082"/>
      <c r="AHV1" s="1082"/>
      <c r="AHW1" s="1082"/>
      <c r="AHX1" s="1082"/>
      <c r="AHY1" s="1082"/>
      <c r="AHZ1" s="1082"/>
      <c r="AIA1" s="1082"/>
      <c r="AIB1" s="1082"/>
      <c r="AIC1" s="1082"/>
      <c r="AID1" s="1082"/>
      <c r="AIE1" s="1082"/>
      <c r="AIF1" s="1082"/>
      <c r="AIG1" s="1082"/>
      <c r="AIH1" s="1082"/>
      <c r="AII1" s="1082"/>
      <c r="AIJ1" s="1082"/>
      <c r="AIK1" s="1082"/>
      <c r="AIL1" s="1082"/>
      <c r="AIM1" s="1082"/>
      <c r="AIN1" s="1082"/>
      <c r="AIO1" s="1082"/>
      <c r="AIP1" s="1082"/>
      <c r="AIQ1" s="1082"/>
      <c r="AIR1" s="1082"/>
      <c r="AIS1" s="1082"/>
      <c r="AIT1" s="1082"/>
      <c r="AIU1" s="1082"/>
      <c r="AIV1" s="1082"/>
      <c r="AIW1" s="1082"/>
      <c r="AIX1" s="1082"/>
      <c r="AIY1" s="1082"/>
      <c r="AIZ1" s="1082"/>
      <c r="AJA1" s="1082"/>
      <c r="AJB1" s="1082"/>
      <c r="AJC1" s="1082"/>
      <c r="AJD1" s="1082"/>
      <c r="AJE1" s="1082"/>
      <c r="AJF1" s="1082"/>
      <c r="AJG1" s="1082"/>
      <c r="AJH1" s="1082"/>
      <c r="AJI1" s="1082"/>
      <c r="AJJ1" s="1082"/>
      <c r="AJK1" s="1082"/>
      <c r="AJL1" s="1082"/>
      <c r="AJM1" s="1082"/>
      <c r="AJN1" s="1082"/>
      <c r="AJO1" s="1082"/>
      <c r="AJP1" s="1082"/>
      <c r="AJQ1" s="1082"/>
      <c r="AJR1" s="1082"/>
      <c r="AJS1" s="1082"/>
      <c r="AJT1" s="1082"/>
      <c r="AJU1" s="1082"/>
      <c r="AJV1" s="1082"/>
      <c r="AJW1" s="1082"/>
      <c r="AJX1" s="1082"/>
      <c r="AJY1" s="1082"/>
      <c r="AJZ1" s="1082"/>
      <c r="AKA1" s="1082"/>
      <c r="AKB1" s="1082"/>
      <c r="AKC1" s="1082"/>
      <c r="AKD1" s="1082"/>
      <c r="AKE1" s="1082"/>
      <c r="AKF1" s="1082"/>
      <c r="AKG1" s="1082"/>
      <c r="AKH1" s="1082"/>
      <c r="AKI1" s="1082"/>
      <c r="AKJ1" s="1082"/>
      <c r="AKK1" s="1082"/>
      <c r="AKL1" s="1082"/>
      <c r="AKM1" s="1082"/>
      <c r="AKN1" s="1082"/>
      <c r="AKO1" s="1082"/>
      <c r="AKP1" s="1082"/>
      <c r="AKQ1" s="1082"/>
      <c r="AKR1" s="1082"/>
      <c r="AKS1" s="1082"/>
      <c r="AKT1" s="1082"/>
      <c r="AKU1" s="1082"/>
      <c r="AKV1" s="1082"/>
      <c r="AKW1" s="1082"/>
      <c r="AKX1" s="1082"/>
      <c r="AKY1" s="1082"/>
      <c r="AKZ1" s="1082"/>
      <c r="ALA1" s="1082"/>
      <c r="ALB1" s="1082"/>
      <c r="ALC1" s="1082"/>
      <c r="ALD1" s="1082"/>
      <c r="ALE1" s="1082"/>
      <c r="ALF1" s="1082"/>
      <c r="ALG1" s="1082"/>
      <c r="ALH1" s="1082"/>
      <c r="ALI1" s="1082"/>
      <c r="ALJ1" s="1082"/>
      <c r="ALK1" s="1082"/>
      <c r="ALL1" s="1082"/>
      <c r="ALM1" s="1082"/>
      <c r="ALN1" s="1082"/>
      <c r="ALO1" s="1082"/>
      <c r="ALP1" s="1082"/>
      <c r="ALQ1" s="1082"/>
      <c r="ALR1" s="1082"/>
      <c r="ALS1" s="1082"/>
      <c r="ALT1" s="1082"/>
      <c r="ALU1" s="1082"/>
      <c r="ALV1" s="1082"/>
      <c r="ALW1" s="1082"/>
      <c r="ALX1" s="1082"/>
      <c r="ALY1" s="1082"/>
      <c r="ALZ1" s="1082"/>
      <c r="AMA1" s="1082"/>
      <c r="AMB1" s="1082"/>
      <c r="AMC1" s="1082"/>
      <c r="AMD1" s="1082"/>
      <c r="AME1" s="1082"/>
      <c r="AMF1" s="1082"/>
      <c r="AMG1" s="1082"/>
      <c r="AMH1" s="1082"/>
      <c r="AMI1" s="1082"/>
      <c r="AMJ1" s="1082"/>
      <c r="AMK1" s="1082"/>
      <c r="AML1" s="1082"/>
      <c r="AMM1" s="1082"/>
      <c r="AMN1" s="1082"/>
      <c r="AMO1" s="1082"/>
      <c r="AMP1" s="1082"/>
      <c r="AMQ1" s="1082"/>
      <c r="AMR1" s="1082"/>
      <c r="AMS1" s="1082"/>
      <c r="AMT1" s="1082"/>
      <c r="AMU1" s="1082"/>
      <c r="AMV1" s="1082"/>
      <c r="AMW1" s="1082"/>
      <c r="AMX1" s="1082"/>
      <c r="AMY1" s="1082"/>
      <c r="AMZ1" s="1082"/>
      <c r="ANA1" s="1082"/>
      <c r="ANB1" s="1082"/>
      <c r="ANC1" s="1082"/>
      <c r="AND1" s="1082"/>
      <c r="ANE1" s="1082"/>
      <c r="ANF1" s="1082"/>
      <c r="ANG1" s="1082"/>
      <c r="ANH1" s="1082"/>
      <c r="ANI1" s="1082"/>
      <c r="ANJ1" s="1082"/>
      <c r="ANK1" s="1082"/>
      <c r="ANL1" s="1082"/>
      <c r="ANM1" s="1082"/>
      <c r="ANN1" s="1082"/>
      <c r="ANO1" s="1082"/>
      <c r="ANP1" s="1082"/>
      <c r="ANQ1" s="1082"/>
      <c r="ANR1" s="1082"/>
      <c r="ANS1" s="1082"/>
      <c r="ANT1" s="1082"/>
      <c r="ANU1" s="1082"/>
      <c r="ANV1" s="1082"/>
      <c r="ANW1" s="1082"/>
      <c r="ANX1" s="1082"/>
      <c r="ANY1" s="1082"/>
      <c r="ANZ1" s="1082"/>
      <c r="AOA1" s="1082"/>
      <c r="AOB1" s="1082"/>
      <c r="AOC1" s="1082"/>
      <c r="AOD1" s="1082"/>
      <c r="AOE1" s="1082"/>
      <c r="AOF1" s="1082"/>
      <c r="AOG1" s="1082"/>
      <c r="AOH1" s="1082"/>
      <c r="AOI1" s="1082"/>
      <c r="AOJ1" s="1082"/>
      <c r="AOK1" s="1082"/>
      <c r="AOL1" s="1082"/>
      <c r="AOM1" s="1082"/>
      <c r="AON1" s="1082"/>
      <c r="AOO1" s="1082"/>
      <c r="AOP1" s="1082"/>
      <c r="AOQ1" s="1082"/>
      <c r="AOR1" s="1082"/>
      <c r="AOS1" s="1082"/>
      <c r="AOT1" s="1082"/>
      <c r="AOU1" s="1082"/>
      <c r="AOV1" s="1082"/>
      <c r="AOW1" s="1082"/>
      <c r="AOX1" s="1082"/>
      <c r="AOY1" s="1082"/>
      <c r="AOZ1" s="1082"/>
      <c r="APA1" s="1082"/>
      <c r="APB1" s="1082"/>
      <c r="APC1" s="1082"/>
      <c r="APD1" s="1082"/>
      <c r="APE1" s="1082"/>
      <c r="APF1" s="1082"/>
      <c r="APG1" s="1082"/>
      <c r="APH1" s="1082"/>
      <c r="API1" s="1082"/>
      <c r="APJ1" s="1082"/>
      <c r="APK1" s="1082"/>
      <c r="APL1" s="1082"/>
      <c r="APM1" s="1082"/>
      <c r="APN1" s="1082"/>
      <c r="APO1" s="1082"/>
      <c r="APP1" s="1082"/>
      <c r="APQ1" s="1082"/>
      <c r="APR1" s="1082"/>
      <c r="APS1" s="1082"/>
      <c r="APT1" s="1082"/>
      <c r="APU1" s="1082"/>
      <c r="APV1" s="1082"/>
      <c r="APW1" s="1082"/>
      <c r="APX1" s="1082"/>
      <c r="APY1" s="1082"/>
      <c r="APZ1" s="1082"/>
      <c r="AQA1" s="1082"/>
      <c r="AQB1" s="1082"/>
      <c r="AQC1" s="1082"/>
      <c r="AQD1" s="1082"/>
      <c r="AQE1" s="1082"/>
      <c r="AQF1" s="1082"/>
      <c r="AQG1" s="1082"/>
      <c r="AQH1" s="1082"/>
      <c r="AQI1" s="1082"/>
      <c r="AQJ1" s="1082"/>
      <c r="AQK1" s="1082"/>
      <c r="AQL1" s="1082"/>
      <c r="AQM1" s="1082"/>
      <c r="AQN1" s="1082"/>
      <c r="AQO1" s="1082"/>
      <c r="AQP1" s="1082"/>
      <c r="AQQ1" s="1082"/>
      <c r="AQR1" s="1082"/>
      <c r="AQS1" s="1082"/>
      <c r="AQT1" s="1082"/>
      <c r="AQU1" s="1082"/>
      <c r="AQV1" s="1082"/>
      <c r="AQW1" s="1082"/>
      <c r="AQX1" s="1082"/>
      <c r="AQY1" s="1082"/>
      <c r="AQZ1" s="1082"/>
      <c r="ARA1" s="1082"/>
      <c r="ARB1" s="1082"/>
      <c r="ARC1" s="1082"/>
      <c r="ARD1" s="1082"/>
      <c r="ARE1" s="1082"/>
      <c r="ARF1" s="1082"/>
      <c r="ARG1" s="1082"/>
      <c r="ARH1" s="1082"/>
      <c r="ARI1" s="1082"/>
      <c r="ARJ1" s="1082"/>
      <c r="ARK1" s="1082"/>
      <c r="ARL1" s="1082"/>
      <c r="ARM1" s="1082"/>
      <c r="ARN1" s="1082"/>
      <c r="ARO1" s="1082"/>
      <c r="ARP1" s="1082"/>
      <c r="ARQ1" s="1082"/>
      <c r="ARR1" s="1082"/>
      <c r="ARS1" s="1082"/>
      <c r="ART1" s="1082"/>
      <c r="ARU1" s="1082"/>
      <c r="ARV1" s="1082"/>
      <c r="ARW1" s="1082"/>
      <c r="ARX1" s="1082"/>
      <c r="ARY1" s="1082"/>
      <c r="ARZ1" s="1082"/>
      <c r="ASA1" s="1082"/>
      <c r="ASB1" s="1082"/>
      <c r="ASC1" s="1082"/>
      <c r="ASD1" s="1082"/>
      <c r="ASE1" s="1082"/>
      <c r="ASF1" s="1082"/>
      <c r="ASG1" s="1082"/>
      <c r="ASH1" s="1082"/>
      <c r="ASI1" s="1082"/>
      <c r="ASJ1" s="1082"/>
      <c r="ASK1" s="1082"/>
      <c r="ASL1" s="1082"/>
      <c r="ASM1" s="1082"/>
      <c r="ASN1" s="1082"/>
      <c r="ASO1" s="1082"/>
      <c r="ASP1" s="1082"/>
      <c r="ASQ1" s="1082"/>
      <c r="ASR1" s="1082"/>
      <c r="ASS1" s="1082"/>
      <c r="AST1" s="1082"/>
      <c r="ASU1" s="1082"/>
      <c r="ASV1" s="1082"/>
      <c r="ASW1" s="1082"/>
      <c r="ASX1" s="1082"/>
      <c r="ASY1" s="1082"/>
      <c r="ASZ1" s="1082"/>
      <c r="ATA1" s="1082"/>
      <c r="ATB1" s="1082"/>
      <c r="ATC1" s="1082"/>
      <c r="ATD1" s="1082"/>
      <c r="ATE1" s="1082"/>
      <c r="ATF1" s="1082"/>
      <c r="ATG1" s="1082"/>
      <c r="ATH1" s="1082"/>
      <c r="ATI1" s="1082"/>
      <c r="ATJ1" s="1082"/>
      <c r="ATK1" s="1082"/>
      <c r="ATL1" s="1082"/>
      <c r="ATM1" s="1082"/>
      <c r="ATN1" s="1082"/>
      <c r="ATO1" s="1082"/>
      <c r="ATP1" s="1082"/>
      <c r="ATQ1" s="1082"/>
      <c r="ATR1" s="1082"/>
      <c r="ATS1" s="1082"/>
      <c r="ATT1" s="1082"/>
      <c r="ATU1" s="1082"/>
      <c r="ATV1" s="1082"/>
      <c r="ATW1" s="1082"/>
      <c r="ATX1" s="1082"/>
      <c r="ATY1" s="1082"/>
      <c r="ATZ1" s="1082"/>
      <c r="AUA1" s="1082"/>
      <c r="AUB1" s="1082"/>
      <c r="AUC1" s="1082"/>
      <c r="AUD1" s="1082"/>
      <c r="AUE1" s="1082"/>
      <c r="AUF1" s="1082"/>
      <c r="AUG1" s="1082"/>
      <c r="AUH1" s="1082"/>
      <c r="AUI1" s="1082"/>
      <c r="AUJ1" s="1082"/>
      <c r="AUK1" s="1082"/>
      <c r="AUL1" s="1082"/>
      <c r="AUM1" s="1082"/>
      <c r="AUN1" s="1082"/>
      <c r="AUO1" s="1082"/>
      <c r="AUP1" s="1082"/>
      <c r="AUQ1" s="1082"/>
      <c r="AUR1" s="1082"/>
      <c r="AUS1" s="1082"/>
      <c r="AUT1" s="1082"/>
      <c r="AUU1" s="1082"/>
      <c r="AUV1" s="1082"/>
      <c r="AUW1" s="1082"/>
      <c r="AUX1" s="1082"/>
      <c r="AUY1" s="1082"/>
      <c r="AUZ1" s="1082"/>
      <c r="AVA1" s="1082"/>
      <c r="AVB1" s="1082"/>
      <c r="AVC1" s="1082"/>
      <c r="AVD1" s="1082"/>
      <c r="AVE1" s="1082"/>
      <c r="AVF1" s="1082"/>
      <c r="AVG1" s="1082"/>
      <c r="AVH1" s="1082"/>
      <c r="AVI1" s="1082"/>
      <c r="AVJ1" s="1082"/>
      <c r="AVK1" s="1082"/>
      <c r="AVL1" s="1082"/>
      <c r="AVM1" s="1082"/>
      <c r="AVN1" s="1082"/>
      <c r="AVO1" s="1082"/>
      <c r="AVP1" s="1082"/>
      <c r="AVQ1" s="1082"/>
      <c r="AVR1" s="1082"/>
      <c r="AVS1" s="1082"/>
      <c r="AVT1" s="1082"/>
      <c r="AVU1" s="1082"/>
      <c r="AVV1" s="1082"/>
      <c r="AVW1" s="1082"/>
      <c r="AVX1" s="1082"/>
      <c r="AVY1" s="1082"/>
      <c r="AVZ1" s="1082"/>
      <c r="AWA1" s="1082"/>
      <c r="AWB1" s="1082"/>
      <c r="AWC1" s="1082"/>
      <c r="AWD1" s="1082"/>
      <c r="AWE1" s="1082"/>
      <c r="AWF1" s="1082"/>
      <c r="AWG1" s="1082"/>
      <c r="AWH1" s="1082"/>
      <c r="AWI1" s="1082"/>
      <c r="AWJ1" s="1082"/>
      <c r="AWK1" s="1082"/>
      <c r="AWL1" s="1082"/>
      <c r="AWM1" s="1082"/>
      <c r="AWN1" s="1082"/>
      <c r="AWO1" s="1082"/>
      <c r="AWP1" s="1082"/>
      <c r="AWQ1" s="1082"/>
      <c r="AWR1" s="1082"/>
      <c r="AWS1" s="1082"/>
      <c r="AWT1" s="1082"/>
      <c r="AWU1" s="1082"/>
      <c r="AWV1" s="1082"/>
      <c r="AWW1" s="1082"/>
      <c r="AWX1" s="1082"/>
      <c r="AWY1" s="1082"/>
      <c r="AWZ1" s="1082"/>
      <c r="AXA1" s="1082"/>
      <c r="AXB1" s="1082"/>
      <c r="AXC1" s="1082"/>
      <c r="AXD1" s="1082"/>
      <c r="AXE1" s="1082"/>
      <c r="AXF1" s="1082"/>
      <c r="AXG1" s="1082"/>
      <c r="AXH1" s="1082"/>
      <c r="AXI1" s="1082"/>
      <c r="AXJ1" s="1082"/>
      <c r="AXK1" s="1082"/>
      <c r="AXL1" s="1082"/>
      <c r="AXM1" s="1082"/>
      <c r="AXN1" s="1082"/>
      <c r="AXO1" s="1082"/>
      <c r="AXP1" s="1082"/>
      <c r="AXQ1" s="1082"/>
      <c r="AXR1" s="1082"/>
      <c r="AXS1" s="1082"/>
      <c r="AXT1" s="1082"/>
      <c r="AXU1" s="1082"/>
      <c r="AXV1" s="1082"/>
      <c r="AXW1" s="1082"/>
      <c r="AXX1" s="1082"/>
      <c r="AXY1" s="1082"/>
      <c r="AXZ1" s="1082"/>
      <c r="AYA1" s="1082"/>
      <c r="AYB1" s="1082"/>
      <c r="AYC1" s="1082"/>
      <c r="AYD1" s="1082"/>
      <c r="AYE1" s="1082"/>
      <c r="AYF1" s="1082"/>
      <c r="AYG1" s="1082"/>
      <c r="AYH1" s="1082"/>
      <c r="AYI1" s="1082"/>
      <c r="AYJ1" s="1082"/>
      <c r="AYK1" s="1082"/>
      <c r="AYL1" s="1082"/>
      <c r="AYM1" s="1082"/>
      <c r="AYN1" s="1082"/>
      <c r="AYO1" s="1082"/>
      <c r="AYP1" s="1082"/>
      <c r="AYQ1" s="1082"/>
      <c r="AYR1" s="1082"/>
      <c r="AYS1" s="1082"/>
      <c r="AYT1" s="1082"/>
      <c r="AYU1" s="1082"/>
      <c r="AYV1" s="1082"/>
      <c r="AYW1" s="1082"/>
      <c r="AYX1" s="1082"/>
      <c r="AYY1" s="1082"/>
      <c r="AYZ1" s="1082"/>
      <c r="AZA1" s="1082"/>
      <c r="AZB1" s="1082"/>
      <c r="AZC1" s="1082"/>
      <c r="AZD1" s="1082"/>
      <c r="AZE1" s="1082"/>
      <c r="AZF1" s="1082"/>
      <c r="AZG1" s="1082"/>
      <c r="AZH1" s="1082"/>
      <c r="AZI1" s="1082"/>
      <c r="AZJ1" s="1082"/>
      <c r="AZK1" s="1082"/>
      <c r="AZL1" s="1082"/>
      <c r="AZM1" s="1082"/>
      <c r="AZN1" s="1082"/>
      <c r="AZO1" s="1082"/>
      <c r="AZP1" s="1082"/>
      <c r="AZQ1" s="1082"/>
      <c r="AZR1" s="1082"/>
      <c r="AZS1" s="1082"/>
      <c r="AZT1" s="1082"/>
      <c r="AZU1" s="1082"/>
      <c r="AZV1" s="1082"/>
      <c r="AZW1" s="1082"/>
      <c r="AZX1" s="1082"/>
      <c r="AZY1" s="1082"/>
      <c r="AZZ1" s="1082"/>
      <c r="BAA1" s="1082"/>
      <c r="BAB1" s="1082"/>
      <c r="BAC1" s="1082"/>
      <c r="BAD1" s="1082"/>
      <c r="BAE1" s="1082"/>
      <c r="BAF1" s="1082"/>
      <c r="BAG1" s="1082"/>
      <c r="BAH1" s="1082"/>
      <c r="BAI1" s="1082"/>
      <c r="BAJ1" s="1082"/>
      <c r="BAK1" s="1082"/>
      <c r="BAL1" s="1082"/>
      <c r="BAM1" s="1082"/>
      <c r="BAN1" s="1082"/>
      <c r="BAO1" s="1082"/>
      <c r="BAP1" s="1082"/>
      <c r="BAQ1" s="1082"/>
      <c r="BAR1" s="1082"/>
      <c r="BAS1" s="1082"/>
      <c r="BAT1" s="1082"/>
      <c r="BAU1" s="1082"/>
      <c r="BAV1" s="1082"/>
      <c r="BAW1" s="1082"/>
      <c r="BAX1" s="1082"/>
      <c r="BAY1" s="1082"/>
      <c r="BAZ1" s="1082"/>
      <c r="BBA1" s="1082"/>
      <c r="BBB1" s="1082"/>
      <c r="BBC1" s="1082"/>
      <c r="BBD1" s="1082"/>
      <c r="BBE1" s="1082"/>
      <c r="BBF1" s="1082"/>
      <c r="BBG1" s="1082"/>
      <c r="BBH1" s="1082"/>
      <c r="BBI1" s="1082"/>
      <c r="BBJ1" s="1082"/>
      <c r="BBK1" s="1082"/>
      <c r="BBL1" s="1082"/>
      <c r="BBM1" s="1082"/>
      <c r="BBN1" s="1082"/>
      <c r="BBO1" s="1082"/>
      <c r="BBP1" s="1082"/>
      <c r="BBQ1" s="1082"/>
      <c r="BBR1" s="1082"/>
      <c r="BBS1" s="1082"/>
      <c r="BBT1" s="1082"/>
      <c r="BBU1" s="1082"/>
      <c r="BBV1" s="1082"/>
      <c r="BBW1" s="1082"/>
      <c r="BBX1" s="1082"/>
      <c r="BBY1" s="1082"/>
      <c r="BBZ1" s="1082"/>
      <c r="BCA1" s="1082"/>
      <c r="BCB1" s="1082"/>
      <c r="BCC1" s="1082"/>
      <c r="BCD1" s="1082"/>
      <c r="BCE1" s="1082"/>
      <c r="BCF1" s="1082"/>
      <c r="BCG1" s="1082"/>
      <c r="BCH1" s="1082"/>
      <c r="BCI1" s="1082"/>
      <c r="BCJ1" s="1082"/>
      <c r="BCK1" s="1082"/>
      <c r="BCL1" s="1082"/>
      <c r="BCM1" s="1082"/>
      <c r="BCN1" s="1082"/>
      <c r="BCO1" s="1082"/>
      <c r="BCP1" s="1082"/>
      <c r="BCQ1" s="1082"/>
      <c r="BCR1" s="1082"/>
      <c r="BCS1" s="1082"/>
      <c r="BCT1" s="1082"/>
      <c r="BCU1" s="1082"/>
      <c r="BCV1" s="1082"/>
      <c r="BCW1" s="1082"/>
      <c r="BCX1" s="1082"/>
      <c r="BCY1" s="1082"/>
      <c r="BCZ1" s="1082"/>
      <c r="BDA1" s="1082"/>
      <c r="BDB1" s="1082"/>
      <c r="BDC1" s="1082"/>
      <c r="BDD1" s="1082"/>
      <c r="BDE1" s="1082"/>
      <c r="BDF1" s="1082"/>
      <c r="BDG1" s="1082"/>
      <c r="BDH1" s="1082"/>
      <c r="BDI1" s="1082"/>
      <c r="BDJ1" s="1082"/>
      <c r="BDK1" s="1082"/>
      <c r="BDL1" s="1082"/>
      <c r="BDM1" s="1082"/>
      <c r="BDN1" s="1082"/>
      <c r="BDO1" s="1082"/>
      <c r="BDP1" s="1082"/>
      <c r="BDQ1" s="1082"/>
      <c r="BDR1" s="1082"/>
      <c r="BDS1" s="1082"/>
      <c r="BDT1" s="1082"/>
      <c r="BDU1" s="1082"/>
      <c r="BDV1" s="1082"/>
      <c r="BDW1" s="1082"/>
      <c r="BDX1" s="1082"/>
      <c r="BDY1" s="1082"/>
      <c r="BDZ1" s="1082"/>
      <c r="BEA1" s="1082"/>
      <c r="BEB1" s="1082"/>
      <c r="BEC1" s="1082"/>
      <c r="BED1" s="1082"/>
      <c r="BEE1" s="1082"/>
      <c r="BEF1" s="1082"/>
      <c r="BEG1" s="1082"/>
      <c r="BEH1" s="1082"/>
      <c r="BEI1" s="1082"/>
      <c r="BEJ1" s="1082"/>
      <c r="BEK1" s="1082"/>
      <c r="BEL1" s="1082"/>
      <c r="BEM1" s="1082"/>
      <c r="BEN1" s="1082"/>
      <c r="BEO1" s="1082"/>
      <c r="BEP1" s="1082"/>
      <c r="BEQ1" s="1082"/>
      <c r="BER1" s="1082"/>
      <c r="BES1" s="1082"/>
      <c r="BET1" s="1082"/>
      <c r="BEU1" s="1082"/>
      <c r="BEV1" s="1082"/>
      <c r="BEW1" s="1082"/>
      <c r="BEX1" s="1082"/>
      <c r="BEY1" s="1082"/>
      <c r="BEZ1" s="1082"/>
      <c r="BFA1" s="1082"/>
      <c r="BFB1" s="1082"/>
      <c r="BFC1" s="1082"/>
      <c r="BFD1" s="1082"/>
      <c r="BFE1" s="1082"/>
      <c r="BFF1" s="1082"/>
      <c r="BFG1" s="1082"/>
      <c r="BFH1" s="1082"/>
      <c r="BFI1" s="1082"/>
      <c r="BFJ1" s="1082"/>
      <c r="BFK1" s="1082"/>
      <c r="BFL1" s="1082"/>
      <c r="BFM1" s="1082"/>
      <c r="BFN1" s="1082"/>
      <c r="BFO1" s="1082"/>
      <c r="BFP1" s="1082"/>
      <c r="BFQ1" s="1082"/>
      <c r="BFR1" s="1082"/>
      <c r="BFS1" s="1082"/>
      <c r="BFT1" s="1082"/>
      <c r="BFU1" s="1082"/>
      <c r="BFV1" s="1082"/>
      <c r="BFW1" s="1082"/>
      <c r="BFX1" s="1082"/>
      <c r="BFY1" s="1082"/>
      <c r="BFZ1" s="1082"/>
      <c r="BGA1" s="1082"/>
      <c r="BGB1" s="1082"/>
      <c r="BGC1" s="1082"/>
      <c r="BGD1" s="1082"/>
      <c r="BGE1" s="1082"/>
      <c r="BGF1" s="1082"/>
      <c r="BGG1" s="1082"/>
      <c r="BGH1" s="1082"/>
      <c r="BGI1" s="1082"/>
      <c r="BGJ1" s="1082"/>
      <c r="BGK1" s="1082"/>
      <c r="BGL1" s="1082"/>
      <c r="BGM1" s="1082"/>
      <c r="BGN1" s="1082"/>
      <c r="BGO1" s="1082"/>
      <c r="BGP1" s="1082"/>
      <c r="BGQ1" s="1082"/>
      <c r="BGR1" s="1082"/>
      <c r="BGS1" s="1082"/>
      <c r="BGT1" s="1082"/>
      <c r="BGU1" s="1082"/>
      <c r="BGV1" s="1082"/>
      <c r="BGW1" s="1082"/>
      <c r="BGX1" s="1082"/>
      <c r="BGY1" s="1082"/>
      <c r="BGZ1" s="1082"/>
      <c r="BHA1" s="1082"/>
      <c r="BHB1" s="1082"/>
      <c r="BHC1" s="1082"/>
      <c r="BHD1" s="1082"/>
      <c r="BHE1" s="1082"/>
      <c r="BHF1" s="1082"/>
      <c r="BHG1" s="1082"/>
      <c r="BHH1" s="1082"/>
      <c r="BHI1" s="1082"/>
      <c r="BHJ1" s="1082"/>
      <c r="BHK1" s="1082"/>
      <c r="BHL1" s="1082"/>
      <c r="BHM1" s="1082"/>
      <c r="BHN1" s="1082"/>
      <c r="BHO1" s="1082"/>
      <c r="BHP1" s="1082"/>
      <c r="BHQ1" s="1082"/>
      <c r="BHR1" s="1082"/>
      <c r="BHS1" s="1082"/>
      <c r="BHT1" s="1082"/>
      <c r="BHU1" s="1082"/>
      <c r="BHV1" s="1082"/>
      <c r="BHW1" s="1082"/>
      <c r="BHX1" s="1082"/>
      <c r="BHY1" s="1082"/>
      <c r="BHZ1" s="1082"/>
      <c r="BIA1" s="1082"/>
      <c r="BIB1" s="1082"/>
      <c r="BIC1" s="1082"/>
      <c r="BID1" s="1082"/>
      <c r="BIE1" s="1082"/>
      <c r="BIF1" s="1082"/>
      <c r="BIG1" s="1082"/>
      <c r="BIH1" s="1082"/>
      <c r="BII1" s="1082"/>
      <c r="BIJ1" s="1082"/>
      <c r="BIK1" s="1082"/>
      <c r="BIL1" s="1082"/>
      <c r="BIM1" s="1082"/>
      <c r="BIN1" s="1082"/>
      <c r="BIO1" s="1082"/>
      <c r="BIP1" s="1082"/>
      <c r="BIQ1" s="1082"/>
      <c r="BIR1" s="1082"/>
      <c r="BIS1" s="1082"/>
      <c r="BIT1" s="1082"/>
      <c r="BIU1" s="1082"/>
      <c r="BIV1" s="1082"/>
      <c r="BIW1" s="1082"/>
      <c r="BIX1" s="1082"/>
      <c r="BIY1" s="1082"/>
      <c r="BIZ1" s="1082"/>
      <c r="BJA1" s="1082"/>
      <c r="BJB1" s="1082"/>
      <c r="BJC1" s="1082"/>
      <c r="BJD1" s="1082"/>
      <c r="BJE1" s="1082"/>
      <c r="BJF1" s="1082"/>
      <c r="BJG1" s="1082"/>
      <c r="BJH1" s="1082"/>
      <c r="BJI1" s="1082"/>
      <c r="BJJ1" s="1082"/>
      <c r="BJK1" s="1082"/>
      <c r="BJL1" s="1082"/>
      <c r="BJM1" s="1082"/>
      <c r="BJN1" s="1082"/>
      <c r="BJO1" s="1082"/>
      <c r="BJP1" s="1082"/>
      <c r="BJQ1" s="1082"/>
      <c r="BJR1" s="1082"/>
      <c r="BJS1" s="1082"/>
      <c r="BJT1" s="1082"/>
      <c r="BJU1" s="1082"/>
      <c r="BJV1" s="1082"/>
      <c r="BJW1" s="1082"/>
      <c r="BJX1" s="1082"/>
      <c r="BJY1" s="1082"/>
      <c r="BJZ1" s="1082"/>
      <c r="BKA1" s="1082"/>
      <c r="BKB1" s="1082"/>
      <c r="BKC1" s="1082"/>
      <c r="BKD1" s="1082"/>
      <c r="BKE1" s="1082"/>
      <c r="BKF1" s="1082"/>
      <c r="BKG1" s="1082"/>
      <c r="BKH1" s="1082"/>
      <c r="BKI1" s="1082"/>
      <c r="BKJ1" s="1082"/>
      <c r="BKK1" s="1082"/>
      <c r="BKL1" s="1082"/>
      <c r="BKM1" s="1082"/>
      <c r="BKN1" s="1082"/>
      <c r="BKO1" s="1082"/>
      <c r="BKP1" s="1082"/>
      <c r="BKQ1" s="1082"/>
      <c r="BKR1" s="1082"/>
      <c r="BKS1" s="1082"/>
      <c r="BKT1" s="1082"/>
      <c r="BKU1" s="1082"/>
      <c r="BKV1" s="1082"/>
      <c r="BKW1" s="1082"/>
      <c r="BKX1" s="1082"/>
      <c r="BKY1" s="1082"/>
      <c r="BKZ1" s="1082"/>
      <c r="BLA1" s="1082"/>
      <c r="BLB1" s="1082"/>
      <c r="BLC1" s="1082"/>
      <c r="BLD1" s="1082"/>
      <c r="BLE1" s="1082"/>
      <c r="BLF1" s="1082"/>
      <c r="BLG1" s="1082"/>
      <c r="BLH1" s="1082"/>
      <c r="BLI1" s="1082"/>
      <c r="BLJ1" s="1082"/>
      <c r="BLK1" s="1082"/>
      <c r="BLL1" s="1082"/>
      <c r="BLM1" s="1082"/>
      <c r="BLN1" s="1082"/>
      <c r="BLO1" s="1082"/>
      <c r="BLP1" s="1082"/>
      <c r="BLQ1" s="1082"/>
      <c r="BLR1" s="1082"/>
      <c r="BLS1" s="1082"/>
      <c r="BLT1" s="1082"/>
      <c r="BLU1" s="1082"/>
      <c r="BLV1" s="1082"/>
      <c r="BLW1" s="1082"/>
      <c r="BLX1" s="1082"/>
      <c r="BLY1" s="1082"/>
      <c r="BLZ1" s="1082"/>
      <c r="BMA1" s="1082"/>
      <c r="BMB1" s="1082"/>
      <c r="BMC1" s="1082"/>
      <c r="BMD1" s="1082"/>
      <c r="BME1" s="1082"/>
      <c r="BMF1" s="1082"/>
      <c r="BMG1" s="1082"/>
      <c r="BMH1" s="1082"/>
      <c r="BMI1" s="1082"/>
      <c r="BMJ1" s="1082"/>
      <c r="BMK1" s="1082"/>
      <c r="BML1" s="1082"/>
      <c r="BMM1" s="1082"/>
      <c r="BMN1" s="1082"/>
      <c r="BMO1" s="1082"/>
      <c r="BMP1" s="1082"/>
      <c r="BMQ1" s="1082"/>
      <c r="BMR1" s="1082"/>
      <c r="BMS1" s="1082"/>
      <c r="BMT1" s="1082"/>
      <c r="BMU1" s="1082"/>
      <c r="BMV1" s="1082"/>
      <c r="BMW1" s="1082"/>
      <c r="BMX1" s="1082"/>
      <c r="BMY1" s="1082"/>
      <c r="BMZ1" s="1082"/>
      <c r="BNA1" s="1082"/>
      <c r="BNB1" s="1082"/>
      <c r="BNC1" s="1082"/>
      <c r="BND1" s="1082"/>
      <c r="BNE1" s="1082"/>
      <c r="BNF1" s="1082"/>
      <c r="BNG1" s="1082"/>
      <c r="BNH1" s="1082"/>
      <c r="BNI1" s="1082"/>
      <c r="BNJ1" s="1082"/>
      <c r="BNK1" s="1082"/>
      <c r="BNL1" s="1082"/>
      <c r="BNM1" s="1082"/>
      <c r="BNN1" s="1082"/>
      <c r="BNO1" s="1082"/>
      <c r="BNP1" s="1082"/>
      <c r="BNQ1" s="1082"/>
      <c r="BNR1" s="1082"/>
      <c r="BNS1" s="1082"/>
      <c r="BNT1" s="1082"/>
      <c r="BNU1" s="1082"/>
      <c r="BNV1" s="1082"/>
      <c r="BNW1" s="1082"/>
      <c r="BNX1" s="1082"/>
      <c r="BNY1" s="1082"/>
      <c r="BNZ1" s="1082"/>
      <c r="BOA1" s="1082"/>
      <c r="BOB1" s="1082"/>
      <c r="BOC1" s="1082"/>
      <c r="BOD1" s="1082"/>
      <c r="BOE1" s="1082"/>
      <c r="BOF1" s="1082"/>
      <c r="BOG1" s="1082"/>
      <c r="BOH1" s="1082"/>
      <c r="BOI1" s="1082"/>
      <c r="BOJ1" s="1082"/>
      <c r="BOK1" s="1082"/>
      <c r="BOL1" s="1082"/>
      <c r="BOM1" s="1082"/>
      <c r="BON1" s="1082"/>
      <c r="BOO1" s="1082"/>
      <c r="BOP1" s="1082"/>
      <c r="BOQ1" s="1082"/>
      <c r="BOR1" s="1082"/>
      <c r="BOS1" s="1082"/>
      <c r="BOT1" s="1082"/>
      <c r="BOU1" s="1082"/>
      <c r="BOV1" s="1082"/>
      <c r="BOW1" s="1082"/>
      <c r="BOX1" s="1082"/>
      <c r="BOY1" s="1082"/>
      <c r="BOZ1" s="1082"/>
      <c r="BPA1" s="1082"/>
      <c r="BPB1" s="1082"/>
      <c r="BPC1" s="1082"/>
      <c r="BPD1" s="1082"/>
      <c r="BPE1" s="1082"/>
      <c r="BPF1" s="1082"/>
      <c r="BPG1" s="1082"/>
      <c r="BPH1" s="1082"/>
      <c r="BPI1" s="1082"/>
      <c r="BPJ1" s="1082"/>
      <c r="BPK1" s="1082"/>
      <c r="BPL1" s="1082"/>
      <c r="BPM1" s="1082"/>
      <c r="BPN1" s="1082"/>
      <c r="BPO1" s="1082"/>
      <c r="BPP1" s="1082"/>
      <c r="BPQ1" s="1082"/>
      <c r="BPR1" s="1082"/>
      <c r="BPS1" s="1082"/>
      <c r="BPT1" s="1082"/>
      <c r="BPU1" s="1082"/>
      <c r="BPV1" s="1082"/>
      <c r="BPW1" s="1082"/>
      <c r="BPX1" s="1082"/>
      <c r="BPY1" s="1082"/>
      <c r="BPZ1" s="1082"/>
      <c r="BQA1" s="1082"/>
      <c r="BQB1" s="1082"/>
      <c r="BQC1" s="1082"/>
      <c r="BQD1" s="1082"/>
      <c r="BQE1" s="1082"/>
      <c r="BQF1" s="1082"/>
      <c r="BQG1" s="1082"/>
      <c r="BQH1" s="1082"/>
      <c r="BQI1" s="1082"/>
      <c r="BQJ1" s="1082"/>
      <c r="BQK1" s="1082"/>
      <c r="BQL1" s="1082"/>
      <c r="BQM1" s="1082"/>
      <c r="BQN1" s="1082"/>
      <c r="BQO1" s="1082"/>
      <c r="BQP1" s="1082"/>
      <c r="BQQ1" s="1082"/>
      <c r="BQR1" s="1082"/>
      <c r="BQS1" s="1082"/>
      <c r="BQT1" s="1082"/>
      <c r="BQU1" s="1082"/>
      <c r="BQV1" s="1082"/>
      <c r="BQW1" s="1082"/>
      <c r="BQX1" s="1082"/>
      <c r="BQY1" s="1082"/>
      <c r="BQZ1" s="1082"/>
      <c r="BRA1" s="1082"/>
      <c r="BRB1" s="1082"/>
      <c r="BRC1" s="1082"/>
      <c r="BRD1" s="1082"/>
      <c r="BRE1" s="1082"/>
      <c r="BRF1" s="1082"/>
      <c r="BRG1" s="1082"/>
      <c r="BRH1" s="1082"/>
      <c r="BRI1" s="1082"/>
      <c r="BRJ1" s="1082"/>
      <c r="BRK1" s="1082"/>
      <c r="BRL1" s="1082"/>
      <c r="BRM1" s="1082"/>
      <c r="BRN1" s="1082"/>
      <c r="BRO1" s="1082"/>
      <c r="BRP1" s="1082"/>
      <c r="BRQ1" s="1082"/>
      <c r="BRR1" s="1082"/>
      <c r="BRS1" s="1082"/>
      <c r="BRT1" s="1082"/>
      <c r="BRU1" s="1082"/>
      <c r="BRV1" s="1082"/>
      <c r="BRW1" s="1082"/>
      <c r="BRX1" s="1082"/>
      <c r="BRY1" s="1082"/>
      <c r="BRZ1" s="1082"/>
      <c r="BSA1" s="1082"/>
      <c r="BSB1" s="1082"/>
      <c r="BSC1" s="1082"/>
      <c r="BSD1" s="1082"/>
      <c r="BSE1" s="1082"/>
      <c r="BSF1" s="1082"/>
      <c r="BSG1" s="1082"/>
      <c r="BSH1" s="1082"/>
      <c r="BSI1" s="1082"/>
      <c r="BSJ1" s="1082"/>
      <c r="BSK1" s="1082"/>
      <c r="BSL1" s="1082"/>
      <c r="BSM1" s="1082"/>
      <c r="BSN1" s="1082"/>
      <c r="BSO1" s="1082"/>
      <c r="BSP1" s="1082"/>
      <c r="BSQ1" s="1082"/>
      <c r="BSR1" s="1082"/>
      <c r="BSS1" s="1082"/>
      <c r="BST1" s="1082"/>
      <c r="BSU1" s="1082"/>
      <c r="BSV1" s="1082"/>
      <c r="BSW1" s="1082"/>
      <c r="BSX1" s="1082"/>
      <c r="BSY1" s="1082"/>
      <c r="BSZ1" s="1082"/>
      <c r="BTA1" s="1082"/>
      <c r="BTB1" s="1082"/>
      <c r="BTC1" s="1082"/>
      <c r="BTD1" s="1082"/>
      <c r="BTE1" s="1082"/>
      <c r="BTF1" s="1082"/>
      <c r="BTG1" s="1082"/>
      <c r="BTH1" s="1082"/>
      <c r="BTI1" s="1082"/>
      <c r="BTJ1" s="1082"/>
      <c r="BTK1" s="1082"/>
      <c r="BTL1" s="1082"/>
      <c r="BTM1" s="1082"/>
      <c r="BTN1" s="1082"/>
      <c r="BTO1" s="1082"/>
      <c r="BTP1" s="1082"/>
      <c r="BTQ1" s="1082"/>
      <c r="BTR1" s="1082"/>
      <c r="BTS1" s="1082"/>
      <c r="BTT1" s="1082"/>
      <c r="BTU1" s="1082"/>
      <c r="BTV1" s="1082"/>
      <c r="BTW1" s="1082"/>
      <c r="BTX1" s="1082"/>
      <c r="BTY1" s="1082"/>
      <c r="BTZ1" s="1082"/>
      <c r="BUA1" s="1082"/>
      <c r="BUB1" s="1082"/>
      <c r="BUC1" s="1082"/>
      <c r="BUD1" s="1082"/>
      <c r="BUE1" s="1082"/>
      <c r="BUF1" s="1082"/>
      <c r="BUG1" s="1082"/>
      <c r="BUH1" s="1082"/>
      <c r="BUI1" s="1082"/>
      <c r="BUJ1" s="1082"/>
      <c r="BUK1" s="1082"/>
      <c r="BUL1" s="1082"/>
      <c r="BUM1" s="1082"/>
      <c r="BUN1" s="1082"/>
      <c r="BUO1" s="1082"/>
      <c r="BUP1" s="1082"/>
      <c r="BUQ1" s="1082"/>
      <c r="BUR1" s="1082"/>
      <c r="BUS1" s="1082"/>
      <c r="BUT1" s="1082"/>
      <c r="BUU1" s="1082"/>
      <c r="BUV1" s="1082"/>
      <c r="BUW1" s="1082"/>
      <c r="BUX1" s="1082"/>
      <c r="BUY1" s="1082"/>
      <c r="BUZ1" s="1082"/>
      <c r="BVA1" s="1082"/>
      <c r="BVB1" s="1082"/>
      <c r="BVC1" s="1082"/>
      <c r="BVD1" s="1082"/>
      <c r="BVE1" s="1082"/>
      <c r="BVF1" s="1082"/>
      <c r="BVG1" s="1082"/>
      <c r="BVH1" s="1082"/>
      <c r="BVI1" s="1082"/>
      <c r="BVJ1" s="1082"/>
      <c r="BVK1" s="1082"/>
      <c r="BVL1" s="1082"/>
      <c r="BVM1" s="1082"/>
      <c r="BVN1" s="1082"/>
      <c r="BVO1" s="1082"/>
      <c r="BVP1" s="1082"/>
      <c r="BVQ1" s="1082"/>
      <c r="BVR1" s="1082"/>
      <c r="BVS1" s="1082"/>
      <c r="BVT1" s="1082"/>
      <c r="BVU1" s="1082"/>
      <c r="BVV1" s="1082"/>
      <c r="BVW1" s="1082"/>
      <c r="BVX1" s="1082"/>
      <c r="BVY1" s="1082"/>
      <c r="BVZ1" s="1082"/>
      <c r="BWA1" s="1082"/>
      <c r="BWB1" s="1082"/>
      <c r="BWC1" s="1082"/>
      <c r="BWD1" s="1082"/>
      <c r="BWE1" s="1082"/>
      <c r="BWF1" s="1082"/>
      <c r="BWG1" s="1082"/>
      <c r="BWH1" s="1082"/>
      <c r="BWI1" s="1082"/>
      <c r="BWJ1" s="1082"/>
      <c r="BWK1" s="1082"/>
      <c r="BWL1" s="1082"/>
      <c r="BWM1" s="1082"/>
      <c r="BWN1" s="1082"/>
      <c r="BWO1" s="1082"/>
      <c r="BWP1" s="1082"/>
      <c r="BWQ1" s="1082"/>
      <c r="BWR1" s="1082"/>
      <c r="BWS1" s="1082"/>
      <c r="BWT1" s="1082"/>
      <c r="BWU1" s="1082"/>
      <c r="BWV1" s="1082"/>
      <c r="BWW1" s="1082"/>
      <c r="BWX1" s="1082"/>
      <c r="BWY1" s="1082"/>
      <c r="BWZ1" s="1082"/>
      <c r="BXA1" s="1082"/>
      <c r="BXB1" s="1082"/>
      <c r="BXC1" s="1082"/>
      <c r="BXD1" s="1082"/>
      <c r="BXE1" s="1082"/>
      <c r="BXF1" s="1082"/>
      <c r="BXG1" s="1082"/>
      <c r="BXH1" s="1082"/>
      <c r="BXI1" s="1082"/>
      <c r="BXJ1" s="1082"/>
      <c r="BXK1" s="1082"/>
      <c r="BXL1" s="1082"/>
      <c r="BXM1" s="1082"/>
      <c r="BXN1" s="1082"/>
      <c r="BXO1" s="1082"/>
      <c r="BXP1" s="1082"/>
      <c r="BXQ1" s="1082"/>
      <c r="BXR1" s="1082"/>
      <c r="BXS1" s="1082"/>
      <c r="BXT1" s="1082"/>
      <c r="BXU1" s="1082"/>
      <c r="BXV1" s="1082"/>
      <c r="BXW1" s="1082"/>
      <c r="BXX1" s="1082"/>
      <c r="BXY1" s="1082"/>
      <c r="BXZ1" s="1082"/>
      <c r="BYA1" s="1082"/>
      <c r="BYB1" s="1082"/>
      <c r="BYC1" s="1082"/>
      <c r="BYD1" s="1082"/>
      <c r="BYE1" s="1082"/>
      <c r="BYF1" s="1082"/>
      <c r="BYG1" s="1082"/>
      <c r="BYH1" s="1082"/>
      <c r="BYI1" s="1082"/>
      <c r="BYJ1" s="1082"/>
      <c r="BYK1" s="1082"/>
      <c r="BYL1" s="1082"/>
      <c r="BYM1" s="1082"/>
      <c r="BYN1" s="1082"/>
      <c r="BYO1" s="1082"/>
      <c r="BYP1" s="1082"/>
      <c r="BYQ1" s="1082"/>
      <c r="BYR1" s="1082"/>
      <c r="BYS1" s="1082"/>
      <c r="BYT1" s="1082"/>
      <c r="BYU1" s="1082"/>
      <c r="BYV1" s="1082"/>
      <c r="BYW1" s="1082"/>
      <c r="BYX1" s="1082"/>
      <c r="BYY1" s="1082"/>
      <c r="BYZ1" s="1082"/>
      <c r="BZA1" s="1082"/>
      <c r="BZB1" s="1082"/>
      <c r="BZC1" s="1082"/>
      <c r="BZD1" s="1082"/>
      <c r="BZE1" s="1082"/>
      <c r="BZF1" s="1082"/>
      <c r="BZG1" s="1082"/>
      <c r="BZH1" s="1082"/>
      <c r="BZI1" s="1082"/>
      <c r="BZJ1" s="1082"/>
      <c r="BZK1" s="1082"/>
      <c r="BZL1" s="1082"/>
      <c r="BZM1" s="1082"/>
      <c r="BZN1" s="1082"/>
      <c r="BZO1" s="1082"/>
      <c r="BZP1" s="1082"/>
      <c r="BZQ1" s="1082"/>
      <c r="BZR1" s="1082"/>
      <c r="BZS1" s="1082"/>
      <c r="BZT1" s="1082"/>
      <c r="BZU1" s="1082"/>
      <c r="BZV1" s="1082"/>
      <c r="BZW1" s="1082"/>
      <c r="BZX1" s="1082"/>
      <c r="BZY1" s="1082"/>
      <c r="BZZ1" s="1082"/>
      <c r="CAA1" s="1082"/>
      <c r="CAB1" s="1082"/>
      <c r="CAC1" s="1082"/>
      <c r="CAD1" s="1082"/>
      <c r="CAE1" s="1082"/>
      <c r="CAF1" s="1082"/>
      <c r="CAG1" s="1082"/>
      <c r="CAH1" s="1082"/>
      <c r="CAI1" s="1082"/>
      <c r="CAJ1" s="1082"/>
      <c r="CAK1" s="1082"/>
      <c r="CAL1" s="1082"/>
      <c r="CAM1" s="1082"/>
      <c r="CAN1" s="1082"/>
      <c r="CAO1" s="1082"/>
      <c r="CAP1" s="1082"/>
      <c r="CAQ1" s="1082"/>
      <c r="CAR1" s="1082"/>
      <c r="CAS1" s="1082"/>
      <c r="CAT1" s="1082"/>
      <c r="CAU1" s="1082"/>
      <c r="CAV1" s="1082"/>
      <c r="CAW1" s="1082"/>
      <c r="CAX1" s="1082"/>
      <c r="CAY1" s="1082"/>
      <c r="CAZ1" s="1082"/>
      <c r="CBA1" s="1082"/>
      <c r="CBB1" s="1082"/>
      <c r="CBC1" s="1082"/>
      <c r="CBD1" s="1082"/>
      <c r="CBE1" s="1082"/>
      <c r="CBF1" s="1082"/>
      <c r="CBG1" s="1082"/>
      <c r="CBH1" s="1082"/>
      <c r="CBI1" s="1082"/>
      <c r="CBJ1" s="1082"/>
      <c r="CBK1" s="1082"/>
      <c r="CBL1" s="1082"/>
      <c r="CBM1" s="1082"/>
      <c r="CBN1" s="1082"/>
      <c r="CBO1" s="1082"/>
      <c r="CBP1" s="1082"/>
      <c r="CBQ1" s="1082"/>
      <c r="CBR1" s="1082"/>
      <c r="CBS1" s="1082"/>
      <c r="CBT1" s="1082"/>
      <c r="CBU1" s="1082"/>
      <c r="CBV1" s="1082"/>
      <c r="CBW1" s="1082"/>
      <c r="CBX1" s="1082"/>
      <c r="CBY1" s="1082"/>
      <c r="CBZ1" s="1082"/>
      <c r="CCA1" s="1082"/>
      <c r="CCB1" s="1082"/>
      <c r="CCC1" s="1082"/>
      <c r="CCD1" s="1082"/>
      <c r="CCE1" s="1082"/>
      <c r="CCF1" s="1082"/>
      <c r="CCG1" s="1082"/>
      <c r="CCH1" s="1082"/>
      <c r="CCI1" s="1082"/>
      <c r="CCJ1" s="1082"/>
      <c r="CCK1" s="1082"/>
      <c r="CCL1" s="1082"/>
      <c r="CCM1" s="1082"/>
      <c r="CCN1" s="1082"/>
      <c r="CCO1" s="1082"/>
      <c r="CCP1" s="1082"/>
      <c r="CCQ1" s="1082"/>
      <c r="CCR1" s="1082"/>
      <c r="CCS1" s="1082"/>
      <c r="CCT1" s="1082"/>
      <c r="CCU1" s="1082"/>
      <c r="CCV1" s="1082"/>
      <c r="CCW1" s="1082"/>
      <c r="CCX1" s="1082"/>
      <c r="CCY1" s="1082"/>
      <c r="CCZ1" s="1082"/>
      <c r="CDA1" s="1082"/>
      <c r="CDB1" s="1082"/>
      <c r="CDC1" s="1082"/>
      <c r="CDD1" s="1082"/>
      <c r="CDE1" s="1082"/>
      <c r="CDF1" s="1082"/>
      <c r="CDG1" s="1082"/>
      <c r="CDH1" s="1082"/>
      <c r="CDI1" s="1082"/>
      <c r="CDJ1" s="1082"/>
      <c r="CDK1" s="1082"/>
      <c r="CDL1" s="1082"/>
      <c r="CDM1" s="1082"/>
      <c r="CDN1" s="1082"/>
      <c r="CDO1" s="1082"/>
      <c r="CDP1" s="1082"/>
      <c r="CDQ1" s="1082"/>
      <c r="CDR1" s="1082"/>
      <c r="CDS1" s="1082"/>
      <c r="CDT1" s="1082"/>
      <c r="CDU1" s="1082"/>
      <c r="CDV1" s="1082"/>
      <c r="CDW1" s="1082"/>
      <c r="CDX1" s="1082"/>
      <c r="CDY1" s="1082"/>
      <c r="CDZ1" s="1082"/>
      <c r="CEA1" s="1082"/>
      <c r="CEB1" s="1082"/>
      <c r="CEC1" s="1082"/>
      <c r="CED1" s="1082"/>
      <c r="CEE1" s="1082"/>
      <c r="CEF1" s="1082"/>
      <c r="CEG1" s="1082"/>
      <c r="CEH1" s="1082"/>
      <c r="CEI1" s="1082"/>
      <c r="CEJ1" s="1082"/>
      <c r="CEK1" s="1082"/>
      <c r="CEL1" s="1082"/>
      <c r="CEM1" s="1082"/>
      <c r="CEN1" s="1082"/>
      <c r="CEO1" s="1082"/>
      <c r="CEP1" s="1082"/>
      <c r="CEQ1" s="1082"/>
      <c r="CER1" s="1082"/>
      <c r="CES1" s="1082"/>
      <c r="CET1" s="1082"/>
      <c r="CEU1" s="1082"/>
      <c r="CEV1" s="1082"/>
      <c r="CEW1" s="1082"/>
      <c r="CEX1" s="1082"/>
      <c r="CEY1" s="1082"/>
      <c r="CEZ1" s="1082"/>
      <c r="CFA1" s="1082"/>
      <c r="CFB1" s="1082"/>
      <c r="CFC1" s="1082"/>
      <c r="CFD1" s="1082"/>
      <c r="CFE1" s="1082"/>
      <c r="CFF1" s="1082"/>
      <c r="CFG1" s="1082"/>
      <c r="CFH1" s="1082"/>
      <c r="CFI1" s="1082"/>
      <c r="CFJ1" s="1082"/>
      <c r="CFK1" s="1082"/>
      <c r="CFL1" s="1082"/>
      <c r="CFM1" s="1082"/>
      <c r="CFN1" s="1082"/>
      <c r="CFO1" s="1082"/>
      <c r="CFP1" s="1082"/>
      <c r="CFQ1" s="1082"/>
      <c r="CFR1" s="1082"/>
      <c r="CFS1" s="1082"/>
      <c r="CFT1" s="1082"/>
      <c r="CFU1" s="1082"/>
      <c r="CFV1" s="1082"/>
      <c r="CFW1" s="1082"/>
      <c r="CFX1" s="1082"/>
      <c r="CFY1" s="1082"/>
      <c r="CFZ1" s="1082"/>
      <c r="CGA1" s="1082"/>
      <c r="CGB1" s="1082"/>
      <c r="CGC1" s="1082"/>
      <c r="CGD1" s="1082"/>
      <c r="CGE1" s="1082"/>
      <c r="CGF1" s="1082"/>
      <c r="CGG1" s="1082"/>
      <c r="CGH1" s="1082"/>
      <c r="CGI1" s="1082"/>
      <c r="CGJ1" s="1082"/>
      <c r="CGK1" s="1082"/>
      <c r="CGL1" s="1082"/>
      <c r="CGM1" s="1082"/>
      <c r="CGN1" s="1082"/>
      <c r="CGO1" s="1082"/>
      <c r="CGP1" s="1082"/>
      <c r="CGQ1" s="1082"/>
      <c r="CGR1" s="1082"/>
      <c r="CGS1" s="1082"/>
      <c r="CGT1" s="1082"/>
      <c r="CGU1" s="1082"/>
      <c r="CGV1" s="1082"/>
      <c r="CGW1" s="1082"/>
      <c r="CGX1" s="1082"/>
      <c r="CGY1" s="1082"/>
      <c r="CGZ1" s="1082"/>
      <c r="CHA1" s="1082"/>
      <c r="CHB1" s="1082"/>
      <c r="CHC1" s="1082"/>
      <c r="CHD1" s="1082"/>
      <c r="CHE1" s="1082"/>
      <c r="CHF1" s="1082"/>
      <c r="CHG1" s="1082"/>
      <c r="CHH1" s="1082"/>
      <c r="CHI1" s="1082"/>
      <c r="CHJ1" s="1082"/>
      <c r="CHK1" s="1082"/>
      <c r="CHL1" s="1082"/>
      <c r="CHM1" s="1082"/>
      <c r="CHN1" s="1082"/>
      <c r="CHO1" s="1082"/>
      <c r="CHP1" s="1082"/>
      <c r="CHQ1" s="1082"/>
      <c r="CHR1" s="1082"/>
      <c r="CHS1" s="1082"/>
      <c r="CHT1" s="1082"/>
      <c r="CHU1" s="1082"/>
      <c r="CHV1" s="1082"/>
      <c r="CHW1" s="1082"/>
      <c r="CHX1" s="1082"/>
      <c r="CHY1" s="1082"/>
      <c r="CHZ1" s="1082"/>
      <c r="CIA1" s="1082"/>
      <c r="CIB1" s="1082"/>
      <c r="CIC1" s="1082"/>
      <c r="CID1" s="1082"/>
      <c r="CIE1" s="1082"/>
      <c r="CIF1" s="1082"/>
      <c r="CIG1" s="1082"/>
      <c r="CIH1" s="1082"/>
      <c r="CII1" s="1082"/>
      <c r="CIJ1" s="1082"/>
      <c r="CIK1" s="1082"/>
      <c r="CIL1" s="1082"/>
      <c r="CIM1" s="1082"/>
      <c r="CIN1" s="1082"/>
      <c r="CIO1" s="1082"/>
      <c r="CIP1" s="1082"/>
      <c r="CIQ1" s="1082"/>
      <c r="CIR1" s="1082"/>
      <c r="CIS1" s="1082"/>
      <c r="CIT1" s="1082"/>
      <c r="CIU1" s="1082"/>
      <c r="CIV1" s="1082"/>
      <c r="CIW1" s="1082"/>
      <c r="CIX1" s="1082"/>
      <c r="CIY1" s="1082"/>
      <c r="CIZ1" s="1082"/>
      <c r="CJA1" s="1082"/>
      <c r="CJB1" s="1082"/>
      <c r="CJC1" s="1082"/>
      <c r="CJD1" s="1082"/>
      <c r="CJE1" s="1082"/>
      <c r="CJF1" s="1082"/>
      <c r="CJG1" s="1082"/>
      <c r="CJH1" s="1082"/>
      <c r="CJI1" s="1082"/>
      <c r="CJJ1" s="1082"/>
      <c r="CJK1" s="1082"/>
      <c r="CJL1" s="1082"/>
      <c r="CJM1" s="1082"/>
      <c r="CJN1" s="1082"/>
      <c r="CJO1" s="1082"/>
      <c r="CJP1" s="1082"/>
      <c r="CJQ1" s="1082"/>
      <c r="CJR1" s="1082"/>
      <c r="CJS1" s="1082"/>
      <c r="CJT1" s="1082"/>
      <c r="CJU1" s="1082"/>
      <c r="CJV1" s="1082"/>
      <c r="CJW1" s="1082"/>
      <c r="CJX1" s="1082"/>
      <c r="CJY1" s="1082"/>
      <c r="CJZ1" s="1082"/>
      <c r="CKA1" s="1082"/>
      <c r="CKB1" s="1082"/>
      <c r="CKC1" s="1082"/>
      <c r="CKD1" s="1082"/>
      <c r="CKE1" s="1082"/>
      <c r="CKF1" s="1082"/>
      <c r="CKG1" s="1082"/>
      <c r="CKH1" s="1082"/>
      <c r="CKI1" s="1082"/>
      <c r="CKJ1" s="1082"/>
      <c r="CKK1" s="1082"/>
      <c r="CKL1" s="1082"/>
      <c r="CKM1" s="1082"/>
      <c r="CKN1" s="1082"/>
      <c r="CKO1" s="1082"/>
      <c r="CKP1" s="1082"/>
      <c r="CKQ1" s="1082"/>
      <c r="CKR1" s="1082"/>
      <c r="CKS1" s="1082"/>
      <c r="CKT1" s="1082"/>
      <c r="CKU1" s="1082"/>
      <c r="CKV1" s="1082"/>
      <c r="CKW1" s="1082"/>
      <c r="CKX1" s="1082"/>
      <c r="CKY1" s="1082"/>
      <c r="CKZ1" s="1082"/>
      <c r="CLA1" s="1082"/>
      <c r="CLB1" s="1082"/>
      <c r="CLC1" s="1082"/>
      <c r="CLD1" s="1082"/>
      <c r="CLE1" s="1082"/>
      <c r="CLF1" s="1082"/>
      <c r="CLG1" s="1082"/>
      <c r="CLH1" s="1082"/>
      <c r="CLI1" s="1082"/>
      <c r="CLJ1" s="1082"/>
      <c r="CLK1" s="1082"/>
      <c r="CLL1" s="1082"/>
      <c r="CLM1" s="1082"/>
      <c r="CLN1" s="1082"/>
      <c r="CLO1" s="1082"/>
      <c r="CLP1" s="1082"/>
      <c r="CLQ1" s="1082"/>
      <c r="CLR1" s="1082"/>
      <c r="CLS1" s="1082"/>
      <c r="CLT1" s="1082"/>
      <c r="CLU1" s="1082"/>
      <c r="CLV1" s="1082"/>
      <c r="CLW1" s="1082"/>
      <c r="CLX1" s="1082"/>
      <c r="CLY1" s="1082"/>
      <c r="CLZ1" s="1082"/>
      <c r="CMA1" s="1082"/>
      <c r="CMB1" s="1082"/>
      <c r="CMC1" s="1082"/>
      <c r="CMD1" s="1082"/>
      <c r="CME1" s="1082"/>
      <c r="CMF1" s="1082"/>
      <c r="CMG1" s="1082"/>
      <c r="CMH1" s="1082"/>
      <c r="CMI1" s="1082"/>
      <c r="CMJ1" s="1082"/>
      <c r="CMK1" s="1082"/>
      <c r="CML1" s="1082"/>
      <c r="CMM1" s="1082"/>
      <c r="CMN1" s="1082"/>
      <c r="CMO1" s="1082"/>
      <c r="CMP1" s="1082"/>
      <c r="CMQ1" s="1082"/>
      <c r="CMR1" s="1082"/>
      <c r="CMS1" s="1082"/>
      <c r="CMT1" s="1082"/>
      <c r="CMU1" s="1082"/>
      <c r="CMV1" s="1082"/>
      <c r="CMW1" s="1082"/>
      <c r="CMX1" s="1082"/>
      <c r="CMY1" s="1082"/>
      <c r="CMZ1" s="1082"/>
      <c r="CNA1" s="1082"/>
      <c r="CNB1" s="1082"/>
      <c r="CNC1" s="1082"/>
      <c r="CND1" s="1082"/>
      <c r="CNE1" s="1082"/>
      <c r="CNF1" s="1082"/>
      <c r="CNG1" s="1082"/>
      <c r="CNH1" s="1082"/>
      <c r="CNI1" s="1082"/>
      <c r="CNJ1" s="1082"/>
      <c r="CNK1" s="1082"/>
      <c r="CNL1" s="1082"/>
      <c r="CNM1" s="1082"/>
      <c r="CNN1" s="1082"/>
      <c r="CNO1" s="1082"/>
      <c r="CNP1" s="1082"/>
      <c r="CNQ1" s="1082"/>
      <c r="CNR1" s="1082"/>
      <c r="CNS1" s="1082"/>
      <c r="CNT1" s="1082"/>
      <c r="CNU1" s="1082"/>
      <c r="CNV1" s="1082"/>
      <c r="CNW1" s="1082"/>
      <c r="CNX1" s="1082"/>
      <c r="CNY1" s="1082"/>
      <c r="CNZ1" s="1082"/>
      <c r="COA1" s="1082"/>
      <c r="COB1" s="1082"/>
      <c r="COC1" s="1082"/>
      <c r="COD1" s="1082"/>
      <c r="COE1" s="1082"/>
      <c r="COF1" s="1082"/>
      <c r="COG1" s="1082"/>
      <c r="COH1" s="1082"/>
      <c r="COI1" s="1082"/>
      <c r="COJ1" s="1082"/>
      <c r="COK1" s="1082"/>
      <c r="COL1" s="1082"/>
      <c r="COM1" s="1082"/>
      <c r="CON1" s="1082"/>
      <c r="COO1" s="1082"/>
      <c r="COP1" s="1082"/>
      <c r="COQ1" s="1082"/>
      <c r="COR1" s="1082"/>
      <c r="COS1" s="1082"/>
      <c r="COT1" s="1082"/>
      <c r="COU1" s="1082"/>
      <c r="COV1" s="1082"/>
      <c r="COW1" s="1082"/>
      <c r="COX1" s="1082"/>
      <c r="COY1" s="1082"/>
      <c r="COZ1" s="1082"/>
      <c r="CPA1" s="1082"/>
      <c r="CPB1" s="1082"/>
      <c r="CPC1" s="1082"/>
      <c r="CPD1" s="1082"/>
      <c r="CPE1" s="1082"/>
      <c r="CPF1" s="1082"/>
      <c r="CPG1" s="1082"/>
      <c r="CPH1" s="1082"/>
      <c r="CPI1" s="1082"/>
      <c r="CPJ1" s="1082"/>
      <c r="CPK1" s="1082"/>
      <c r="CPL1" s="1082"/>
      <c r="CPM1" s="1082"/>
      <c r="CPN1" s="1082"/>
      <c r="CPO1" s="1082"/>
      <c r="CPP1" s="1082"/>
      <c r="CPQ1" s="1082"/>
      <c r="CPR1" s="1082"/>
      <c r="CPS1" s="1082"/>
      <c r="CPT1" s="1082"/>
      <c r="CPU1" s="1082"/>
      <c r="CPV1" s="1082"/>
      <c r="CPW1" s="1082"/>
      <c r="CPX1" s="1082"/>
      <c r="CPY1" s="1082"/>
      <c r="CPZ1" s="1082"/>
      <c r="CQA1" s="1082"/>
      <c r="CQB1" s="1082"/>
      <c r="CQC1" s="1082"/>
      <c r="CQD1" s="1082"/>
      <c r="CQE1" s="1082"/>
      <c r="CQF1" s="1082"/>
      <c r="CQG1" s="1082"/>
      <c r="CQH1" s="1082"/>
      <c r="CQI1" s="1082"/>
      <c r="CQJ1" s="1082"/>
      <c r="CQK1" s="1082"/>
      <c r="CQL1" s="1082"/>
      <c r="CQM1" s="1082"/>
      <c r="CQN1" s="1082"/>
      <c r="CQO1" s="1082"/>
      <c r="CQP1" s="1082"/>
      <c r="CQQ1" s="1082"/>
      <c r="CQR1" s="1082"/>
      <c r="CQS1" s="1082"/>
      <c r="CQT1" s="1082"/>
      <c r="CQU1" s="1082"/>
      <c r="CQV1" s="1082"/>
      <c r="CQW1" s="1082"/>
      <c r="CQX1" s="1082"/>
      <c r="CQY1" s="1082"/>
      <c r="CQZ1" s="1082"/>
      <c r="CRA1" s="1082"/>
      <c r="CRB1" s="1082"/>
      <c r="CRC1" s="1082"/>
      <c r="CRD1" s="1082"/>
      <c r="CRE1" s="1082"/>
      <c r="CRF1" s="1082"/>
      <c r="CRG1" s="1082"/>
      <c r="CRH1" s="1082"/>
      <c r="CRI1" s="1082"/>
      <c r="CRJ1" s="1082"/>
      <c r="CRK1" s="1082"/>
      <c r="CRL1" s="1082"/>
      <c r="CRM1" s="1082"/>
      <c r="CRN1" s="1082"/>
      <c r="CRO1" s="1082"/>
      <c r="CRP1" s="1082"/>
      <c r="CRQ1" s="1082"/>
      <c r="CRR1" s="1082"/>
      <c r="CRS1" s="1082"/>
      <c r="CRT1" s="1082"/>
      <c r="CRU1" s="1082"/>
      <c r="CRV1" s="1082"/>
      <c r="CRW1" s="1082"/>
      <c r="CRX1" s="1082"/>
      <c r="CRY1" s="1082"/>
      <c r="CRZ1" s="1082"/>
      <c r="CSA1" s="1082"/>
      <c r="CSB1" s="1082"/>
      <c r="CSC1" s="1082"/>
      <c r="CSD1" s="1082"/>
      <c r="CSE1" s="1082"/>
      <c r="CSF1" s="1082"/>
      <c r="CSG1" s="1082"/>
      <c r="CSH1" s="1082"/>
      <c r="CSI1" s="1082"/>
      <c r="CSJ1" s="1082"/>
      <c r="CSK1" s="1082"/>
      <c r="CSL1" s="1082"/>
      <c r="CSM1" s="1082"/>
      <c r="CSN1" s="1082"/>
      <c r="CSO1" s="1082"/>
      <c r="CSP1" s="1082"/>
      <c r="CSQ1" s="1082"/>
      <c r="CSR1" s="1082"/>
      <c r="CSS1" s="1082"/>
      <c r="CST1" s="1082"/>
      <c r="CSU1" s="1082"/>
      <c r="CSV1" s="1082"/>
      <c r="CSW1" s="1082"/>
      <c r="CSX1" s="1082"/>
      <c r="CSY1" s="1082"/>
      <c r="CSZ1" s="1082"/>
      <c r="CTA1" s="1082"/>
      <c r="CTB1" s="1082"/>
      <c r="CTC1" s="1082"/>
      <c r="CTD1" s="1082"/>
      <c r="CTE1" s="1082"/>
      <c r="CTF1" s="1082"/>
      <c r="CTG1" s="1082"/>
      <c r="CTH1" s="1082"/>
      <c r="CTI1" s="1082"/>
      <c r="CTJ1" s="1082"/>
      <c r="CTK1" s="1082"/>
      <c r="CTL1" s="1082"/>
      <c r="CTM1" s="1082"/>
      <c r="CTN1" s="1082"/>
      <c r="CTO1" s="1082"/>
      <c r="CTP1" s="1082"/>
      <c r="CTQ1" s="1082"/>
      <c r="CTR1" s="1082"/>
      <c r="CTS1" s="1082"/>
      <c r="CTT1" s="1082"/>
      <c r="CTU1" s="1082"/>
      <c r="CTV1" s="1082"/>
      <c r="CTW1" s="1082"/>
      <c r="CTX1" s="1082"/>
      <c r="CTY1" s="1082"/>
      <c r="CTZ1" s="1082"/>
      <c r="CUA1" s="1082"/>
      <c r="CUB1" s="1082"/>
      <c r="CUC1" s="1082"/>
      <c r="CUD1" s="1082"/>
      <c r="CUE1" s="1082"/>
      <c r="CUF1" s="1082"/>
      <c r="CUG1" s="1082"/>
      <c r="CUH1" s="1082"/>
      <c r="CUI1" s="1082"/>
      <c r="CUJ1" s="1082"/>
      <c r="CUK1" s="1082"/>
      <c r="CUL1" s="1082"/>
      <c r="CUM1" s="1082"/>
      <c r="CUN1" s="1082"/>
      <c r="CUO1" s="1082"/>
      <c r="CUP1" s="1082"/>
      <c r="CUQ1" s="1082"/>
      <c r="CUR1" s="1082"/>
      <c r="CUS1" s="1082"/>
      <c r="CUT1" s="1082"/>
      <c r="CUU1" s="1082"/>
      <c r="CUV1" s="1082"/>
      <c r="CUW1" s="1082"/>
      <c r="CUX1" s="1082"/>
      <c r="CUY1" s="1082"/>
      <c r="CUZ1" s="1082"/>
      <c r="CVA1" s="1082"/>
      <c r="CVB1" s="1082"/>
      <c r="CVC1" s="1082"/>
      <c r="CVD1" s="1082"/>
      <c r="CVE1" s="1082"/>
      <c r="CVF1" s="1082"/>
      <c r="CVG1" s="1082"/>
      <c r="CVH1" s="1082"/>
      <c r="CVI1" s="1082"/>
      <c r="CVJ1" s="1082"/>
      <c r="CVK1" s="1082"/>
      <c r="CVL1" s="1082"/>
      <c r="CVM1" s="1082"/>
      <c r="CVN1" s="1082"/>
      <c r="CVO1" s="1082"/>
      <c r="CVP1" s="1082"/>
      <c r="CVQ1" s="1082"/>
      <c r="CVR1" s="1082"/>
      <c r="CVS1" s="1082"/>
      <c r="CVT1" s="1082"/>
      <c r="CVU1" s="1082"/>
      <c r="CVV1" s="1082"/>
      <c r="CVW1" s="1082"/>
      <c r="CVX1" s="1082"/>
      <c r="CVY1" s="1082"/>
      <c r="CVZ1" s="1082"/>
      <c r="CWA1" s="1082"/>
      <c r="CWB1" s="1082"/>
      <c r="CWC1" s="1082"/>
      <c r="CWD1" s="1082"/>
      <c r="CWE1" s="1082"/>
      <c r="CWF1" s="1082"/>
      <c r="CWG1" s="1082"/>
      <c r="CWH1" s="1082"/>
      <c r="CWI1" s="1082"/>
      <c r="CWJ1" s="1082"/>
      <c r="CWK1" s="1082"/>
      <c r="CWL1" s="1082"/>
      <c r="CWM1" s="1082"/>
      <c r="CWN1" s="1082"/>
      <c r="CWO1" s="1082"/>
      <c r="CWP1" s="1082"/>
      <c r="CWQ1" s="1082"/>
      <c r="CWR1" s="1082"/>
      <c r="CWS1" s="1082"/>
      <c r="CWT1" s="1082"/>
      <c r="CWU1" s="1082"/>
      <c r="CWV1" s="1082"/>
      <c r="CWW1" s="1082"/>
      <c r="CWX1" s="1082"/>
      <c r="CWY1" s="1082"/>
      <c r="CWZ1" s="1082"/>
      <c r="CXA1" s="1082"/>
      <c r="CXB1" s="1082"/>
      <c r="CXC1" s="1082"/>
      <c r="CXD1" s="1082"/>
      <c r="CXE1" s="1082"/>
      <c r="CXF1" s="1082"/>
      <c r="CXG1" s="1082"/>
      <c r="CXH1" s="1082"/>
      <c r="CXI1" s="1082"/>
      <c r="CXJ1" s="1082"/>
      <c r="CXK1" s="1082"/>
      <c r="CXL1" s="1082"/>
      <c r="CXM1" s="1082"/>
      <c r="CXN1" s="1082"/>
      <c r="CXO1" s="1082"/>
      <c r="CXP1" s="1082"/>
      <c r="CXQ1" s="1082"/>
      <c r="CXR1" s="1082"/>
      <c r="CXS1" s="1082"/>
      <c r="CXT1" s="1082"/>
      <c r="CXU1" s="1082"/>
      <c r="CXV1" s="1082"/>
      <c r="CXW1" s="1082"/>
      <c r="CXX1" s="1082"/>
      <c r="CXY1" s="1082"/>
      <c r="CXZ1" s="1082"/>
      <c r="CYA1" s="1082"/>
      <c r="CYB1" s="1082"/>
      <c r="CYC1" s="1082"/>
      <c r="CYD1" s="1082"/>
      <c r="CYE1" s="1082"/>
      <c r="CYF1" s="1082"/>
      <c r="CYG1" s="1082"/>
      <c r="CYH1" s="1082"/>
      <c r="CYI1" s="1082"/>
      <c r="CYJ1" s="1082"/>
      <c r="CYK1" s="1082"/>
      <c r="CYL1" s="1082"/>
      <c r="CYM1" s="1082"/>
      <c r="CYN1" s="1082"/>
      <c r="CYO1" s="1082"/>
      <c r="CYP1" s="1082"/>
      <c r="CYQ1" s="1082"/>
      <c r="CYR1" s="1082"/>
      <c r="CYS1" s="1082"/>
      <c r="CYT1" s="1082"/>
      <c r="CYU1" s="1082"/>
      <c r="CYV1" s="1082"/>
      <c r="CYW1" s="1082"/>
      <c r="CYX1" s="1082"/>
      <c r="CYY1" s="1082"/>
      <c r="CYZ1" s="1082"/>
      <c r="CZA1" s="1082"/>
      <c r="CZB1" s="1082"/>
      <c r="CZC1" s="1082"/>
      <c r="CZD1" s="1082"/>
      <c r="CZE1" s="1082"/>
      <c r="CZF1" s="1082"/>
      <c r="CZG1" s="1082"/>
      <c r="CZH1" s="1082"/>
      <c r="CZI1" s="1082"/>
      <c r="CZJ1" s="1082"/>
      <c r="CZK1" s="1082"/>
      <c r="CZL1" s="1082"/>
      <c r="CZM1" s="1082"/>
      <c r="CZN1" s="1082"/>
      <c r="CZO1" s="1082"/>
      <c r="CZP1" s="1082"/>
      <c r="CZQ1" s="1082"/>
      <c r="CZR1" s="1082"/>
      <c r="CZS1" s="1082"/>
      <c r="CZT1" s="1082"/>
      <c r="CZU1" s="1082"/>
      <c r="CZV1" s="1082"/>
      <c r="CZW1" s="1082"/>
      <c r="CZX1" s="1082"/>
      <c r="CZY1" s="1082"/>
      <c r="CZZ1" s="1082"/>
      <c r="DAA1" s="1082"/>
      <c r="DAB1" s="1082"/>
      <c r="DAC1" s="1082"/>
      <c r="DAD1" s="1082"/>
      <c r="DAE1" s="1082"/>
      <c r="DAF1" s="1082"/>
      <c r="DAG1" s="1082"/>
      <c r="DAH1" s="1082"/>
      <c r="DAI1" s="1082"/>
      <c r="DAJ1" s="1082"/>
      <c r="DAK1" s="1082"/>
      <c r="DAL1" s="1082"/>
      <c r="DAM1" s="1082"/>
      <c r="DAN1" s="1082"/>
      <c r="DAO1" s="1082"/>
      <c r="DAP1" s="1082"/>
      <c r="DAQ1" s="1082"/>
      <c r="DAR1" s="1082"/>
      <c r="DAS1" s="1082"/>
      <c r="DAT1" s="1082"/>
      <c r="DAU1" s="1082"/>
      <c r="DAV1" s="1082"/>
      <c r="DAW1" s="1082"/>
      <c r="DAX1" s="1082"/>
      <c r="DAY1" s="1082"/>
      <c r="DAZ1" s="1082"/>
      <c r="DBA1" s="1082"/>
      <c r="DBB1" s="1082"/>
      <c r="DBC1" s="1082"/>
      <c r="DBD1" s="1082"/>
      <c r="DBE1" s="1082"/>
      <c r="DBF1" s="1082"/>
      <c r="DBG1" s="1082"/>
      <c r="DBH1" s="1082"/>
      <c r="DBI1" s="1082"/>
      <c r="DBJ1" s="1082"/>
      <c r="DBK1" s="1082"/>
      <c r="DBL1" s="1082"/>
      <c r="DBM1" s="1082"/>
      <c r="DBN1" s="1082"/>
      <c r="DBO1" s="1082"/>
      <c r="DBP1" s="1082"/>
      <c r="DBQ1" s="1082"/>
      <c r="DBR1" s="1082"/>
      <c r="DBS1" s="1082"/>
      <c r="DBT1" s="1082"/>
      <c r="DBU1" s="1082"/>
      <c r="DBV1" s="1082"/>
      <c r="DBW1" s="1082"/>
      <c r="DBX1" s="1082"/>
      <c r="DBY1" s="1082"/>
      <c r="DBZ1" s="1082"/>
      <c r="DCA1" s="1082"/>
      <c r="DCB1" s="1082"/>
      <c r="DCC1" s="1082"/>
      <c r="DCD1" s="1082"/>
      <c r="DCE1" s="1082"/>
      <c r="DCF1" s="1082"/>
      <c r="DCG1" s="1082"/>
      <c r="DCH1" s="1082"/>
      <c r="DCI1" s="1082"/>
      <c r="DCJ1" s="1082"/>
      <c r="DCK1" s="1082"/>
      <c r="DCL1" s="1082"/>
      <c r="DCM1" s="1082"/>
      <c r="DCN1" s="1082"/>
      <c r="DCO1" s="1082"/>
      <c r="DCP1" s="1082"/>
      <c r="DCQ1" s="1082"/>
      <c r="DCR1" s="1082"/>
      <c r="DCS1" s="1082"/>
      <c r="DCT1" s="1082"/>
      <c r="DCU1" s="1082"/>
      <c r="DCV1" s="1082"/>
      <c r="DCW1" s="1082"/>
      <c r="DCX1" s="1082"/>
      <c r="DCY1" s="1082"/>
      <c r="DCZ1" s="1082"/>
      <c r="DDA1" s="1082"/>
      <c r="DDB1" s="1082"/>
      <c r="DDC1" s="1082"/>
      <c r="DDD1" s="1082"/>
      <c r="DDE1" s="1082"/>
      <c r="DDF1" s="1082"/>
      <c r="DDG1" s="1082"/>
      <c r="DDH1" s="1082"/>
      <c r="DDI1" s="1082"/>
      <c r="DDJ1" s="1082"/>
      <c r="DDK1" s="1082"/>
      <c r="DDL1" s="1082"/>
      <c r="DDM1" s="1082"/>
      <c r="DDN1" s="1082"/>
      <c r="DDO1" s="1082"/>
      <c r="DDP1" s="1082"/>
      <c r="DDQ1" s="1082"/>
      <c r="DDR1" s="1082"/>
      <c r="DDS1" s="1082"/>
      <c r="DDT1" s="1082"/>
      <c r="DDU1" s="1082"/>
      <c r="DDV1" s="1082"/>
      <c r="DDW1" s="1082"/>
      <c r="DDX1" s="1082"/>
      <c r="DDY1" s="1082"/>
      <c r="DDZ1" s="1082"/>
      <c r="DEA1" s="1082"/>
      <c r="DEB1" s="1082"/>
      <c r="DEC1" s="1082"/>
      <c r="DED1" s="1082"/>
      <c r="DEE1" s="1082"/>
      <c r="DEF1" s="1082"/>
      <c r="DEG1" s="1082"/>
      <c r="DEH1" s="1082"/>
      <c r="DEI1" s="1082"/>
      <c r="DEJ1" s="1082"/>
      <c r="DEK1" s="1082"/>
      <c r="DEL1" s="1082"/>
      <c r="DEM1" s="1082"/>
      <c r="DEN1" s="1082"/>
      <c r="DEO1" s="1082"/>
      <c r="DEP1" s="1082"/>
      <c r="DEQ1" s="1082"/>
      <c r="DER1" s="1082"/>
      <c r="DES1" s="1082"/>
      <c r="DET1" s="1082"/>
      <c r="DEU1" s="1082"/>
      <c r="DEV1" s="1082"/>
      <c r="DEW1" s="1082"/>
      <c r="DEX1" s="1082"/>
      <c r="DEY1" s="1082"/>
      <c r="DEZ1" s="1082"/>
      <c r="DFA1" s="1082"/>
      <c r="DFB1" s="1082"/>
      <c r="DFC1" s="1082"/>
      <c r="DFD1" s="1082"/>
      <c r="DFE1" s="1082"/>
      <c r="DFF1" s="1082"/>
      <c r="DFG1" s="1082"/>
      <c r="DFH1" s="1082"/>
      <c r="DFI1" s="1082"/>
      <c r="DFJ1" s="1082"/>
      <c r="DFK1" s="1082"/>
      <c r="DFL1" s="1082"/>
      <c r="DFM1" s="1082"/>
      <c r="DFN1" s="1082"/>
      <c r="DFO1" s="1082"/>
      <c r="DFP1" s="1082"/>
      <c r="DFQ1" s="1082"/>
      <c r="DFR1" s="1082"/>
      <c r="DFS1" s="1082"/>
      <c r="DFT1" s="1082"/>
      <c r="DFU1" s="1082"/>
      <c r="DFV1" s="1082"/>
      <c r="DFW1" s="1082"/>
      <c r="DFX1" s="1082"/>
      <c r="DFY1" s="1082"/>
      <c r="DFZ1" s="1082"/>
      <c r="DGA1" s="1082"/>
      <c r="DGB1" s="1082"/>
      <c r="DGC1" s="1082"/>
      <c r="DGD1" s="1082"/>
      <c r="DGE1" s="1082"/>
      <c r="DGF1" s="1082"/>
      <c r="DGG1" s="1082"/>
      <c r="DGH1" s="1082"/>
      <c r="DGI1" s="1082"/>
      <c r="DGJ1" s="1082"/>
      <c r="DGK1" s="1082"/>
      <c r="DGL1" s="1082"/>
      <c r="DGM1" s="1082"/>
      <c r="DGN1" s="1082"/>
      <c r="DGO1" s="1082"/>
      <c r="DGP1" s="1082"/>
      <c r="DGQ1" s="1082"/>
      <c r="DGR1" s="1082"/>
      <c r="DGS1" s="1082"/>
      <c r="DGT1" s="1082"/>
      <c r="DGU1" s="1082"/>
      <c r="DGV1" s="1082"/>
      <c r="DGW1" s="1082"/>
      <c r="DGX1" s="1082"/>
      <c r="DGY1" s="1082"/>
      <c r="DGZ1" s="1082"/>
      <c r="DHA1" s="1082"/>
      <c r="DHB1" s="1082"/>
      <c r="DHC1" s="1082"/>
      <c r="DHD1" s="1082"/>
      <c r="DHE1" s="1082"/>
      <c r="DHF1" s="1082"/>
      <c r="DHG1" s="1082"/>
      <c r="DHH1" s="1082"/>
      <c r="DHI1" s="1082"/>
      <c r="DHJ1" s="1082"/>
      <c r="DHK1" s="1082"/>
      <c r="DHL1" s="1082"/>
      <c r="DHM1" s="1082"/>
      <c r="DHN1" s="1082"/>
      <c r="DHO1" s="1082"/>
      <c r="DHP1" s="1082"/>
      <c r="DHQ1" s="1082"/>
      <c r="DHR1" s="1082"/>
      <c r="DHS1" s="1082"/>
      <c r="DHT1" s="1082"/>
      <c r="DHU1" s="1082"/>
      <c r="DHV1" s="1082"/>
      <c r="DHW1" s="1082"/>
      <c r="DHX1" s="1082"/>
      <c r="DHY1" s="1082"/>
      <c r="DHZ1" s="1082"/>
      <c r="DIA1" s="1082"/>
      <c r="DIB1" s="1082"/>
      <c r="DIC1" s="1082"/>
      <c r="DID1" s="1082"/>
      <c r="DIE1" s="1082"/>
      <c r="DIF1" s="1082"/>
      <c r="DIG1" s="1082"/>
      <c r="DIH1" s="1082"/>
      <c r="DII1" s="1082"/>
      <c r="DIJ1" s="1082"/>
      <c r="DIK1" s="1082"/>
      <c r="DIL1" s="1082"/>
      <c r="DIM1" s="1082"/>
      <c r="DIN1" s="1082"/>
      <c r="DIO1" s="1082"/>
      <c r="DIP1" s="1082"/>
      <c r="DIQ1" s="1082"/>
      <c r="DIR1" s="1082"/>
      <c r="DIS1" s="1082"/>
      <c r="DIT1" s="1082"/>
      <c r="DIU1" s="1082"/>
      <c r="DIV1" s="1082"/>
      <c r="DIW1" s="1082"/>
      <c r="DIX1" s="1082"/>
      <c r="DIY1" s="1082"/>
      <c r="DIZ1" s="1082"/>
      <c r="DJA1" s="1082"/>
      <c r="DJB1" s="1082"/>
      <c r="DJC1" s="1082"/>
      <c r="DJD1" s="1082"/>
      <c r="DJE1" s="1082"/>
      <c r="DJF1" s="1082"/>
      <c r="DJG1" s="1082"/>
      <c r="DJH1" s="1082"/>
      <c r="DJI1" s="1082"/>
      <c r="DJJ1" s="1082"/>
      <c r="DJK1" s="1082"/>
      <c r="DJL1" s="1082"/>
      <c r="DJM1" s="1082"/>
      <c r="DJN1" s="1082"/>
      <c r="DJO1" s="1082"/>
      <c r="DJP1" s="1082"/>
      <c r="DJQ1" s="1082"/>
      <c r="DJR1" s="1082"/>
      <c r="DJS1" s="1082"/>
      <c r="DJT1" s="1082"/>
      <c r="DJU1" s="1082"/>
      <c r="DJV1" s="1082"/>
      <c r="DJW1" s="1082"/>
      <c r="DJX1" s="1082"/>
      <c r="DJY1" s="1082"/>
      <c r="DJZ1" s="1082"/>
      <c r="DKA1" s="1082"/>
      <c r="DKB1" s="1082"/>
      <c r="DKC1" s="1082"/>
      <c r="DKD1" s="1082"/>
      <c r="DKE1" s="1082"/>
      <c r="DKF1" s="1082"/>
      <c r="DKG1" s="1082"/>
      <c r="DKH1" s="1082"/>
      <c r="DKI1" s="1082"/>
      <c r="DKJ1" s="1082"/>
      <c r="DKK1" s="1082"/>
      <c r="DKL1" s="1082"/>
      <c r="DKM1" s="1082"/>
      <c r="DKN1" s="1082"/>
      <c r="DKO1" s="1082"/>
      <c r="DKP1" s="1082"/>
      <c r="DKQ1" s="1082"/>
      <c r="DKR1" s="1082"/>
      <c r="DKS1" s="1082"/>
      <c r="DKT1" s="1082"/>
      <c r="DKU1" s="1082"/>
      <c r="DKV1" s="1082"/>
      <c r="DKW1" s="1082"/>
      <c r="DKX1" s="1082"/>
      <c r="DKY1" s="1082"/>
      <c r="DKZ1" s="1082"/>
      <c r="DLA1" s="1082"/>
      <c r="DLB1" s="1082"/>
      <c r="DLC1" s="1082"/>
      <c r="DLD1" s="1082"/>
      <c r="DLE1" s="1082"/>
      <c r="DLF1" s="1082"/>
      <c r="DLG1" s="1082"/>
      <c r="DLH1" s="1082"/>
      <c r="DLI1" s="1082"/>
      <c r="DLJ1" s="1082"/>
      <c r="DLK1" s="1082"/>
      <c r="DLL1" s="1082"/>
      <c r="DLM1" s="1082"/>
      <c r="DLN1" s="1082"/>
      <c r="DLO1" s="1082"/>
      <c r="DLP1" s="1082"/>
      <c r="DLQ1" s="1082"/>
      <c r="DLR1" s="1082"/>
      <c r="DLS1" s="1082"/>
      <c r="DLT1" s="1082"/>
      <c r="DLU1" s="1082"/>
      <c r="DLV1" s="1082"/>
      <c r="DLW1" s="1082"/>
      <c r="DLX1" s="1082"/>
      <c r="DLY1" s="1082"/>
      <c r="DLZ1" s="1082"/>
      <c r="DMA1" s="1082"/>
      <c r="DMB1" s="1082"/>
      <c r="DMC1" s="1082"/>
      <c r="DMD1" s="1082"/>
      <c r="DME1" s="1082"/>
      <c r="DMF1" s="1082"/>
      <c r="DMG1" s="1082"/>
      <c r="DMH1" s="1082"/>
      <c r="DMI1" s="1082"/>
      <c r="DMJ1" s="1082"/>
      <c r="DMK1" s="1082"/>
      <c r="DML1" s="1082"/>
      <c r="DMM1" s="1082"/>
      <c r="DMN1" s="1082"/>
      <c r="DMO1" s="1082"/>
      <c r="DMP1" s="1082"/>
      <c r="DMQ1" s="1082"/>
      <c r="DMR1" s="1082"/>
      <c r="DMS1" s="1082"/>
      <c r="DMT1" s="1082"/>
      <c r="DMU1" s="1082"/>
      <c r="DMV1" s="1082"/>
      <c r="DMW1" s="1082"/>
      <c r="DMX1" s="1082"/>
      <c r="DMY1" s="1082"/>
      <c r="DMZ1" s="1082"/>
      <c r="DNA1" s="1082"/>
      <c r="DNB1" s="1082"/>
      <c r="DNC1" s="1082"/>
      <c r="DND1" s="1082"/>
      <c r="DNE1" s="1082"/>
      <c r="DNF1" s="1082"/>
      <c r="DNG1" s="1082"/>
      <c r="DNH1" s="1082"/>
      <c r="DNI1" s="1082"/>
      <c r="DNJ1" s="1082"/>
      <c r="DNK1" s="1082"/>
      <c r="DNL1" s="1082"/>
      <c r="DNM1" s="1082"/>
      <c r="DNN1" s="1082"/>
      <c r="DNO1" s="1082"/>
      <c r="DNP1" s="1082"/>
      <c r="DNQ1" s="1082"/>
      <c r="DNR1" s="1082"/>
      <c r="DNS1" s="1082"/>
      <c r="DNT1" s="1082"/>
      <c r="DNU1" s="1082"/>
      <c r="DNV1" s="1082"/>
      <c r="DNW1" s="1082"/>
      <c r="DNX1" s="1082"/>
      <c r="DNY1" s="1082"/>
      <c r="DNZ1" s="1082"/>
      <c r="DOA1" s="1082"/>
      <c r="DOB1" s="1082"/>
      <c r="DOC1" s="1082"/>
      <c r="DOD1" s="1082"/>
      <c r="DOE1" s="1082"/>
      <c r="DOF1" s="1082"/>
      <c r="DOG1" s="1082"/>
      <c r="DOH1" s="1082"/>
      <c r="DOI1" s="1082"/>
      <c r="DOJ1" s="1082"/>
      <c r="DOK1" s="1082"/>
      <c r="DOL1" s="1082"/>
      <c r="DOM1" s="1082"/>
      <c r="DON1" s="1082"/>
      <c r="DOO1" s="1082"/>
      <c r="DOP1" s="1082"/>
      <c r="DOQ1" s="1082"/>
      <c r="DOR1" s="1082"/>
      <c r="DOS1" s="1082"/>
      <c r="DOT1" s="1082"/>
      <c r="DOU1" s="1082"/>
      <c r="DOV1" s="1082"/>
      <c r="DOW1" s="1082"/>
      <c r="DOX1" s="1082"/>
      <c r="DOY1" s="1082"/>
      <c r="DOZ1" s="1082"/>
      <c r="DPA1" s="1082"/>
      <c r="DPB1" s="1082"/>
      <c r="DPC1" s="1082"/>
      <c r="DPD1" s="1082"/>
      <c r="DPE1" s="1082"/>
      <c r="DPF1" s="1082"/>
      <c r="DPG1" s="1082"/>
      <c r="DPH1" s="1082"/>
      <c r="DPI1" s="1082"/>
      <c r="DPJ1" s="1082"/>
      <c r="DPK1" s="1082"/>
      <c r="DPL1" s="1082"/>
      <c r="DPM1" s="1082"/>
      <c r="DPN1" s="1082"/>
      <c r="DPO1" s="1082"/>
      <c r="DPP1" s="1082"/>
      <c r="DPQ1" s="1082"/>
      <c r="DPR1" s="1082"/>
      <c r="DPS1" s="1082"/>
      <c r="DPT1" s="1082"/>
      <c r="DPU1" s="1082"/>
      <c r="DPV1" s="1082"/>
      <c r="DPW1" s="1082"/>
      <c r="DPX1" s="1082"/>
      <c r="DPY1" s="1082"/>
      <c r="DPZ1" s="1082"/>
      <c r="DQA1" s="1082"/>
      <c r="DQB1" s="1082"/>
      <c r="DQC1" s="1082"/>
      <c r="DQD1" s="1082"/>
      <c r="DQE1" s="1082"/>
      <c r="DQF1" s="1082"/>
      <c r="DQG1" s="1082"/>
      <c r="DQH1" s="1082"/>
      <c r="DQI1" s="1082"/>
      <c r="DQJ1" s="1082"/>
      <c r="DQK1" s="1082"/>
      <c r="DQL1" s="1082"/>
      <c r="DQM1" s="1082"/>
      <c r="DQN1" s="1082"/>
      <c r="DQO1" s="1082"/>
      <c r="DQP1" s="1082"/>
      <c r="DQQ1" s="1082"/>
      <c r="DQR1" s="1082"/>
      <c r="DQS1" s="1082"/>
      <c r="DQT1" s="1082"/>
      <c r="DQU1" s="1082"/>
      <c r="DQV1" s="1082"/>
      <c r="DQW1" s="1082"/>
      <c r="DQX1" s="1082"/>
      <c r="DQY1" s="1082"/>
      <c r="DQZ1" s="1082"/>
      <c r="DRA1" s="1082"/>
      <c r="DRB1" s="1082"/>
      <c r="DRC1" s="1082"/>
      <c r="DRD1" s="1082"/>
      <c r="DRE1" s="1082"/>
      <c r="DRF1" s="1082"/>
      <c r="DRG1" s="1082"/>
      <c r="DRH1" s="1082"/>
      <c r="DRI1" s="1082"/>
      <c r="DRJ1" s="1082"/>
      <c r="DRK1" s="1082"/>
      <c r="DRL1" s="1082"/>
      <c r="DRM1" s="1082"/>
      <c r="DRN1" s="1082"/>
      <c r="DRO1" s="1082"/>
      <c r="DRP1" s="1082"/>
      <c r="DRQ1" s="1082"/>
      <c r="DRR1" s="1082"/>
      <c r="DRS1" s="1082"/>
      <c r="DRT1" s="1082"/>
      <c r="DRU1" s="1082"/>
      <c r="DRV1" s="1082"/>
      <c r="DRW1" s="1082"/>
      <c r="DRX1" s="1082"/>
      <c r="DRY1" s="1082"/>
      <c r="DRZ1" s="1082"/>
      <c r="DSA1" s="1082"/>
      <c r="DSB1" s="1082"/>
      <c r="DSC1" s="1082"/>
      <c r="DSD1" s="1082"/>
      <c r="DSE1" s="1082"/>
      <c r="DSF1" s="1082"/>
      <c r="DSG1" s="1082"/>
      <c r="DSH1" s="1082"/>
      <c r="DSI1" s="1082"/>
      <c r="DSJ1" s="1082"/>
      <c r="DSK1" s="1082"/>
      <c r="DSL1" s="1082"/>
      <c r="DSM1" s="1082"/>
      <c r="DSN1" s="1082"/>
      <c r="DSO1" s="1082"/>
      <c r="DSP1" s="1082"/>
      <c r="DSQ1" s="1082"/>
      <c r="DSR1" s="1082"/>
      <c r="DSS1" s="1082"/>
      <c r="DST1" s="1082"/>
      <c r="DSU1" s="1082"/>
      <c r="DSV1" s="1082"/>
      <c r="DSW1" s="1082"/>
      <c r="DSX1" s="1082"/>
      <c r="DSY1" s="1082"/>
      <c r="DSZ1" s="1082"/>
      <c r="DTA1" s="1082"/>
      <c r="DTB1" s="1082"/>
      <c r="DTC1" s="1082"/>
      <c r="DTD1" s="1082"/>
      <c r="DTE1" s="1082"/>
      <c r="DTF1" s="1082"/>
      <c r="DTG1" s="1082"/>
      <c r="DTH1" s="1082"/>
      <c r="DTI1" s="1082"/>
      <c r="DTJ1" s="1082"/>
      <c r="DTK1" s="1082"/>
      <c r="DTL1" s="1082"/>
      <c r="DTM1" s="1082"/>
      <c r="DTN1" s="1082"/>
      <c r="DTO1" s="1082"/>
      <c r="DTP1" s="1082"/>
      <c r="DTQ1" s="1082"/>
      <c r="DTR1" s="1082"/>
      <c r="DTS1" s="1082"/>
      <c r="DTT1" s="1082"/>
      <c r="DTU1" s="1082"/>
      <c r="DTV1" s="1082"/>
      <c r="DTW1" s="1082"/>
      <c r="DTX1" s="1082"/>
      <c r="DTY1" s="1082"/>
      <c r="DTZ1" s="1082"/>
      <c r="DUA1" s="1082"/>
      <c r="DUB1" s="1082"/>
      <c r="DUC1" s="1082"/>
      <c r="DUD1" s="1082"/>
      <c r="DUE1" s="1082"/>
      <c r="DUF1" s="1082"/>
      <c r="DUG1" s="1082"/>
      <c r="DUH1" s="1082"/>
      <c r="DUI1" s="1082"/>
      <c r="DUJ1" s="1082"/>
      <c r="DUK1" s="1082"/>
      <c r="DUL1" s="1082"/>
      <c r="DUM1" s="1082"/>
      <c r="DUN1" s="1082"/>
      <c r="DUO1" s="1082"/>
      <c r="DUP1" s="1082"/>
      <c r="DUQ1" s="1082"/>
      <c r="DUR1" s="1082"/>
      <c r="DUS1" s="1082"/>
      <c r="DUT1" s="1082"/>
      <c r="DUU1" s="1082"/>
      <c r="DUV1" s="1082"/>
      <c r="DUW1" s="1082"/>
      <c r="DUX1" s="1082"/>
      <c r="DUY1" s="1082"/>
      <c r="DUZ1" s="1082"/>
      <c r="DVA1" s="1082"/>
      <c r="DVB1" s="1082"/>
      <c r="DVC1" s="1082"/>
      <c r="DVD1" s="1082"/>
      <c r="DVE1" s="1082"/>
      <c r="DVF1" s="1082"/>
      <c r="DVG1" s="1082"/>
      <c r="DVH1" s="1082"/>
      <c r="DVI1" s="1082"/>
      <c r="DVJ1" s="1082"/>
      <c r="DVK1" s="1082"/>
      <c r="DVL1" s="1082"/>
      <c r="DVM1" s="1082"/>
      <c r="DVN1" s="1082"/>
      <c r="DVO1" s="1082"/>
      <c r="DVP1" s="1082"/>
      <c r="DVQ1" s="1082"/>
      <c r="DVR1" s="1082"/>
      <c r="DVS1" s="1082"/>
      <c r="DVT1" s="1082"/>
      <c r="DVU1" s="1082"/>
      <c r="DVV1" s="1082"/>
      <c r="DVW1" s="1082"/>
      <c r="DVX1" s="1082"/>
      <c r="DVY1" s="1082"/>
      <c r="DVZ1" s="1082"/>
      <c r="DWA1" s="1082"/>
      <c r="DWB1" s="1082"/>
      <c r="DWC1" s="1082"/>
      <c r="DWD1" s="1082"/>
      <c r="DWE1" s="1082"/>
      <c r="DWF1" s="1082"/>
      <c r="DWG1" s="1082"/>
      <c r="DWH1" s="1082"/>
      <c r="DWI1" s="1082"/>
      <c r="DWJ1" s="1082"/>
      <c r="DWK1" s="1082"/>
      <c r="DWL1" s="1082"/>
      <c r="DWM1" s="1082"/>
      <c r="DWN1" s="1082"/>
      <c r="DWO1" s="1082"/>
      <c r="DWP1" s="1082"/>
      <c r="DWQ1" s="1082"/>
      <c r="DWR1" s="1082"/>
      <c r="DWS1" s="1082"/>
      <c r="DWT1" s="1082"/>
      <c r="DWU1" s="1082"/>
      <c r="DWV1" s="1082"/>
      <c r="DWW1" s="1082"/>
      <c r="DWX1" s="1082"/>
      <c r="DWY1" s="1082"/>
      <c r="DWZ1" s="1082"/>
      <c r="DXA1" s="1082"/>
      <c r="DXB1" s="1082"/>
      <c r="DXC1" s="1082"/>
      <c r="DXD1" s="1082"/>
      <c r="DXE1" s="1082"/>
      <c r="DXF1" s="1082"/>
      <c r="DXG1" s="1082"/>
      <c r="DXH1" s="1082"/>
      <c r="DXI1" s="1082"/>
      <c r="DXJ1" s="1082"/>
      <c r="DXK1" s="1082"/>
      <c r="DXL1" s="1082"/>
      <c r="DXM1" s="1082"/>
      <c r="DXN1" s="1082"/>
      <c r="DXO1" s="1082"/>
      <c r="DXP1" s="1082"/>
      <c r="DXQ1" s="1082"/>
      <c r="DXR1" s="1082"/>
      <c r="DXS1" s="1082"/>
      <c r="DXT1" s="1082"/>
      <c r="DXU1" s="1082"/>
      <c r="DXV1" s="1082"/>
      <c r="DXW1" s="1082"/>
      <c r="DXX1" s="1082"/>
      <c r="DXY1" s="1082"/>
      <c r="DXZ1" s="1082"/>
      <c r="DYA1" s="1082"/>
      <c r="DYB1" s="1082"/>
      <c r="DYC1" s="1082"/>
      <c r="DYD1" s="1082"/>
      <c r="DYE1" s="1082"/>
      <c r="DYF1" s="1082"/>
      <c r="DYG1" s="1082"/>
      <c r="DYH1" s="1082"/>
      <c r="DYI1" s="1082"/>
      <c r="DYJ1" s="1082"/>
      <c r="DYK1" s="1082"/>
      <c r="DYL1" s="1082"/>
      <c r="DYM1" s="1082"/>
      <c r="DYN1" s="1082"/>
      <c r="DYO1" s="1082"/>
      <c r="DYP1" s="1082"/>
      <c r="DYQ1" s="1082"/>
      <c r="DYR1" s="1082"/>
      <c r="DYS1" s="1082"/>
      <c r="DYT1" s="1082"/>
      <c r="DYU1" s="1082"/>
      <c r="DYV1" s="1082"/>
      <c r="DYW1" s="1082"/>
      <c r="DYX1" s="1082"/>
      <c r="DYY1" s="1082"/>
      <c r="DYZ1" s="1082"/>
      <c r="DZA1" s="1082"/>
      <c r="DZB1" s="1082"/>
      <c r="DZC1" s="1082"/>
      <c r="DZD1" s="1082"/>
      <c r="DZE1" s="1082"/>
      <c r="DZF1" s="1082"/>
      <c r="DZG1" s="1082"/>
      <c r="DZH1" s="1082"/>
      <c r="DZI1" s="1082"/>
      <c r="DZJ1" s="1082"/>
      <c r="DZK1" s="1082"/>
      <c r="DZL1" s="1082"/>
      <c r="DZM1" s="1082"/>
      <c r="DZN1" s="1082"/>
      <c r="DZO1" s="1082"/>
      <c r="DZP1" s="1082"/>
      <c r="DZQ1" s="1082"/>
      <c r="DZR1" s="1082"/>
      <c r="DZS1" s="1082"/>
      <c r="DZT1" s="1082"/>
      <c r="DZU1" s="1082"/>
      <c r="DZV1" s="1082"/>
      <c r="DZW1" s="1082"/>
      <c r="DZX1" s="1082"/>
      <c r="DZY1" s="1082"/>
      <c r="DZZ1" s="1082"/>
      <c r="EAA1" s="1082"/>
      <c r="EAB1" s="1082"/>
      <c r="EAC1" s="1082"/>
      <c r="EAD1" s="1082"/>
      <c r="EAE1" s="1082"/>
      <c r="EAF1" s="1082"/>
      <c r="EAG1" s="1082"/>
      <c r="EAH1" s="1082"/>
      <c r="EAI1" s="1082"/>
      <c r="EAJ1" s="1082"/>
      <c r="EAK1" s="1082"/>
      <c r="EAL1" s="1082"/>
      <c r="EAM1" s="1082"/>
      <c r="EAN1" s="1082"/>
      <c r="EAO1" s="1082"/>
      <c r="EAP1" s="1082"/>
      <c r="EAQ1" s="1082"/>
      <c r="EAR1" s="1082"/>
      <c r="EAS1" s="1082"/>
      <c r="EAT1" s="1082"/>
      <c r="EAU1" s="1082"/>
      <c r="EAV1" s="1082"/>
      <c r="EAW1" s="1082"/>
      <c r="EAX1" s="1082"/>
      <c r="EAY1" s="1082"/>
      <c r="EAZ1" s="1082"/>
      <c r="EBA1" s="1082"/>
      <c r="EBB1" s="1082"/>
      <c r="EBC1" s="1082"/>
      <c r="EBD1" s="1082"/>
      <c r="EBE1" s="1082"/>
      <c r="EBF1" s="1082"/>
      <c r="EBG1" s="1082"/>
      <c r="EBH1" s="1082"/>
      <c r="EBI1" s="1082"/>
      <c r="EBJ1" s="1082"/>
      <c r="EBK1" s="1082"/>
      <c r="EBL1" s="1082"/>
      <c r="EBM1" s="1082"/>
      <c r="EBN1" s="1082"/>
      <c r="EBO1" s="1082"/>
      <c r="EBP1" s="1082"/>
      <c r="EBQ1" s="1082"/>
      <c r="EBR1" s="1082"/>
      <c r="EBS1" s="1082"/>
      <c r="EBT1" s="1082"/>
      <c r="EBU1" s="1082"/>
      <c r="EBV1" s="1082"/>
      <c r="EBW1" s="1082"/>
      <c r="EBX1" s="1082"/>
      <c r="EBY1" s="1082"/>
      <c r="EBZ1" s="1082"/>
      <c r="ECA1" s="1082"/>
      <c r="ECB1" s="1082"/>
      <c r="ECC1" s="1082"/>
      <c r="ECD1" s="1082"/>
      <c r="ECE1" s="1082"/>
      <c r="ECF1" s="1082"/>
      <c r="ECG1" s="1082"/>
      <c r="ECH1" s="1082"/>
      <c r="ECI1" s="1082"/>
      <c r="ECJ1" s="1082"/>
      <c r="ECK1" s="1082"/>
      <c r="ECL1" s="1082"/>
      <c r="ECM1" s="1082"/>
      <c r="ECN1" s="1082"/>
      <c r="ECO1" s="1082"/>
      <c r="ECP1" s="1082"/>
      <c r="ECQ1" s="1082"/>
      <c r="ECR1" s="1082"/>
      <c r="ECS1" s="1082"/>
      <c r="ECT1" s="1082"/>
      <c r="ECU1" s="1082"/>
      <c r="ECV1" s="1082"/>
      <c r="ECW1" s="1082"/>
      <c r="ECX1" s="1082"/>
      <c r="ECY1" s="1082"/>
      <c r="ECZ1" s="1082"/>
      <c r="EDA1" s="1082"/>
      <c r="EDB1" s="1082"/>
      <c r="EDC1" s="1082"/>
      <c r="EDD1" s="1082"/>
      <c r="EDE1" s="1082"/>
      <c r="EDF1" s="1082"/>
      <c r="EDG1" s="1082"/>
      <c r="EDH1" s="1082"/>
      <c r="EDI1" s="1082"/>
      <c r="EDJ1" s="1082"/>
      <c r="EDK1" s="1082"/>
      <c r="EDL1" s="1082"/>
      <c r="EDM1" s="1082"/>
      <c r="EDN1" s="1082"/>
      <c r="EDO1" s="1082"/>
      <c r="EDP1" s="1082"/>
      <c r="EDQ1" s="1082"/>
      <c r="EDR1" s="1082"/>
      <c r="EDS1" s="1082"/>
      <c r="EDT1" s="1082"/>
      <c r="EDU1" s="1082"/>
      <c r="EDV1" s="1082"/>
      <c r="EDW1" s="1082"/>
      <c r="EDX1" s="1082"/>
      <c r="EDY1" s="1082"/>
      <c r="EDZ1" s="1082"/>
      <c r="EEA1" s="1082"/>
      <c r="EEB1" s="1082"/>
      <c r="EEC1" s="1082"/>
      <c r="EED1" s="1082"/>
      <c r="EEE1" s="1082"/>
      <c r="EEF1" s="1082"/>
      <c r="EEG1" s="1082"/>
      <c r="EEH1" s="1082"/>
      <c r="EEI1" s="1082"/>
      <c r="EEJ1" s="1082"/>
      <c r="EEK1" s="1082"/>
      <c r="EEL1" s="1082"/>
      <c r="EEM1" s="1082"/>
      <c r="EEN1" s="1082"/>
      <c r="EEO1" s="1082"/>
      <c r="EEP1" s="1082"/>
      <c r="EEQ1" s="1082"/>
      <c r="EER1" s="1082"/>
      <c r="EES1" s="1082"/>
      <c r="EET1" s="1082"/>
      <c r="EEU1" s="1082"/>
      <c r="EEV1" s="1082"/>
      <c r="EEW1" s="1082"/>
      <c r="EEX1" s="1082"/>
      <c r="EEY1" s="1082"/>
      <c r="EEZ1" s="1082"/>
      <c r="EFA1" s="1082"/>
      <c r="EFB1" s="1082"/>
      <c r="EFC1" s="1082"/>
      <c r="EFD1" s="1082"/>
      <c r="EFE1" s="1082"/>
      <c r="EFF1" s="1082"/>
      <c r="EFG1" s="1082"/>
      <c r="EFH1" s="1082"/>
      <c r="EFI1" s="1082"/>
      <c r="EFJ1" s="1082"/>
      <c r="EFK1" s="1082"/>
      <c r="EFL1" s="1082"/>
      <c r="EFM1" s="1082"/>
      <c r="EFN1" s="1082"/>
      <c r="EFO1" s="1082"/>
      <c r="EFP1" s="1082"/>
      <c r="EFQ1" s="1082"/>
      <c r="EFR1" s="1082"/>
      <c r="EFS1" s="1082"/>
      <c r="EFT1" s="1082"/>
      <c r="EFU1" s="1082"/>
      <c r="EFV1" s="1082"/>
      <c r="EFW1" s="1082"/>
      <c r="EFX1" s="1082"/>
      <c r="EFY1" s="1082"/>
      <c r="EFZ1" s="1082"/>
      <c r="EGA1" s="1082"/>
      <c r="EGB1" s="1082"/>
      <c r="EGC1" s="1082"/>
      <c r="EGD1" s="1082"/>
      <c r="EGE1" s="1082"/>
      <c r="EGF1" s="1082"/>
      <c r="EGG1" s="1082"/>
      <c r="EGH1" s="1082"/>
      <c r="EGI1" s="1082"/>
      <c r="EGJ1" s="1082"/>
      <c r="EGK1" s="1082"/>
      <c r="EGL1" s="1082"/>
      <c r="EGM1" s="1082"/>
      <c r="EGN1" s="1082"/>
      <c r="EGO1" s="1082"/>
      <c r="EGP1" s="1082"/>
      <c r="EGQ1" s="1082"/>
      <c r="EGR1" s="1082"/>
      <c r="EGS1" s="1082"/>
      <c r="EGT1" s="1082"/>
      <c r="EGU1" s="1082"/>
      <c r="EGV1" s="1082"/>
      <c r="EGW1" s="1082"/>
      <c r="EGX1" s="1082"/>
      <c r="EGY1" s="1082"/>
      <c r="EGZ1" s="1082"/>
      <c r="EHA1" s="1082"/>
      <c r="EHB1" s="1082"/>
      <c r="EHC1" s="1082"/>
      <c r="EHD1" s="1082"/>
      <c r="EHE1" s="1082"/>
      <c r="EHF1" s="1082"/>
      <c r="EHG1" s="1082"/>
      <c r="EHH1" s="1082"/>
      <c r="EHI1" s="1082"/>
      <c r="EHJ1" s="1082"/>
      <c r="EHK1" s="1082"/>
      <c r="EHL1" s="1082"/>
      <c r="EHM1" s="1082"/>
      <c r="EHN1" s="1082"/>
      <c r="EHO1" s="1082"/>
      <c r="EHP1" s="1082"/>
      <c r="EHQ1" s="1082"/>
      <c r="EHR1" s="1082"/>
      <c r="EHS1" s="1082"/>
      <c r="EHT1" s="1082"/>
      <c r="EHU1" s="1082"/>
      <c r="EHV1" s="1082"/>
      <c r="EHW1" s="1082"/>
      <c r="EHX1" s="1082"/>
      <c r="EHY1" s="1082"/>
      <c r="EHZ1" s="1082"/>
      <c r="EIA1" s="1082"/>
      <c r="EIB1" s="1082"/>
      <c r="EIC1" s="1082"/>
      <c r="EID1" s="1082"/>
      <c r="EIE1" s="1082"/>
      <c r="EIF1" s="1082"/>
      <c r="EIG1" s="1082"/>
      <c r="EIH1" s="1082"/>
      <c r="EII1" s="1082"/>
      <c r="EIJ1" s="1082"/>
      <c r="EIK1" s="1082"/>
      <c r="EIL1" s="1082"/>
      <c r="EIM1" s="1082"/>
      <c r="EIN1" s="1082"/>
      <c r="EIO1" s="1082"/>
      <c r="EIP1" s="1082"/>
      <c r="EIQ1" s="1082"/>
      <c r="EIR1" s="1082"/>
      <c r="EIS1" s="1082"/>
      <c r="EIT1" s="1082"/>
      <c r="EIU1" s="1082"/>
      <c r="EIV1" s="1082"/>
      <c r="EIW1" s="1082"/>
      <c r="EIX1" s="1082"/>
      <c r="EIY1" s="1082"/>
      <c r="EIZ1" s="1082"/>
      <c r="EJA1" s="1082"/>
      <c r="EJB1" s="1082"/>
      <c r="EJC1" s="1082"/>
      <c r="EJD1" s="1082"/>
      <c r="EJE1" s="1082"/>
      <c r="EJF1" s="1082"/>
      <c r="EJG1" s="1082"/>
      <c r="EJH1" s="1082"/>
      <c r="EJI1" s="1082"/>
      <c r="EJJ1" s="1082"/>
      <c r="EJK1" s="1082"/>
      <c r="EJL1" s="1082"/>
      <c r="EJM1" s="1082"/>
      <c r="EJN1" s="1082"/>
      <c r="EJO1" s="1082"/>
      <c r="EJP1" s="1082"/>
      <c r="EJQ1" s="1082"/>
      <c r="EJR1" s="1082"/>
      <c r="EJS1" s="1082"/>
      <c r="EJT1" s="1082"/>
      <c r="EJU1" s="1082"/>
      <c r="EJV1" s="1082"/>
      <c r="EJW1" s="1082"/>
      <c r="EJX1" s="1082"/>
      <c r="EJY1" s="1082"/>
      <c r="EJZ1" s="1082"/>
      <c r="EKA1" s="1082"/>
      <c r="EKB1" s="1082"/>
      <c r="EKC1" s="1082"/>
      <c r="EKD1" s="1082"/>
      <c r="EKE1" s="1082"/>
      <c r="EKF1" s="1082"/>
      <c r="EKG1" s="1082"/>
      <c r="EKH1" s="1082"/>
      <c r="EKI1" s="1082"/>
      <c r="EKJ1" s="1082"/>
      <c r="EKK1" s="1082"/>
      <c r="EKL1" s="1082"/>
      <c r="EKM1" s="1082"/>
      <c r="EKN1" s="1082"/>
      <c r="EKO1" s="1082"/>
      <c r="EKP1" s="1082"/>
      <c r="EKQ1" s="1082"/>
      <c r="EKR1" s="1082"/>
      <c r="EKS1" s="1082"/>
      <c r="EKT1" s="1082"/>
      <c r="EKU1" s="1082"/>
      <c r="EKV1" s="1082"/>
      <c r="EKW1" s="1082"/>
      <c r="EKX1" s="1082"/>
      <c r="EKY1" s="1082"/>
      <c r="EKZ1" s="1082"/>
      <c r="ELA1" s="1082"/>
      <c r="ELB1" s="1082"/>
      <c r="ELC1" s="1082"/>
      <c r="ELD1" s="1082"/>
      <c r="ELE1" s="1082"/>
      <c r="ELF1" s="1082"/>
      <c r="ELG1" s="1082"/>
      <c r="ELH1" s="1082"/>
      <c r="ELI1" s="1082"/>
      <c r="ELJ1" s="1082"/>
      <c r="ELK1" s="1082"/>
      <c r="ELL1" s="1082"/>
      <c r="ELM1" s="1082"/>
      <c r="ELN1" s="1082"/>
      <c r="ELO1" s="1082"/>
      <c r="ELP1" s="1082"/>
      <c r="ELQ1" s="1082"/>
      <c r="ELR1" s="1082"/>
      <c r="ELS1" s="1082"/>
      <c r="ELT1" s="1082"/>
      <c r="ELU1" s="1082"/>
      <c r="ELV1" s="1082"/>
      <c r="ELW1" s="1082"/>
      <c r="ELX1" s="1082"/>
      <c r="ELY1" s="1082"/>
      <c r="ELZ1" s="1082"/>
      <c r="EMA1" s="1082"/>
      <c r="EMB1" s="1082"/>
      <c r="EMC1" s="1082"/>
      <c r="EMD1" s="1082"/>
      <c r="EME1" s="1082"/>
      <c r="EMF1" s="1082"/>
      <c r="EMG1" s="1082"/>
      <c r="EMH1" s="1082"/>
      <c r="EMI1" s="1082"/>
      <c r="EMJ1" s="1082"/>
      <c r="EMK1" s="1082"/>
      <c r="EML1" s="1082"/>
      <c r="EMM1" s="1082"/>
      <c r="EMN1" s="1082"/>
      <c r="EMO1" s="1082"/>
      <c r="EMP1" s="1082"/>
      <c r="EMQ1" s="1082"/>
      <c r="EMR1" s="1082"/>
      <c r="EMS1" s="1082"/>
      <c r="EMT1" s="1082"/>
      <c r="EMU1" s="1082"/>
      <c r="EMV1" s="1082"/>
      <c r="EMW1" s="1082"/>
      <c r="EMX1" s="1082"/>
      <c r="EMY1" s="1082"/>
      <c r="EMZ1" s="1082"/>
      <c r="ENA1" s="1082"/>
      <c r="ENB1" s="1082"/>
      <c r="ENC1" s="1082"/>
      <c r="END1" s="1082"/>
      <c r="ENE1" s="1082"/>
      <c r="ENF1" s="1082"/>
      <c r="ENG1" s="1082"/>
      <c r="ENH1" s="1082"/>
      <c r="ENI1" s="1082"/>
      <c r="ENJ1" s="1082"/>
      <c r="ENK1" s="1082"/>
      <c r="ENL1" s="1082"/>
      <c r="ENM1" s="1082"/>
      <c r="ENN1" s="1082"/>
      <c r="ENO1" s="1082"/>
      <c r="ENP1" s="1082"/>
      <c r="ENQ1" s="1082"/>
      <c r="ENR1" s="1082"/>
      <c r="ENS1" s="1082"/>
      <c r="ENT1" s="1082"/>
      <c r="ENU1" s="1082"/>
      <c r="ENV1" s="1082"/>
      <c r="ENW1" s="1082"/>
      <c r="ENX1" s="1082"/>
      <c r="ENY1" s="1082"/>
      <c r="ENZ1" s="1082"/>
      <c r="EOA1" s="1082"/>
      <c r="EOB1" s="1082"/>
      <c r="EOC1" s="1082"/>
      <c r="EOD1" s="1082"/>
      <c r="EOE1" s="1082"/>
      <c r="EOF1" s="1082"/>
      <c r="EOG1" s="1082"/>
      <c r="EOH1" s="1082"/>
      <c r="EOI1" s="1082"/>
      <c r="EOJ1" s="1082"/>
      <c r="EOK1" s="1082"/>
      <c r="EOL1" s="1082"/>
      <c r="EOM1" s="1082"/>
      <c r="EON1" s="1082"/>
      <c r="EOO1" s="1082"/>
      <c r="EOP1" s="1082"/>
      <c r="EOQ1" s="1082"/>
      <c r="EOR1" s="1082"/>
      <c r="EOS1" s="1082"/>
      <c r="EOT1" s="1082"/>
      <c r="EOU1" s="1082"/>
      <c r="EOV1" s="1082"/>
      <c r="EOW1" s="1082"/>
      <c r="EOX1" s="1082"/>
      <c r="EOY1" s="1082"/>
      <c r="EOZ1" s="1082"/>
      <c r="EPA1" s="1082"/>
      <c r="EPB1" s="1082"/>
      <c r="EPC1" s="1082"/>
      <c r="EPD1" s="1082"/>
      <c r="EPE1" s="1082"/>
      <c r="EPF1" s="1082"/>
      <c r="EPG1" s="1082"/>
      <c r="EPH1" s="1082"/>
      <c r="EPI1" s="1082"/>
      <c r="EPJ1" s="1082"/>
      <c r="EPK1" s="1082"/>
      <c r="EPL1" s="1082"/>
      <c r="EPM1" s="1082"/>
      <c r="EPN1" s="1082"/>
      <c r="EPO1" s="1082"/>
      <c r="EPP1" s="1082"/>
      <c r="EPQ1" s="1082"/>
      <c r="EPR1" s="1082"/>
      <c r="EPS1" s="1082"/>
      <c r="EPT1" s="1082"/>
      <c r="EPU1" s="1082"/>
      <c r="EPV1" s="1082"/>
      <c r="EPW1" s="1082"/>
      <c r="EPX1" s="1082"/>
      <c r="EPY1" s="1082"/>
      <c r="EPZ1" s="1082"/>
      <c r="EQA1" s="1082"/>
      <c r="EQB1" s="1082"/>
      <c r="EQC1" s="1082"/>
      <c r="EQD1" s="1082"/>
      <c r="EQE1" s="1082"/>
      <c r="EQF1" s="1082"/>
      <c r="EQG1" s="1082"/>
      <c r="EQH1" s="1082"/>
      <c r="EQI1" s="1082"/>
      <c r="EQJ1" s="1082"/>
      <c r="EQK1" s="1082"/>
      <c r="EQL1" s="1082"/>
      <c r="EQM1" s="1082"/>
      <c r="EQN1" s="1082"/>
      <c r="EQO1" s="1082"/>
      <c r="EQP1" s="1082"/>
      <c r="EQQ1" s="1082"/>
      <c r="EQR1" s="1082"/>
      <c r="EQS1" s="1082"/>
      <c r="EQT1" s="1082"/>
      <c r="EQU1" s="1082"/>
      <c r="EQV1" s="1082"/>
      <c r="EQW1" s="1082"/>
      <c r="EQX1" s="1082"/>
      <c r="EQY1" s="1082"/>
      <c r="EQZ1" s="1082"/>
      <c r="ERA1" s="1082"/>
      <c r="ERB1" s="1082"/>
      <c r="ERC1" s="1082"/>
      <c r="ERD1" s="1082"/>
      <c r="ERE1" s="1082"/>
      <c r="ERF1" s="1082"/>
      <c r="ERG1" s="1082"/>
      <c r="ERH1" s="1082"/>
      <c r="ERI1" s="1082"/>
      <c r="ERJ1" s="1082"/>
      <c r="ERK1" s="1082"/>
      <c r="ERL1" s="1082"/>
      <c r="ERM1" s="1082"/>
      <c r="ERN1" s="1082"/>
      <c r="ERO1" s="1082"/>
      <c r="ERP1" s="1082"/>
      <c r="ERQ1" s="1082"/>
      <c r="ERR1" s="1082"/>
      <c r="ERS1" s="1082"/>
      <c r="ERT1" s="1082"/>
      <c r="ERU1" s="1082"/>
      <c r="ERV1" s="1082"/>
      <c r="ERW1" s="1082"/>
      <c r="ERX1" s="1082"/>
      <c r="ERY1" s="1082"/>
      <c r="ERZ1" s="1082"/>
      <c r="ESA1" s="1082"/>
      <c r="ESB1" s="1082"/>
      <c r="ESC1" s="1082"/>
      <c r="ESD1" s="1082"/>
      <c r="ESE1" s="1082"/>
      <c r="ESF1" s="1082"/>
      <c r="ESG1" s="1082"/>
      <c r="ESH1" s="1082"/>
      <c r="ESI1" s="1082"/>
      <c r="ESJ1" s="1082"/>
      <c r="ESK1" s="1082"/>
      <c r="ESL1" s="1082"/>
      <c r="ESM1" s="1082"/>
      <c r="ESN1" s="1082"/>
      <c r="ESO1" s="1082"/>
      <c r="ESP1" s="1082"/>
      <c r="ESQ1" s="1082"/>
      <c r="ESR1" s="1082"/>
      <c r="ESS1" s="1082"/>
      <c r="EST1" s="1082"/>
      <c r="ESU1" s="1082"/>
      <c r="ESV1" s="1082"/>
      <c r="ESW1" s="1082"/>
      <c r="ESX1" s="1082"/>
      <c r="ESY1" s="1082"/>
      <c r="ESZ1" s="1082"/>
      <c r="ETA1" s="1082"/>
      <c r="ETB1" s="1082"/>
      <c r="ETC1" s="1082"/>
      <c r="ETD1" s="1082"/>
      <c r="ETE1" s="1082"/>
      <c r="ETF1" s="1082"/>
      <c r="ETG1" s="1082"/>
      <c r="ETH1" s="1082"/>
      <c r="ETI1" s="1082"/>
      <c r="ETJ1" s="1082"/>
      <c r="ETK1" s="1082"/>
      <c r="ETL1" s="1082"/>
      <c r="ETM1" s="1082"/>
      <c r="ETN1" s="1082"/>
      <c r="ETO1" s="1082"/>
      <c r="ETP1" s="1082"/>
      <c r="ETQ1" s="1082"/>
      <c r="ETR1" s="1082"/>
      <c r="ETS1" s="1082"/>
      <c r="ETT1" s="1082"/>
      <c r="ETU1" s="1082"/>
      <c r="ETV1" s="1082"/>
      <c r="ETW1" s="1082"/>
      <c r="ETX1" s="1082"/>
      <c r="ETY1" s="1082"/>
      <c r="ETZ1" s="1082"/>
      <c r="EUA1" s="1082"/>
      <c r="EUB1" s="1082"/>
      <c r="EUC1" s="1082"/>
      <c r="EUD1" s="1082"/>
      <c r="EUE1" s="1082"/>
      <c r="EUF1" s="1082"/>
      <c r="EUG1" s="1082"/>
      <c r="EUH1" s="1082"/>
      <c r="EUI1" s="1082"/>
      <c r="EUJ1" s="1082"/>
      <c r="EUK1" s="1082"/>
      <c r="EUL1" s="1082"/>
      <c r="EUM1" s="1082"/>
      <c r="EUN1" s="1082"/>
      <c r="EUO1" s="1082"/>
      <c r="EUP1" s="1082"/>
      <c r="EUQ1" s="1082"/>
      <c r="EUR1" s="1082"/>
      <c r="EUS1" s="1082"/>
      <c r="EUT1" s="1082"/>
      <c r="EUU1" s="1082"/>
      <c r="EUV1" s="1082"/>
      <c r="EUW1" s="1082"/>
      <c r="EUX1" s="1082"/>
      <c r="EUY1" s="1082"/>
      <c r="EUZ1" s="1082"/>
      <c r="EVA1" s="1082"/>
      <c r="EVB1" s="1082"/>
      <c r="EVC1" s="1082"/>
      <c r="EVD1" s="1082"/>
      <c r="EVE1" s="1082"/>
      <c r="EVF1" s="1082"/>
      <c r="EVG1" s="1082"/>
      <c r="EVH1" s="1082"/>
      <c r="EVI1" s="1082"/>
      <c r="EVJ1" s="1082"/>
      <c r="EVK1" s="1082"/>
      <c r="EVL1" s="1082"/>
      <c r="EVM1" s="1082"/>
      <c r="EVN1" s="1082"/>
      <c r="EVO1" s="1082"/>
      <c r="EVP1" s="1082"/>
      <c r="EVQ1" s="1082"/>
      <c r="EVR1" s="1082"/>
      <c r="EVS1" s="1082"/>
      <c r="EVT1" s="1082"/>
      <c r="EVU1" s="1082"/>
      <c r="EVV1" s="1082"/>
      <c r="EVW1" s="1082"/>
      <c r="EVX1" s="1082"/>
      <c r="EVY1" s="1082"/>
      <c r="EVZ1" s="1082"/>
      <c r="EWA1" s="1082"/>
      <c r="EWB1" s="1082"/>
      <c r="EWC1" s="1082"/>
      <c r="EWD1" s="1082"/>
      <c r="EWE1" s="1082"/>
      <c r="EWF1" s="1082"/>
      <c r="EWG1" s="1082"/>
      <c r="EWH1" s="1082"/>
      <c r="EWI1" s="1082"/>
      <c r="EWJ1" s="1082"/>
      <c r="EWK1" s="1082"/>
      <c r="EWL1" s="1082"/>
      <c r="EWM1" s="1082"/>
      <c r="EWN1" s="1082"/>
      <c r="EWO1" s="1082"/>
      <c r="EWP1" s="1082"/>
      <c r="EWQ1" s="1082"/>
      <c r="EWR1" s="1082"/>
      <c r="EWS1" s="1082"/>
      <c r="EWT1" s="1082"/>
      <c r="EWU1" s="1082"/>
      <c r="EWV1" s="1082"/>
      <c r="EWW1" s="1082"/>
      <c r="EWX1" s="1082"/>
      <c r="EWY1" s="1082"/>
      <c r="EWZ1" s="1082"/>
      <c r="EXA1" s="1082"/>
      <c r="EXB1" s="1082"/>
      <c r="EXC1" s="1082"/>
      <c r="EXD1" s="1082"/>
      <c r="EXE1" s="1082"/>
      <c r="EXF1" s="1082"/>
      <c r="EXG1" s="1082"/>
      <c r="EXH1" s="1082"/>
      <c r="EXI1" s="1082"/>
      <c r="EXJ1" s="1082"/>
      <c r="EXK1" s="1082"/>
      <c r="EXL1" s="1082"/>
      <c r="EXM1" s="1082"/>
      <c r="EXN1" s="1082"/>
      <c r="EXO1" s="1082"/>
      <c r="EXP1" s="1082"/>
      <c r="EXQ1" s="1082"/>
      <c r="EXR1" s="1082"/>
      <c r="EXS1" s="1082"/>
      <c r="EXT1" s="1082"/>
      <c r="EXU1" s="1082"/>
      <c r="EXV1" s="1082"/>
      <c r="EXW1" s="1082"/>
      <c r="EXX1" s="1082"/>
      <c r="EXY1" s="1082"/>
      <c r="EXZ1" s="1082"/>
      <c r="EYA1" s="1082"/>
      <c r="EYB1" s="1082"/>
      <c r="EYC1" s="1082"/>
      <c r="EYD1" s="1082"/>
      <c r="EYE1" s="1082"/>
      <c r="EYF1" s="1082"/>
      <c r="EYG1" s="1082"/>
      <c r="EYH1" s="1082"/>
      <c r="EYI1" s="1082"/>
      <c r="EYJ1" s="1082"/>
      <c r="EYK1" s="1082"/>
      <c r="EYL1" s="1082"/>
      <c r="EYM1" s="1082"/>
      <c r="EYN1" s="1082"/>
      <c r="EYO1" s="1082"/>
      <c r="EYP1" s="1082"/>
      <c r="EYQ1" s="1082"/>
      <c r="EYR1" s="1082"/>
      <c r="EYS1" s="1082"/>
      <c r="EYT1" s="1082"/>
      <c r="EYU1" s="1082"/>
      <c r="EYV1" s="1082"/>
      <c r="EYW1" s="1082"/>
      <c r="EYX1" s="1082"/>
      <c r="EYY1" s="1082"/>
      <c r="EYZ1" s="1082"/>
      <c r="EZA1" s="1082"/>
      <c r="EZB1" s="1082"/>
      <c r="EZC1" s="1082"/>
      <c r="EZD1" s="1082"/>
      <c r="EZE1" s="1082"/>
      <c r="EZF1" s="1082"/>
      <c r="EZG1" s="1082"/>
      <c r="EZH1" s="1082"/>
      <c r="EZI1" s="1082"/>
      <c r="EZJ1" s="1082"/>
      <c r="EZK1" s="1082"/>
      <c r="EZL1" s="1082"/>
      <c r="EZM1" s="1082"/>
      <c r="EZN1" s="1082"/>
      <c r="EZO1" s="1082"/>
      <c r="EZP1" s="1082"/>
      <c r="EZQ1" s="1082"/>
      <c r="EZR1" s="1082"/>
      <c r="EZS1" s="1082"/>
      <c r="EZT1" s="1082"/>
      <c r="EZU1" s="1082"/>
      <c r="EZV1" s="1082"/>
      <c r="EZW1" s="1082"/>
      <c r="EZX1" s="1082"/>
      <c r="EZY1" s="1082"/>
      <c r="EZZ1" s="1082"/>
      <c r="FAA1" s="1082"/>
      <c r="FAB1" s="1082"/>
      <c r="FAC1" s="1082"/>
      <c r="FAD1" s="1082"/>
      <c r="FAE1" s="1082"/>
      <c r="FAF1" s="1082"/>
      <c r="FAG1" s="1082"/>
      <c r="FAH1" s="1082"/>
      <c r="FAI1" s="1082"/>
      <c r="FAJ1" s="1082"/>
      <c r="FAK1" s="1082"/>
      <c r="FAL1" s="1082"/>
      <c r="FAM1" s="1082"/>
      <c r="FAN1" s="1082"/>
      <c r="FAO1" s="1082"/>
      <c r="FAP1" s="1082"/>
      <c r="FAQ1" s="1082"/>
      <c r="FAR1" s="1082"/>
      <c r="FAS1" s="1082"/>
      <c r="FAT1" s="1082"/>
      <c r="FAU1" s="1082"/>
      <c r="FAV1" s="1082"/>
      <c r="FAW1" s="1082"/>
      <c r="FAX1" s="1082"/>
      <c r="FAY1" s="1082"/>
      <c r="FAZ1" s="1082"/>
      <c r="FBA1" s="1082"/>
      <c r="FBB1" s="1082"/>
      <c r="FBC1" s="1082"/>
      <c r="FBD1" s="1082"/>
      <c r="FBE1" s="1082"/>
      <c r="FBF1" s="1082"/>
      <c r="FBG1" s="1082"/>
      <c r="FBH1" s="1082"/>
      <c r="FBI1" s="1082"/>
      <c r="FBJ1" s="1082"/>
      <c r="FBK1" s="1082"/>
      <c r="FBL1" s="1082"/>
      <c r="FBM1" s="1082"/>
      <c r="FBN1" s="1082"/>
      <c r="FBO1" s="1082"/>
      <c r="FBP1" s="1082"/>
      <c r="FBQ1" s="1082"/>
      <c r="FBR1" s="1082"/>
      <c r="FBS1" s="1082"/>
      <c r="FBT1" s="1082"/>
      <c r="FBU1" s="1082"/>
      <c r="FBV1" s="1082"/>
      <c r="FBW1" s="1082"/>
      <c r="FBX1" s="1082"/>
      <c r="FBY1" s="1082"/>
      <c r="FBZ1" s="1082"/>
      <c r="FCA1" s="1082"/>
      <c r="FCB1" s="1082"/>
      <c r="FCC1" s="1082"/>
      <c r="FCD1" s="1082"/>
      <c r="FCE1" s="1082"/>
      <c r="FCF1" s="1082"/>
      <c r="FCG1" s="1082"/>
      <c r="FCH1" s="1082"/>
      <c r="FCI1" s="1082"/>
      <c r="FCJ1" s="1082"/>
      <c r="FCK1" s="1082"/>
      <c r="FCL1" s="1082"/>
      <c r="FCM1" s="1082"/>
      <c r="FCN1" s="1082"/>
      <c r="FCO1" s="1082"/>
      <c r="FCP1" s="1082"/>
      <c r="FCQ1" s="1082"/>
      <c r="FCR1" s="1082"/>
      <c r="FCS1" s="1082"/>
      <c r="FCT1" s="1082"/>
      <c r="FCU1" s="1082"/>
      <c r="FCV1" s="1082"/>
      <c r="FCW1" s="1082"/>
      <c r="FCX1" s="1082"/>
      <c r="FCY1" s="1082"/>
      <c r="FCZ1" s="1082"/>
      <c r="FDA1" s="1082"/>
      <c r="FDB1" s="1082"/>
      <c r="FDC1" s="1082"/>
      <c r="FDD1" s="1082"/>
      <c r="FDE1" s="1082"/>
      <c r="FDF1" s="1082"/>
      <c r="FDG1" s="1082"/>
      <c r="FDH1" s="1082"/>
      <c r="FDI1" s="1082"/>
      <c r="FDJ1" s="1082"/>
      <c r="FDK1" s="1082"/>
      <c r="FDL1" s="1082"/>
      <c r="FDM1" s="1082"/>
      <c r="FDN1" s="1082"/>
      <c r="FDO1" s="1082"/>
      <c r="FDP1" s="1082"/>
      <c r="FDQ1" s="1082"/>
      <c r="FDR1" s="1082"/>
      <c r="FDS1" s="1082"/>
      <c r="FDT1" s="1082"/>
      <c r="FDU1" s="1082"/>
      <c r="FDV1" s="1082"/>
      <c r="FDW1" s="1082"/>
      <c r="FDX1" s="1082"/>
      <c r="FDY1" s="1082"/>
      <c r="FDZ1" s="1082"/>
      <c r="FEA1" s="1082"/>
      <c r="FEB1" s="1082"/>
      <c r="FEC1" s="1082"/>
      <c r="FED1" s="1082"/>
      <c r="FEE1" s="1082"/>
      <c r="FEF1" s="1082"/>
      <c r="FEG1" s="1082"/>
      <c r="FEH1" s="1082"/>
      <c r="FEI1" s="1082"/>
      <c r="FEJ1" s="1082"/>
      <c r="FEK1" s="1082"/>
      <c r="FEL1" s="1082"/>
      <c r="FEM1" s="1082"/>
      <c r="FEN1" s="1082"/>
      <c r="FEO1" s="1082"/>
      <c r="FEP1" s="1082"/>
      <c r="FEQ1" s="1082"/>
      <c r="FER1" s="1082"/>
      <c r="FES1" s="1082"/>
      <c r="FET1" s="1082"/>
      <c r="FEU1" s="1082"/>
      <c r="FEV1" s="1082"/>
      <c r="FEW1" s="1082"/>
      <c r="FEX1" s="1082"/>
      <c r="FEY1" s="1082"/>
      <c r="FEZ1" s="1082"/>
      <c r="FFA1" s="1082"/>
      <c r="FFB1" s="1082"/>
      <c r="FFC1" s="1082"/>
      <c r="FFD1" s="1082"/>
      <c r="FFE1" s="1082"/>
      <c r="FFF1" s="1082"/>
      <c r="FFG1" s="1082"/>
      <c r="FFH1" s="1082"/>
      <c r="FFI1" s="1082"/>
      <c r="FFJ1" s="1082"/>
      <c r="FFK1" s="1082"/>
      <c r="FFL1" s="1082"/>
      <c r="FFM1" s="1082"/>
      <c r="FFN1" s="1082"/>
      <c r="FFO1" s="1082"/>
      <c r="FFP1" s="1082"/>
      <c r="FFQ1" s="1082"/>
      <c r="FFR1" s="1082"/>
      <c r="FFS1" s="1082"/>
      <c r="FFT1" s="1082"/>
      <c r="FFU1" s="1082"/>
      <c r="FFV1" s="1082"/>
      <c r="FFW1" s="1082"/>
      <c r="FFX1" s="1082"/>
      <c r="FFY1" s="1082"/>
      <c r="FFZ1" s="1082"/>
      <c r="FGA1" s="1082"/>
      <c r="FGB1" s="1082"/>
      <c r="FGC1" s="1082"/>
      <c r="FGD1" s="1082"/>
      <c r="FGE1" s="1082"/>
      <c r="FGF1" s="1082"/>
      <c r="FGG1" s="1082"/>
      <c r="FGH1" s="1082"/>
      <c r="FGI1" s="1082"/>
      <c r="FGJ1" s="1082"/>
      <c r="FGK1" s="1082"/>
      <c r="FGL1" s="1082"/>
      <c r="FGM1" s="1082"/>
      <c r="FGN1" s="1082"/>
      <c r="FGO1" s="1082"/>
      <c r="FGP1" s="1082"/>
      <c r="FGQ1" s="1082"/>
      <c r="FGR1" s="1082"/>
      <c r="FGS1" s="1082"/>
      <c r="FGT1" s="1082"/>
      <c r="FGU1" s="1082"/>
      <c r="FGV1" s="1082"/>
      <c r="FGW1" s="1082"/>
      <c r="FGX1" s="1082"/>
      <c r="FGY1" s="1082"/>
      <c r="FGZ1" s="1082"/>
      <c r="FHA1" s="1082"/>
      <c r="FHB1" s="1082"/>
      <c r="FHC1" s="1082"/>
      <c r="FHD1" s="1082"/>
      <c r="FHE1" s="1082"/>
      <c r="FHF1" s="1082"/>
      <c r="FHG1" s="1082"/>
      <c r="FHH1" s="1082"/>
      <c r="FHI1" s="1082"/>
      <c r="FHJ1" s="1082"/>
      <c r="FHK1" s="1082"/>
      <c r="FHL1" s="1082"/>
      <c r="FHM1" s="1082"/>
      <c r="FHN1" s="1082"/>
      <c r="FHO1" s="1082"/>
      <c r="FHP1" s="1082"/>
      <c r="FHQ1" s="1082"/>
      <c r="FHR1" s="1082"/>
      <c r="FHS1" s="1082"/>
      <c r="FHT1" s="1082"/>
      <c r="FHU1" s="1082"/>
      <c r="FHV1" s="1082"/>
      <c r="FHW1" s="1082"/>
      <c r="FHX1" s="1082"/>
      <c r="FHY1" s="1082"/>
      <c r="FHZ1" s="1082"/>
      <c r="FIA1" s="1082"/>
      <c r="FIB1" s="1082"/>
      <c r="FIC1" s="1082"/>
      <c r="FID1" s="1082"/>
      <c r="FIE1" s="1082"/>
      <c r="FIF1" s="1082"/>
      <c r="FIG1" s="1082"/>
      <c r="FIH1" s="1082"/>
      <c r="FII1" s="1082"/>
      <c r="FIJ1" s="1082"/>
      <c r="FIK1" s="1082"/>
      <c r="FIL1" s="1082"/>
      <c r="FIM1" s="1082"/>
      <c r="FIN1" s="1082"/>
      <c r="FIO1" s="1082"/>
      <c r="FIP1" s="1082"/>
      <c r="FIQ1" s="1082"/>
      <c r="FIR1" s="1082"/>
      <c r="FIS1" s="1082"/>
      <c r="FIT1" s="1082"/>
      <c r="FIU1" s="1082"/>
      <c r="FIV1" s="1082"/>
      <c r="FIW1" s="1082"/>
      <c r="FIX1" s="1082"/>
      <c r="FIY1" s="1082"/>
      <c r="FIZ1" s="1082"/>
      <c r="FJA1" s="1082"/>
      <c r="FJB1" s="1082"/>
      <c r="FJC1" s="1082"/>
      <c r="FJD1" s="1082"/>
      <c r="FJE1" s="1082"/>
      <c r="FJF1" s="1082"/>
      <c r="FJG1" s="1082"/>
      <c r="FJH1" s="1082"/>
      <c r="FJI1" s="1082"/>
      <c r="FJJ1" s="1082"/>
      <c r="FJK1" s="1082"/>
      <c r="FJL1" s="1082"/>
      <c r="FJM1" s="1082"/>
      <c r="FJN1" s="1082"/>
      <c r="FJO1" s="1082"/>
      <c r="FJP1" s="1082"/>
      <c r="FJQ1" s="1082"/>
      <c r="FJR1" s="1082"/>
      <c r="FJS1" s="1082"/>
      <c r="FJT1" s="1082"/>
      <c r="FJU1" s="1082"/>
      <c r="FJV1" s="1082"/>
      <c r="FJW1" s="1082"/>
      <c r="FJX1" s="1082"/>
      <c r="FJY1" s="1082"/>
      <c r="FJZ1" s="1082"/>
      <c r="FKA1" s="1082"/>
      <c r="FKB1" s="1082"/>
      <c r="FKC1" s="1082"/>
      <c r="FKD1" s="1082"/>
      <c r="FKE1" s="1082"/>
      <c r="FKF1" s="1082"/>
      <c r="FKG1" s="1082"/>
      <c r="FKH1" s="1082"/>
      <c r="FKI1" s="1082"/>
      <c r="FKJ1" s="1082"/>
      <c r="FKK1" s="1082"/>
      <c r="FKL1" s="1082"/>
      <c r="FKM1" s="1082"/>
      <c r="FKN1" s="1082"/>
      <c r="FKO1" s="1082"/>
      <c r="FKP1" s="1082"/>
      <c r="FKQ1" s="1082"/>
      <c r="FKR1" s="1082"/>
      <c r="FKS1" s="1082"/>
      <c r="FKT1" s="1082"/>
      <c r="FKU1" s="1082"/>
      <c r="FKV1" s="1082"/>
      <c r="FKW1" s="1082"/>
      <c r="FKX1" s="1082"/>
      <c r="FKY1" s="1082"/>
      <c r="FKZ1" s="1082"/>
      <c r="FLA1" s="1082"/>
      <c r="FLB1" s="1082"/>
      <c r="FLC1" s="1082"/>
      <c r="FLD1" s="1082"/>
      <c r="FLE1" s="1082"/>
      <c r="FLF1" s="1082"/>
      <c r="FLG1" s="1082"/>
      <c r="FLH1" s="1082"/>
      <c r="FLI1" s="1082"/>
      <c r="FLJ1" s="1082"/>
      <c r="FLK1" s="1082"/>
      <c r="FLL1" s="1082"/>
      <c r="FLM1" s="1082"/>
      <c r="FLN1" s="1082"/>
      <c r="FLO1" s="1082"/>
      <c r="FLP1" s="1082"/>
      <c r="FLQ1" s="1082"/>
      <c r="FLR1" s="1082"/>
      <c r="FLS1" s="1082"/>
      <c r="FLT1" s="1082"/>
      <c r="FLU1" s="1082"/>
      <c r="FLV1" s="1082"/>
      <c r="FLW1" s="1082"/>
      <c r="FLX1" s="1082"/>
      <c r="FLY1" s="1082"/>
      <c r="FLZ1" s="1082"/>
      <c r="FMA1" s="1082"/>
      <c r="FMB1" s="1082"/>
      <c r="FMC1" s="1082"/>
      <c r="FMD1" s="1082"/>
      <c r="FME1" s="1082"/>
      <c r="FMF1" s="1082"/>
      <c r="FMG1" s="1082"/>
      <c r="FMH1" s="1082"/>
      <c r="FMI1" s="1082"/>
      <c r="FMJ1" s="1082"/>
      <c r="FMK1" s="1082"/>
      <c r="FML1" s="1082"/>
      <c r="FMM1" s="1082"/>
      <c r="FMN1" s="1082"/>
      <c r="FMO1" s="1082"/>
      <c r="FMP1" s="1082"/>
      <c r="FMQ1" s="1082"/>
      <c r="FMR1" s="1082"/>
      <c r="FMS1" s="1082"/>
      <c r="FMT1" s="1082"/>
      <c r="FMU1" s="1082"/>
      <c r="FMV1" s="1082"/>
      <c r="FMW1" s="1082"/>
      <c r="FMX1" s="1082"/>
      <c r="FMY1" s="1082"/>
      <c r="FMZ1" s="1082"/>
      <c r="FNA1" s="1082"/>
      <c r="FNB1" s="1082"/>
      <c r="FNC1" s="1082"/>
      <c r="FND1" s="1082"/>
      <c r="FNE1" s="1082"/>
      <c r="FNF1" s="1082"/>
      <c r="FNG1" s="1082"/>
      <c r="FNH1" s="1082"/>
      <c r="FNI1" s="1082"/>
      <c r="FNJ1" s="1082"/>
      <c r="FNK1" s="1082"/>
      <c r="FNL1" s="1082"/>
      <c r="FNM1" s="1082"/>
      <c r="FNN1" s="1082"/>
      <c r="FNO1" s="1082"/>
      <c r="FNP1" s="1082"/>
      <c r="FNQ1" s="1082"/>
      <c r="FNR1" s="1082"/>
      <c r="FNS1" s="1082"/>
      <c r="FNT1" s="1082"/>
      <c r="FNU1" s="1082"/>
      <c r="FNV1" s="1082"/>
      <c r="FNW1" s="1082"/>
      <c r="FNX1" s="1082"/>
      <c r="FNY1" s="1082"/>
      <c r="FNZ1" s="1082"/>
      <c r="FOA1" s="1082"/>
      <c r="FOB1" s="1082"/>
      <c r="FOC1" s="1082"/>
      <c r="FOD1" s="1082"/>
      <c r="FOE1" s="1082"/>
      <c r="FOF1" s="1082"/>
      <c r="FOG1" s="1082"/>
      <c r="FOH1" s="1082"/>
      <c r="FOI1" s="1082"/>
      <c r="FOJ1" s="1082"/>
      <c r="FOK1" s="1082"/>
      <c r="FOL1" s="1082"/>
      <c r="FOM1" s="1082"/>
      <c r="FON1" s="1082"/>
      <c r="FOO1" s="1082"/>
      <c r="FOP1" s="1082"/>
      <c r="FOQ1" s="1082"/>
      <c r="FOR1" s="1082"/>
      <c r="FOS1" s="1082"/>
      <c r="FOT1" s="1082"/>
      <c r="FOU1" s="1082"/>
      <c r="FOV1" s="1082"/>
      <c r="FOW1" s="1082"/>
      <c r="FOX1" s="1082"/>
      <c r="FOY1" s="1082"/>
      <c r="FOZ1" s="1082"/>
      <c r="FPA1" s="1082"/>
      <c r="FPB1" s="1082"/>
      <c r="FPC1" s="1082"/>
      <c r="FPD1" s="1082"/>
      <c r="FPE1" s="1082"/>
      <c r="FPF1" s="1082"/>
      <c r="FPG1" s="1082"/>
      <c r="FPH1" s="1082"/>
      <c r="FPI1" s="1082"/>
      <c r="FPJ1" s="1082"/>
      <c r="FPK1" s="1082"/>
      <c r="FPL1" s="1082"/>
      <c r="FPM1" s="1082"/>
      <c r="FPN1" s="1082"/>
      <c r="FPO1" s="1082"/>
      <c r="FPP1" s="1082"/>
      <c r="FPQ1" s="1082"/>
      <c r="FPR1" s="1082"/>
      <c r="FPS1" s="1082"/>
      <c r="FPT1" s="1082"/>
      <c r="FPU1" s="1082"/>
      <c r="FPV1" s="1082"/>
      <c r="FPW1" s="1082"/>
      <c r="FPX1" s="1082"/>
      <c r="FPY1" s="1082"/>
      <c r="FPZ1" s="1082"/>
      <c r="FQA1" s="1082"/>
      <c r="FQB1" s="1082"/>
      <c r="FQC1" s="1082"/>
      <c r="FQD1" s="1082"/>
      <c r="FQE1" s="1082"/>
      <c r="FQF1" s="1082"/>
      <c r="FQG1" s="1082"/>
      <c r="FQH1" s="1082"/>
      <c r="FQI1" s="1082"/>
      <c r="FQJ1" s="1082"/>
      <c r="FQK1" s="1082"/>
      <c r="FQL1" s="1082"/>
      <c r="FQM1" s="1082"/>
      <c r="FQN1" s="1082"/>
      <c r="FQO1" s="1082"/>
      <c r="FQP1" s="1082"/>
      <c r="FQQ1" s="1082"/>
      <c r="FQR1" s="1082"/>
      <c r="FQS1" s="1082"/>
      <c r="FQT1" s="1082"/>
      <c r="FQU1" s="1082"/>
      <c r="FQV1" s="1082"/>
      <c r="FQW1" s="1082"/>
      <c r="FQX1" s="1082"/>
      <c r="FQY1" s="1082"/>
      <c r="FQZ1" s="1082"/>
      <c r="FRA1" s="1082"/>
      <c r="FRB1" s="1082"/>
      <c r="FRC1" s="1082"/>
      <c r="FRD1" s="1082"/>
      <c r="FRE1" s="1082"/>
      <c r="FRF1" s="1082"/>
      <c r="FRG1" s="1082"/>
      <c r="FRH1" s="1082"/>
      <c r="FRI1" s="1082"/>
      <c r="FRJ1" s="1082"/>
      <c r="FRK1" s="1082"/>
      <c r="FRL1" s="1082"/>
      <c r="FRM1" s="1082"/>
      <c r="FRN1" s="1082"/>
      <c r="FRO1" s="1082"/>
      <c r="FRP1" s="1082"/>
      <c r="FRQ1" s="1082"/>
      <c r="FRR1" s="1082"/>
      <c r="FRS1" s="1082"/>
      <c r="FRT1" s="1082"/>
      <c r="FRU1" s="1082"/>
      <c r="FRV1" s="1082"/>
      <c r="FRW1" s="1082"/>
      <c r="FRX1" s="1082"/>
      <c r="FRY1" s="1082"/>
      <c r="FRZ1" s="1082"/>
      <c r="FSA1" s="1082"/>
      <c r="FSB1" s="1082"/>
      <c r="FSC1" s="1082"/>
      <c r="FSD1" s="1082"/>
      <c r="FSE1" s="1082"/>
      <c r="FSF1" s="1082"/>
      <c r="FSG1" s="1082"/>
      <c r="FSH1" s="1082"/>
      <c r="FSI1" s="1082"/>
      <c r="FSJ1" s="1082"/>
      <c r="FSK1" s="1082"/>
      <c r="FSL1" s="1082"/>
      <c r="FSM1" s="1082"/>
      <c r="FSN1" s="1082"/>
      <c r="FSO1" s="1082"/>
      <c r="FSP1" s="1082"/>
      <c r="FSQ1" s="1082"/>
      <c r="FSR1" s="1082"/>
      <c r="FSS1" s="1082"/>
      <c r="FST1" s="1082"/>
      <c r="FSU1" s="1082"/>
      <c r="FSV1" s="1082"/>
      <c r="FSW1" s="1082"/>
      <c r="FSX1" s="1082"/>
      <c r="FSY1" s="1082"/>
      <c r="FSZ1" s="1082"/>
      <c r="FTA1" s="1082"/>
      <c r="FTB1" s="1082"/>
      <c r="FTC1" s="1082"/>
      <c r="FTD1" s="1082"/>
      <c r="FTE1" s="1082"/>
      <c r="FTF1" s="1082"/>
      <c r="FTG1" s="1082"/>
      <c r="FTH1" s="1082"/>
      <c r="FTI1" s="1082"/>
      <c r="FTJ1" s="1082"/>
      <c r="FTK1" s="1082"/>
      <c r="FTL1" s="1082"/>
      <c r="FTM1" s="1082"/>
      <c r="FTN1" s="1082"/>
      <c r="FTO1" s="1082"/>
      <c r="FTP1" s="1082"/>
      <c r="FTQ1" s="1082"/>
      <c r="FTR1" s="1082"/>
      <c r="FTS1" s="1082"/>
      <c r="FTT1" s="1082"/>
      <c r="FTU1" s="1082"/>
      <c r="FTV1" s="1082"/>
      <c r="FTW1" s="1082"/>
      <c r="FTX1" s="1082"/>
      <c r="FTY1" s="1082"/>
      <c r="FTZ1" s="1082"/>
      <c r="FUA1" s="1082"/>
      <c r="FUB1" s="1082"/>
      <c r="FUC1" s="1082"/>
      <c r="FUD1" s="1082"/>
      <c r="FUE1" s="1082"/>
      <c r="FUF1" s="1082"/>
      <c r="FUG1" s="1082"/>
      <c r="FUH1" s="1082"/>
      <c r="FUI1" s="1082"/>
      <c r="FUJ1" s="1082"/>
      <c r="FUK1" s="1082"/>
      <c r="FUL1" s="1082"/>
      <c r="FUM1" s="1082"/>
      <c r="FUN1" s="1082"/>
      <c r="FUO1" s="1082"/>
      <c r="FUP1" s="1082"/>
      <c r="FUQ1" s="1082"/>
      <c r="FUR1" s="1082"/>
      <c r="FUS1" s="1082"/>
      <c r="FUT1" s="1082"/>
      <c r="FUU1" s="1082"/>
      <c r="FUV1" s="1082"/>
      <c r="FUW1" s="1082"/>
      <c r="FUX1" s="1082"/>
      <c r="FUY1" s="1082"/>
      <c r="FUZ1" s="1082"/>
      <c r="FVA1" s="1082"/>
      <c r="FVB1" s="1082"/>
      <c r="FVC1" s="1082"/>
      <c r="FVD1" s="1082"/>
      <c r="FVE1" s="1082"/>
      <c r="FVF1" s="1082"/>
      <c r="FVG1" s="1082"/>
      <c r="FVH1" s="1082"/>
      <c r="FVI1" s="1082"/>
      <c r="FVJ1" s="1082"/>
      <c r="FVK1" s="1082"/>
      <c r="FVL1" s="1082"/>
      <c r="FVM1" s="1082"/>
      <c r="FVN1" s="1082"/>
      <c r="FVO1" s="1082"/>
      <c r="FVP1" s="1082"/>
      <c r="FVQ1" s="1082"/>
      <c r="FVR1" s="1082"/>
      <c r="FVS1" s="1082"/>
      <c r="FVT1" s="1082"/>
      <c r="FVU1" s="1082"/>
      <c r="FVV1" s="1082"/>
      <c r="FVW1" s="1082"/>
      <c r="FVX1" s="1082"/>
      <c r="FVY1" s="1082"/>
      <c r="FVZ1" s="1082"/>
      <c r="FWA1" s="1082"/>
      <c r="FWB1" s="1082"/>
      <c r="FWC1" s="1082"/>
      <c r="FWD1" s="1082"/>
      <c r="FWE1" s="1082"/>
      <c r="FWF1" s="1082"/>
      <c r="FWG1" s="1082"/>
      <c r="FWH1" s="1082"/>
      <c r="FWI1" s="1082"/>
      <c r="FWJ1" s="1082"/>
      <c r="FWK1" s="1082"/>
      <c r="FWL1" s="1082"/>
      <c r="FWM1" s="1082"/>
      <c r="FWN1" s="1082"/>
      <c r="FWO1" s="1082"/>
      <c r="FWP1" s="1082"/>
      <c r="FWQ1" s="1082"/>
      <c r="FWR1" s="1082"/>
      <c r="FWS1" s="1082"/>
      <c r="FWT1" s="1082"/>
      <c r="FWU1" s="1082"/>
      <c r="FWV1" s="1082"/>
      <c r="FWW1" s="1082"/>
      <c r="FWX1" s="1082"/>
      <c r="FWY1" s="1082"/>
      <c r="FWZ1" s="1082"/>
      <c r="FXA1" s="1082"/>
      <c r="FXB1" s="1082"/>
      <c r="FXC1" s="1082"/>
      <c r="FXD1" s="1082"/>
      <c r="FXE1" s="1082"/>
      <c r="FXF1" s="1082"/>
      <c r="FXG1" s="1082"/>
      <c r="FXH1" s="1082"/>
      <c r="FXI1" s="1082"/>
      <c r="FXJ1" s="1082"/>
      <c r="FXK1" s="1082"/>
      <c r="FXL1" s="1082"/>
      <c r="FXM1" s="1082"/>
      <c r="FXN1" s="1082"/>
      <c r="FXO1" s="1082"/>
      <c r="FXP1" s="1082"/>
      <c r="FXQ1" s="1082"/>
      <c r="FXR1" s="1082"/>
      <c r="FXS1" s="1082"/>
      <c r="FXT1" s="1082"/>
      <c r="FXU1" s="1082"/>
      <c r="FXV1" s="1082"/>
      <c r="FXW1" s="1082"/>
      <c r="FXX1" s="1082"/>
      <c r="FXY1" s="1082"/>
      <c r="FXZ1" s="1082"/>
      <c r="FYA1" s="1082"/>
      <c r="FYB1" s="1082"/>
      <c r="FYC1" s="1082"/>
      <c r="FYD1" s="1082"/>
      <c r="FYE1" s="1082"/>
      <c r="FYF1" s="1082"/>
      <c r="FYG1" s="1082"/>
      <c r="FYH1" s="1082"/>
      <c r="FYI1" s="1082"/>
      <c r="FYJ1" s="1082"/>
      <c r="FYK1" s="1082"/>
      <c r="FYL1" s="1082"/>
      <c r="FYM1" s="1082"/>
      <c r="FYN1" s="1082"/>
      <c r="FYO1" s="1082"/>
      <c r="FYP1" s="1082"/>
      <c r="FYQ1" s="1082"/>
      <c r="FYR1" s="1082"/>
      <c r="FYS1" s="1082"/>
      <c r="FYT1" s="1082"/>
      <c r="FYU1" s="1082"/>
      <c r="FYV1" s="1082"/>
      <c r="FYW1" s="1082"/>
      <c r="FYX1" s="1082"/>
      <c r="FYY1" s="1082"/>
      <c r="FYZ1" s="1082"/>
      <c r="FZA1" s="1082"/>
      <c r="FZB1" s="1082"/>
      <c r="FZC1" s="1082"/>
      <c r="FZD1" s="1082"/>
      <c r="FZE1" s="1082"/>
      <c r="FZF1" s="1082"/>
      <c r="FZG1" s="1082"/>
      <c r="FZH1" s="1082"/>
      <c r="FZI1" s="1082"/>
      <c r="FZJ1" s="1082"/>
      <c r="FZK1" s="1082"/>
      <c r="FZL1" s="1082"/>
      <c r="FZM1" s="1082"/>
      <c r="FZN1" s="1082"/>
      <c r="FZO1" s="1082"/>
      <c r="FZP1" s="1082"/>
      <c r="FZQ1" s="1082"/>
      <c r="FZR1" s="1082"/>
      <c r="FZS1" s="1082"/>
      <c r="FZT1" s="1082"/>
      <c r="FZU1" s="1082"/>
      <c r="FZV1" s="1082"/>
      <c r="FZW1" s="1082"/>
      <c r="FZX1" s="1082"/>
      <c r="FZY1" s="1082"/>
      <c r="FZZ1" s="1082"/>
      <c r="GAA1" s="1082"/>
      <c r="GAB1" s="1082"/>
      <c r="GAC1" s="1082"/>
      <c r="GAD1" s="1082"/>
      <c r="GAE1" s="1082"/>
      <c r="GAF1" s="1082"/>
      <c r="GAG1" s="1082"/>
      <c r="GAH1" s="1082"/>
      <c r="GAI1" s="1082"/>
      <c r="GAJ1" s="1082"/>
      <c r="GAK1" s="1082"/>
      <c r="GAL1" s="1082"/>
      <c r="GAM1" s="1082"/>
      <c r="GAN1" s="1082"/>
      <c r="GAO1" s="1082"/>
      <c r="GAP1" s="1082"/>
      <c r="GAQ1" s="1082"/>
      <c r="GAR1" s="1082"/>
      <c r="GAS1" s="1082"/>
      <c r="GAT1" s="1082"/>
      <c r="GAU1" s="1082"/>
      <c r="GAV1" s="1082"/>
      <c r="GAW1" s="1082"/>
      <c r="GAX1" s="1082"/>
      <c r="GAY1" s="1082"/>
      <c r="GAZ1" s="1082"/>
      <c r="GBA1" s="1082"/>
      <c r="GBB1" s="1082"/>
      <c r="GBC1" s="1082"/>
      <c r="GBD1" s="1082"/>
      <c r="GBE1" s="1082"/>
      <c r="GBF1" s="1082"/>
      <c r="GBG1" s="1082"/>
      <c r="GBH1" s="1082"/>
      <c r="GBI1" s="1082"/>
      <c r="GBJ1" s="1082"/>
      <c r="GBK1" s="1082"/>
      <c r="GBL1" s="1082"/>
      <c r="GBM1" s="1082"/>
      <c r="GBN1" s="1082"/>
      <c r="GBO1" s="1082"/>
      <c r="GBP1" s="1082"/>
      <c r="GBQ1" s="1082"/>
      <c r="GBR1" s="1082"/>
      <c r="GBS1" s="1082"/>
      <c r="GBT1" s="1082"/>
      <c r="GBU1" s="1082"/>
      <c r="GBV1" s="1082"/>
      <c r="GBW1" s="1082"/>
      <c r="GBX1" s="1082"/>
      <c r="GBY1" s="1082"/>
      <c r="GBZ1" s="1082"/>
      <c r="GCA1" s="1082"/>
      <c r="GCB1" s="1082"/>
      <c r="GCC1" s="1082"/>
      <c r="GCD1" s="1082"/>
      <c r="GCE1" s="1082"/>
      <c r="GCF1" s="1082"/>
      <c r="GCG1" s="1082"/>
      <c r="GCH1" s="1082"/>
      <c r="GCI1" s="1082"/>
      <c r="GCJ1" s="1082"/>
      <c r="GCK1" s="1082"/>
      <c r="GCL1" s="1082"/>
      <c r="GCM1" s="1082"/>
      <c r="GCN1" s="1082"/>
      <c r="GCO1" s="1082"/>
      <c r="GCP1" s="1082"/>
      <c r="GCQ1" s="1082"/>
      <c r="GCR1" s="1082"/>
      <c r="GCS1" s="1082"/>
      <c r="GCT1" s="1082"/>
      <c r="GCU1" s="1082"/>
      <c r="GCV1" s="1082"/>
      <c r="GCW1" s="1082"/>
      <c r="GCX1" s="1082"/>
      <c r="GCY1" s="1082"/>
      <c r="GCZ1" s="1082"/>
      <c r="GDA1" s="1082"/>
      <c r="GDB1" s="1082"/>
      <c r="GDC1" s="1082"/>
      <c r="GDD1" s="1082"/>
      <c r="GDE1" s="1082"/>
      <c r="GDF1" s="1082"/>
      <c r="GDG1" s="1082"/>
      <c r="GDH1" s="1082"/>
      <c r="GDI1" s="1082"/>
      <c r="GDJ1" s="1082"/>
      <c r="GDK1" s="1082"/>
      <c r="GDL1" s="1082"/>
      <c r="GDM1" s="1082"/>
      <c r="GDN1" s="1082"/>
      <c r="GDO1" s="1082"/>
      <c r="GDP1" s="1082"/>
      <c r="GDQ1" s="1082"/>
      <c r="GDR1" s="1082"/>
      <c r="GDS1" s="1082"/>
      <c r="GDT1" s="1082"/>
      <c r="GDU1" s="1082"/>
      <c r="GDV1" s="1082"/>
      <c r="GDW1" s="1082"/>
      <c r="GDX1" s="1082"/>
      <c r="GDY1" s="1082"/>
      <c r="GDZ1" s="1082"/>
      <c r="GEA1" s="1082"/>
      <c r="GEB1" s="1082"/>
      <c r="GEC1" s="1082"/>
      <c r="GED1" s="1082"/>
      <c r="GEE1" s="1082"/>
      <c r="GEF1" s="1082"/>
      <c r="GEG1" s="1082"/>
      <c r="GEH1" s="1082"/>
      <c r="GEI1" s="1082"/>
      <c r="GEJ1" s="1082"/>
      <c r="GEK1" s="1082"/>
      <c r="GEL1" s="1082"/>
      <c r="GEM1" s="1082"/>
      <c r="GEN1" s="1082"/>
      <c r="GEO1" s="1082"/>
      <c r="GEP1" s="1082"/>
      <c r="GEQ1" s="1082"/>
      <c r="GER1" s="1082"/>
      <c r="GES1" s="1082"/>
      <c r="GET1" s="1082"/>
      <c r="GEU1" s="1082"/>
      <c r="GEV1" s="1082"/>
      <c r="GEW1" s="1082"/>
      <c r="GEX1" s="1082"/>
      <c r="GEY1" s="1082"/>
      <c r="GEZ1" s="1082"/>
      <c r="GFA1" s="1082"/>
      <c r="GFB1" s="1082"/>
      <c r="GFC1" s="1082"/>
      <c r="GFD1" s="1082"/>
      <c r="GFE1" s="1082"/>
      <c r="GFF1" s="1082"/>
      <c r="GFG1" s="1082"/>
      <c r="GFH1" s="1082"/>
      <c r="GFI1" s="1082"/>
      <c r="GFJ1" s="1082"/>
      <c r="GFK1" s="1082"/>
      <c r="GFL1" s="1082"/>
      <c r="GFM1" s="1082"/>
      <c r="GFN1" s="1082"/>
      <c r="GFO1" s="1082"/>
      <c r="GFP1" s="1082"/>
      <c r="GFQ1" s="1082"/>
      <c r="GFR1" s="1082"/>
      <c r="GFS1" s="1082"/>
      <c r="GFT1" s="1082"/>
      <c r="GFU1" s="1082"/>
      <c r="GFV1" s="1082"/>
      <c r="GFW1" s="1082"/>
      <c r="GFX1" s="1082"/>
      <c r="GFY1" s="1082"/>
      <c r="GFZ1" s="1082"/>
      <c r="GGA1" s="1082"/>
      <c r="GGB1" s="1082"/>
      <c r="GGC1" s="1082"/>
      <c r="GGD1" s="1082"/>
      <c r="GGE1" s="1082"/>
      <c r="GGF1" s="1082"/>
      <c r="GGG1" s="1082"/>
      <c r="GGH1" s="1082"/>
      <c r="GGI1" s="1082"/>
      <c r="GGJ1" s="1082"/>
      <c r="GGK1" s="1082"/>
      <c r="GGL1" s="1082"/>
      <c r="GGM1" s="1082"/>
      <c r="GGN1" s="1082"/>
      <c r="GGO1" s="1082"/>
      <c r="GGP1" s="1082"/>
      <c r="GGQ1" s="1082"/>
      <c r="GGR1" s="1082"/>
      <c r="GGS1" s="1082"/>
      <c r="GGT1" s="1082"/>
      <c r="GGU1" s="1082"/>
      <c r="GGV1" s="1082"/>
      <c r="GGW1" s="1082"/>
      <c r="GGX1" s="1082"/>
      <c r="GGY1" s="1082"/>
      <c r="GGZ1" s="1082"/>
      <c r="GHA1" s="1082"/>
      <c r="GHB1" s="1082"/>
      <c r="GHC1" s="1082"/>
      <c r="GHD1" s="1082"/>
      <c r="GHE1" s="1082"/>
      <c r="GHF1" s="1082"/>
      <c r="GHG1" s="1082"/>
      <c r="GHH1" s="1082"/>
      <c r="GHI1" s="1082"/>
      <c r="GHJ1" s="1082"/>
      <c r="GHK1" s="1082"/>
      <c r="GHL1" s="1082"/>
      <c r="GHM1" s="1082"/>
      <c r="GHN1" s="1082"/>
      <c r="GHO1" s="1082"/>
      <c r="GHP1" s="1082"/>
      <c r="GHQ1" s="1082"/>
      <c r="GHR1" s="1082"/>
      <c r="GHS1" s="1082"/>
      <c r="GHT1" s="1082"/>
      <c r="GHU1" s="1082"/>
      <c r="GHV1" s="1082"/>
      <c r="GHW1" s="1082"/>
      <c r="GHX1" s="1082"/>
      <c r="GHY1" s="1082"/>
      <c r="GHZ1" s="1082"/>
      <c r="GIA1" s="1082"/>
      <c r="GIB1" s="1082"/>
      <c r="GIC1" s="1082"/>
      <c r="GID1" s="1082"/>
      <c r="GIE1" s="1082"/>
      <c r="GIF1" s="1082"/>
      <c r="GIG1" s="1082"/>
      <c r="GIH1" s="1082"/>
      <c r="GII1" s="1082"/>
      <c r="GIJ1" s="1082"/>
      <c r="GIK1" s="1082"/>
      <c r="GIL1" s="1082"/>
      <c r="GIM1" s="1082"/>
      <c r="GIN1" s="1082"/>
      <c r="GIO1" s="1082"/>
      <c r="GIP1" s="1082"/>
      <c r="GIQ1" s="1082"/>
      <c r="GIR1" s="1082"/>
      <c r="GIS1" s="1082"/>
      <c r="GIT1" s="1082"/>
      <c r="GIU1" s="1082"/>
      <c r="GIV1" s="1082"/>
      <c r="GIW1" s="1082"/>
      <c r="GIX1" s="1082"/>
      <c r="GIY1" s="1082"/>
      <c r="GIZ1" s="1082"/>
      <c r="GJA1" s="1082"/>
      <c r="GJB1" s="1082"/>
      <c r="GJC1" s="1082"/>
      <c r="GJD1" s="1082"/>
      <c r="GJE1" s="1082"/>
      <c r="GJF1" s="1082"/>
      <c r="GJG1" s="1082"/>
      <c r="GJH1" s="1082"/>
      <c r="GJI1" s="1082"/>
      <c r="GJJ1" s="1082"/>
      <c r="GJK1" s="1082"/>
      <c r="GJL1" s="1082"/>
      <c r="GJM1" s="1082"/>
      <c r="GJN1" s="1082"/>
      <c r="GJO1" s="1082"/>
      <c r="GJP1" s="1082"/>
      <c r="GJQ1" s="1082"/>
      <c r="GJR1" s="1082"/>
      <c r="GJS1" s="1082"/>
      <c r="GJT1" s="1082"/>
      <c r="GJU1" s="1082"/>
      <c r="GJV1" s="1082"/>
      <c r="GJW1" s="1082"/>
      <c r="GJX1" s="1082"/>
      <c r="GJY1" s="1082"/>
      <c r="GJZ1" s="1082"/>
      <c r="GKA1" s="1082"/>
      <c r="GKB1" s="1082"/>
      <c r="GKC1" s="1082"/>
      <c r="GKD1" s="1082"/>
      <c r="GKE1" s="1082"/>
      <c r="GKF1" s="1082"/>
      <c r="GKG1" s="1082"/>
      <c r="GKH1" s="1082"/>
      <c r="GKI1" s="1082"/>
      <c r="GKJ1" s="1082"/>
      <c r="GKK1" s="1082"/>
      <c r="GKL1" s="1082"/>
      <c r="GKM1" s="1082"/>
      <c r="GKN1" s="1082"/>
      <c r="GKO1" s="1082"/>
      <c r="GKP1" s="1082"/>
      <c r="GKQ1" s="1082"/>
      <c r="GKR1" s="1082"/>
      <c r="GKS1" s="1082"/>
      <c r="GKT1" s="1082"/>
      <c r="GKU1" s="1082"/>
      <c r="GKV1" s="1082"/>
      <c r="GKW1" s="1082"/>
      <c r="GKX1" s="1082"/>
      <c r="GKY1" s="1082"/>
      <c r="GKZ1" s="1082"/>
      <c r="GLA1" s="1082"/>
      <c r="GLB1" s="1082"/>
      <c r="GLC1" s="1082"/>
      <c r="GLD1" s="1082"/>
      <c r="GLE1" s="1082"/>
      <c r="GLF1" s="1082"/>
      <c r="GLG1" s="1082"/>
      <c r="GLH1" s="1082"/>
      <c r="GLI1" s="1082"/>
      <c r="GLJ1" s="1082"/>
      <c r="GLK1" s="1082"/>
      <c r="GLL1" s="1082"/>
      <c r="GLM1" s="1082"/>
      <c r="GLN1" s="1082"/>
      <c r="GLO1" s="1082"/>
      <c r="GLP1" s="1082"/>
      <c r="GLQ1" s="1082"/>
      <c r="GLR1" s="1082"/>
      <c r="GLS1" s="1082"/>
      <c r="GLT1" s="1082"/>
      <c r="GLU1" s="1082"/>
      <c r="GLV1" s="1082"/>
      <c r="GLW1" s="1082"/>
      <c r="GLX1" s="1082"/>
      <c r="GLY1" s="1082"/>
      <c r="GLZ1" s="1082"/>
      <c r="GMA1" s="1082"/>
      <c r="GMB1" s="1082"/>
      <c r="GMC1" s="1082"/>
      <c r="GMD1" s="1082"/>
      <c r="GME1" s="1082"/>
      <c r="GMF1" s="1082"/>
      <c r="GMG1" s="1082"/>
      <c r="GMH1" s="1082"/>
      <c r="GMI1" s="1082"/>
      <c r="GMJ1" s="1082"/>
      <c r="GMK1" s="1082"/>
      <c r="GML1" s="1082"/>
      <c r="GMM1" s="1082"/>
      <c r="GMN1" s="1082"/>
      <c r="GMO1" s="1082"/>
      <c r="GMP1" s="1082"/>
      <c r="GMQ1" s="1082"/>
      <c r="GMR1" s="1082"/>
      <c r="GMS1" s="1082"/>
      <c r="GMT1" s="1082"/>
      <c r="GMU1" s="1082"/>
      <c r="GMV1" s="1082"/>
      <c r="GMW1" s="1082"/>
      <c r="GMX1" s="1082"/>
      <c r="GMY1" s="1082"/>
      <c r="GMZ1" s="1082"/>
      <c r="GNA1" s="1082"/>
      <c r="GNB1" s="1082"/>
      <c r="GNC1" s="1082"/>
      <c r="GND1" s="1082"/>
      <c r="GNE1" s="1082"/>
      <c r="GNF1" s="1082"/>
      <c r="GNG1" s="1082"/>
      <c r="GNH1" s="1082"/>
      <c r="GNI1" s="1082"/>
      <c r="GNJ1" s="1082"/>
      <c r="GNK1" s="1082"/>
      <c r="GNL1" s="1082"/>
      <c r="GNM1" s="1082"/>
      <c r="GNN1" s="1082"/>
      <c r="GNO1" s="1082"/>
      <c r="GNP1" s="1082"/>
      <c r="GNQ1" s="1082"/>
      <c r="GNR1" s="1082"/>
      <c r="GNS1" s="1082"/>
      <c r="GNT1" s="1082"/>
      <c r="GNU1" s="1082"/>
      <c r="GNV1" s="1082"/>
      <c r="GNW1" s="1082"/>
      <c r="GNX1" s="1082"/>
      <c r="GNY1" s="1082"/>
      <c r="GNZ1" s="1082"/>
      <c r="GOA1" s="1082"/>
      <c r="GOB1" s="1082"/>
      <c r="GOC1" s="1082"/>
      <c r="GOD1" s="1082"/>
      <c r="GOE1" s="1082"/>
      <c r="GOF1" s="1082"/>
      <c r="GOG1" s="1082"/>
      <c r="GOH1" s="1082"/>
      <c r="GOI1" s="1082"/>
      <c r="GOJ1" s="1082"/>
      <c r="GOK1" s="1082"/>
      <c r="GOL1" s="1082"/>
      <c r="GOM1" s="1082"/>
      <c r="GON1" s="1082"/>
      <c r="GOO1" s="1082"/>
      <c r="GOP1" s="1082"/>
      <c r="GOQ1" s="1082"/>
      <c r="GOR1" s="1082"/>
      <c r="GOS1" s="1082"/>
      <c r="GOT1" s="1082"/>
      <c r="GOU1" s="1082"/>
      <c r="GOV1" s="1082"/>
      <c r="GOW1" s="1082"/>
      <c r="GOX1" s="1082"/>
      <c r="GOY1" s="1082"/>
      <c r="GOZ1" s="1082"/>
      <c r="GPA1" s="1082"/>
      <c r="GPB1" s="1082"/>
      <c r="GPC1" s="1082"/>
      <c r="GPD1" s="1082"/>
      <c r="GPE1" s="1082"/>
      <c r="GPF1" s="1082"/>
      <c r="GPG1" s="1082"/>
      <c r="GPH1" s="1082"/>
      <c r="GPI1" s="1082"/>
      <c r="GPJ1" s="1082"/>
      <c r="GPK1" s="1082"/>
      <c r="GPL1" s="1082"/>
      <c r="GPM1" s="1082"/>
      <c r="GPN1" s="1082"/>
      <c r="GPO1" s="1082"/>
      <c r="GPP1" s="1082"/>
      <c r="GPQ1" s="1082"/>
      <c r="GPR1" s="1082"/>
      <c r="GPS1" s="1082"/>
      <c r="GPT1" s="1082"/>
      <c r="GPU1" s="1082"/>
      <c r="GPV1" s="1082"/>
      <c r="GPW1" s="1082"/>
      <c r="GPX1" s="1082"/>
      <c r="GPY1" s="1082"/>
      <c r="GPZ1" s="1082"/>
      <c r="GQA1" s="1082"/>
      <c r="GQB1" s="1082"/>
      <c r="GQC1" s="1082"/>
      <c r="GQD1" s="1082"/>
      <c r="GQE1" s="1082"/>
      <c r="GQF1" s="1082"/>
      <c r="GQG1" s="1082"/>
      <c r="GQH1" s="1082"/>
      <c r="GQI1" s="1082"/>
      <c r="GQJ1" s="1082"/>
      <c r="GQK1" s="1082"/>
      <c r="GQL1" s="1082"/>
      <c r="GQM1" s="1082"/>
      <c r="GQN1" s="1082"/>
      <c r="GQO1" s="1082"/>
      <c r="GQP1" s="1082"/>
      <c r="GQQ1" s="1082"/>
      <c r="GQR1" s="1082"/>
      <c r="GQS1" s="1082"/>
      <c r="GQT1" s="1082"/>
      <c r="GQU1" s="1082"/>
      <c r="GQV1" s="1082"/>
      <c r="GQW1" s="1082"/>
      <c r="GQX1" s="1082"/>
      <c r="GQY1" s="1082"/>
      <c r="GQZ1" s="1082"/>
      <c r="GRA1" s="1082"/>
      <c r="GRB1" s="1082"/>
      <c r="GRC1" s="1082"/>
      <c r="GRD1" s="1082"/>
      <c r="GRE1" s="1082"/>
      <c r="GRF1" s="1082"/>
      <c r="GRG1" s="1082"/>
      <c r="GRH1" s="1082"/>
      <c r="GRI1" s="1082"/>
      <c r="GRJ1" s="1082"/>
      <c r="GRK1" s="1082"/>
      <c r="GRL1" s="1082"/>
      <c r="GRM1" s="1082"/>
      <c r="GRN1" s="1082"/>
      <c r="GRO1" s="1082"/>
      <c r="GRP1" s="1082"/>
      <c r="GRQ1" s="1082"/>
      <c r="GRR1" s="1082"/>
      <c r="GRS1" s="1082"/>
      <c r="GRT1" s="1082"/>
      <c r="GRU1" s="1082"/>
      <c r="GRV1" s="1082"/>
      <c r="GRW1" s="1082"/>
      <c r="GRX1" s="1082"/>
      <c r="GRY1" s="1082"/>
      <c r="GRZ1" s="1082"/>
      <c r="GSA1" s="1082"/>
      <c r="GSB1" s="1082"/>
      <c r="GSC1" s="1082"/>
      <c r="GSD1" s="1082"/>
      <c r="GSE1" s="1082"/>
      <c r="GSF1" s="1082"/>
      <c r="GSG1" s="1082"/>
      <c r="GSH1" s="1082"/>
      <c r="GSI1" s="1082"/>
      <c r="GSJ1" s="1082"/>
      <c r="GSK1" s="1082"/>
      <c r="GSL1" s="1082"/>
      <c r="GSM1" s="1082"/>
      <c r="GSN1" s="1082"/>
      <c r="GSO1" s="1082"/>
      <c r="GSP1" s="1082"/>
      <c r="GSQ1" s="1082"/>
      <c r="GSR1" s="1082"/>
      <c r="GSS1" s="1082"/>
      <c r="GST1" s="1082"/>
      <c r="GSU1" s="1082"/>
      <c r="GSV1" s="1082"/>
      <c r="GSW1" s="1082"/>
      <c r="GSX1" s="1082"/>
      <c r="GSY1" s="1082"/>
      <c r="GSZ1" s="1082"/>
      <c r="GTA1" s="1082"/>
      <c r="GTB1" s="1082"/>
      <c r="GTC1" s="1082"/>
      <c r="GTD1" s="1082"/>
      <c r="GTE1" s="1082"/>
      <c r="GTF1" s="1082"/>
      <c r="GTG1" s="1082"/>
      <c r="GTH1" s="1082"/>
      <c r="GTI1" s="1082"/>
      <c r="GTJ1" s="1082"/>
      <c r="GTK1" s="1082"/>
      <c r="GTL1" s="1082"/>
      <c r="GTM1" s="1082"/>
      <c r="GTN1" s="1082"/>
      <c r="GTO1" s="1082"/>
      <c r="GTP1" s="1082"/>
      <c r="GTQ1" s="1082"/>
      <c r="GTR1" s="1082"/>
      <c r="GTS1" s="1082"/>
      <c r="GTT1" s="1082"/>
      <c r="GTU1" s="1082"/>
      <c r="GTV1" s="1082"/>
      <c r="GTW1" s="1082"/>
      <c r="GTX1" s="1082"/>
      <c r="GTY1" s="1082"/>
      <c r="GTZ1" s="1082"/>
      <c r="GUA1" s="1082"/>
      <c r="GUB1" s="1082"/>
      <c r="GUC1" s="1082"/>
      <c r="GUD1" s="1082"/>
      <c r="GUE1" s="1082"/>
      <c r="GUF1" s="1082"/>
      <c r="GUG1" s="1082"/>
      <c r="GUH1" s="1082"/>
      <c r="GUI1" s="1082"/>
      <c r="GUJ1" s="1082"/>
      <c r="GUK1" s="1082"/>
      <c r="GUL1" s="1082"/>
      <c r="GUM1" s="1082"/>
      <c r="GUN1" s="1082"/>
      <c r="GUO1" s="1082"/>
      <c r="GUP1" s="1082"/>
      <c r="GUQ1" s="1082"/>
      <c r="GUR1" s="1082"/>
      <c r="GUS1" s="1082"/>
      <c r="GUT1" s="1082"/>
      <c r="GUU1" s="1082"/>
      <c r="GUV1" s="1082"/>
      <c r="GUW1" s="1082"/>
      <c r="GUX1" s="1082"/>
      <c r="GUY1" s="1082"/>
      <c r="GUZ1" s="1082"/>
      <c r="GVA1" s="1082"/>
      <c r="GVB1" s="1082"/>
      <c r="GVC1" s="1082"/>
      <c r="GVD1" s="1082"/>
      <c r="GVE1" s="1082"/>
      <c r="GVF1" s="1082"/>
      <c r="GVG1" s="1082"/>
      <c r="GVH1" s="1082"/>
      <c r="GVI1" s="1082"/>
      <c r="GVJ1" s="1082"/>
      <c r="GVK1" s="1082"/>
      <c r="GVL1" s="1082"/>
      <c r="GVM1" s="1082"/>
      <c r="GVN1" s="1082"/>
      <c r="GVO1" s="1082"/>
      <c r="GVP1" s="1082"/>
      <c r="GVQ1" s="1082"/>
      <c r="GVR1" s="1082"/>
      <c r="GVS1" s="1082"/>
      <c r="GVT1" s="1082"/>
      <c r="GVU1" s="1082"/>
      <c r="GVV1" s="1082"/>
      <c r="GVW1" s="1082"/>
      <c r="GVX1" s="1082"/>
      <c r="GVY1" s="1082"/>
      <c r="GVZ1" s="1082"/>
      <c r="GWA1" s="1082"/>
      <c r="GWB1" s="1082"/>
      <c r="GWC1" s="1082"/>
      <c r="GWD1" s="1082"/>
      <c r="GWE1" s="1082"/>
      <c r="GWF1" s="1082"/>
      <c r="GWG1" s="1082"/>
      <c r="GWH1" s="1082"/>
      <c r="GWI1" s="1082"/>
      <c r="GWJ1" s="1082"/>
      <c r="GWK1" s="1082"/>
      <c r="GWL1" s="1082"/>
      <c r="GWM1" s="1082"/>
      <c r="GWN1" s="1082"/>
      <c r="GWO1" s="1082"/>
      <c r="GWP1" s="1082"/>
      <c r="GWQ1" s="1082"/>
      <c r="GWR1" s="1082"/>
      <c r="GWS1" s="1082"/>
      <c r="GWT1" s="1082"/>
      <c r="GWU1" s="1082"/>
      <c r="GWV1" s="1082"/>
      <c r="GWW1" s="1082"/>
      <c r="GWX1" s="1082"/>
      <c r="GWY1" s="1082"/>
      <c r="GWZ1" s="1082"/>
      <c r="GXA1" s="1082"/>
      <c r="GXB1" s="1082"/>
      <c r="GXC1" s="1082"/>
      <c r="GXD1" s="1082"/>
      <c r="GXE1" s="1082"/>
      <c r="GXF1" s="1082"/>
      <c r="GXG1" s="1082"/>
      <c r="GXH1" s="1082"/>
      <c r="GXI1" s="1082"/>
      <c r="GXJ1" s="1082"/>
      <c r="GXK1" s="1082"/>
      <c r="GXL1" s="1082"/>
      <c r="GXM1" s="1082"/>
      <c r="GXN1" s="1082"/>
      <c r="GXO1" s="1082"/>
      <c r="GXP1" s="1082"/>
      <c r="GXQ1" s="1082"/>
      <c r="GXR1" s="1082"/>
      <c r="GXS1" s="1082"/>
      <c r="GXT1" s="1082"/>
      <c r="GXU1" s="1082"/>
      <c r="GXV1" s="1082"/>
      <c r="GXW1" s="1082"/>
      <c r="GXX1" s="1082"/>
      <c r="GXY1" s="1082"/>
      <c r="GXZ1" s="1082"/>
      <c r="GYA1" s="1082"/>
      <c r="GYB1" s="1082"/>
      <c r="GYC1" s="1082"/>
      <c r="GYD1" s="1082"/>
      <c r="GYE1" s="1082"/>
      <c r="GYF1" s="1082"/>
      <c r="GYG1" s="1082"/>
      <c r="GYH1" s="1082"/>
      <c r="GYI1" s="1082"/>
      <c r="GYJ1" s="1082"/>
      <c r="GYK1" s="1082"/>
      <c r="GYL1" s="1082"/>
      <c r="GYM1" s="1082"/>
      <c r="GYN1" s="1082"/>
      <c r="GYO1" s="1082"/>
      <c r="GYP1" s="1082"/>
      <c r="GYQ1" s="1082"/>
      <c r="GYR1" s="1082"/>
      <c r="GYS1" s="1082"/>
      <c r="GYT1" s="1082"/>
      <c r="GYU1" s="1082"/>
      <c r="GYV1" s="1082"/>
      <c r="GYW1" s="1082"/>
      <c r="GYX1" s="1082"/>
      <c r="GYY1" s="1082"/>
      <c r="GYZ1" s="1082"/>
      <c r="GZA1" s="1082"/>
      <c r="GZB1" s="1082"/>
      <c r="GZC1" s="1082"/>
      <c r="GZD1" s="1082"/>
      <c r="GZE1" s="1082"/>
      <c r="GZF1" s="1082"/>
      <c r="GZG1" s="1082"/>
      <c r="GZH1" s="1082"/>
      <c r="GZI1" s="1082"/>
      <c r="GZJ1" s="1082"/>
      <c r="GZK1" s="1082"/>
      <c r="GZL1" s="1082"/>
      <c r="GZM1" s="1082"/>
      <c r="GZN1" s="1082"/>
      <c r="GZO1" s="1082"/>
      <c r="GZP1" s="1082"/>
      <c r="GZQ1" s="1082"/>
      <c r="GZR1" s="1082"/>
      <c r="GZS1" s="1082"/>
      <c r="GZT1" s="1082"/>
      <c r="GZU1" s="1082"/>
      <c r="GZV1" s="1082"/>
      <c r="GZW1" s="1082"/>
      <c r="GZX1" s="1082"/>
      <c r="GZY1" s="1082"/>
      <c r="GZZ1" s="1082"/>
      <c r="HAA1" s="1082"/>
      <c r="HAB1" s="1082"/>
      <c r="HAC1" s="1082"/>
      <c r="HAD1" s="1082"/>
      <c r="HAE1" s="1082"/>
      <c r="HAF1" s="1082"/>
      <c r="HAG1" s="1082"/>
      <c r="HAH1" s="1082"/>
      <c r="HAI1" s="1082"/>
      <c r="HAJ1" s="1082"/>
      <c r="HAK1" s="1082"/>
      <c r="HAL1" s="1082"/>
      <c r="HAM1" s="1082"/>
      <c r="HAN1" s="1082"/>
      <c r="HAO1" s="1082"/>
      <c r="HAP1" s="1082"/>
      <c r="HAQ1" s="1082"/>
      <c r="HAR1" s="1082"/>
      <c r="HAS1" s="1082"/>
      <c r="HAT1" s="1082"/>
      <c r="HAU1" s="1082"/>
      <c r="HAV1" s="1082"/>
      <c r="HAW1" s="1082"/>
      <c r="HAX1" s="1082"/>
      <c r="HAY1" s="1082"/>
      <c r="HAZ1" s="1082"/>
      <c r="HBA1" s="1082"/>
      <c r="HBB1" s="1082"/>
      <c r="HBC1" s="1082"/>
      <c r="HBD1" s="1082"/>
      <c r="HBE1" s="1082"/>
      <c r="HBF1" s="1082"/>
      <c r="HBG1" s="1082"/>
      <c r="HBH1" s="1082"/>
      <c r="HBI1" s="1082"/>
      <c r="HBJ1" s="1082"/>
      <c r="HBK1" s="1082"/>
      <c r="HBL1" s="1082"/>
      <c r="HBM1" s="1082"/>
      <c r="HBN1" s="1082"/>
      <c r="HBO1" s="1082"/>
      <c r="HBP1" s="1082"/>
      <c r="HBQ1" s="1082"/>
      <c r="HBR1" s="1082"/>
      <c r="HBS1" s="1082"/>
      <c r="HBT1" s="1082"/>
      <c r="HBU1" s="1082"/>
      <c r="HBV1" s="1082"/>
      <c r="HBW1" s="1082"/>
      <c r="HBX1" s="1082"/>
      <c r="HBY1" s="1082"/>
      <c r="HBZ1" s="1082"/>
      <c r="HCA1" s="1082"/>
      <c r="HCB1" s="1082"/>
      <c r="HCC1" s="1082"/>
      <c r="HCD1" s="1082"/>
      <c r="HCE1" s="1082"/>
      <c r="HCF1" s="1082"/>
      <c r="HCG1" s="1082"/>
      <c r="HCH1" s="1082"/>
      <c r="HCI1" s="1082"/>
      <c r="HCJ1" s="1082"/>
      <c r="HCK1" s="1082"/>
      <c r="HCL1" s="1082"/>
      <c r="HCM1" s="1082"/>
      <c r="HCN1" s="1082"/>
      <c r="HCO1" s="1082"/>
      <c r="HCP1" s="1082"/>
      <c r="HCQ1" s="1082"/>
      <c r="HCR1" s="1082"/>
      <c r="HCS1" s="1082"/>
      <c r="HCT1" s="1082"/>
      <c r="HCU1" s="1082"/>
      <c r="HCV1" s="1082"/>
      <c r="HCW1" s="1082"/>
      <c r="HCX1" s="1082"/>
      <c r="HCY1" s="1082"/>
      <c r="HCZ1" s="1082"/>
      <c r="HDA1" s="1082"/>
      <c r="HDB1" s="1082"/>
      <c r="HDC1" s="1082"/>
      <c r="HDD1" s="1082"/>
      <c r="HDE1" s="1082"/>
      <c r="HDF1" s="1082"/>
      <c r="HDG1" s="1082"/>
      <c r="HDH1" s="1082"/>
      <c r="HDI1" s="1082"/>
      <c r="HDJ1" s="1082"/>
      <c r="HDK1" s="1082"/>
      <c r="HDL1" s="1082"/>
      <c r="HDM1" s="1082"/>
      <c r="HDN1" s="1082"/>
      <c r="HDO1" s="1082"/>
      <c r="HDP1" s="1082"/>
      <c r="HDQ1" s="1082"/>
      <c r="HDR1" s="1082"/>
      <c r="HDS1" s="1082"/>
      <c r="HDT1" s="1082"/>
      <c r="HDU1" s="1082"/>
      <c r="HDV1" s="1082"/>
      <c r="HDW1" s="1082"/>
      <c r="HDX1" s="1082"/>
      <c r="HDY1" s="1082"/>
      <c r="HDZ1" s="1082"/>
      <c r="HEA1" s="1082"/>
      <c r="HEB1" s="1082"/>
      <c r="HEC1" s="1082"/>
      <c r="HED1" s="1082"/>
      <c r="HEE1" s="1082"/>
      <c r="HEF1" s="1082"/>
      <c r="HEG1" s="1082"/>
      <c r="HEH1" s="1082"/>
      <c r="HEI1" s="1082"/>
      <c r="HEJ1" s="1082"/>
      <c r="HEK1" s="1082"/>
      <c r="HEL1" s="1082"/>
      <c r="HEM1" s="1082"/>
      <c r="HEN1" s="1082"/>
      <c r="HEO1" s="1082"/>
      <c r="HEP1" s="1082"/>
      <c r="HEQ1" s="1082"/>
      <c r="HER1" s="1082"/>
      <c r="HES1" s="1082"/>
      <c r="HET1" s="1082"/>
      <c r="HEU1" s="1082"/>
      <c r="HEV1" s="1082"/>
      <c r="HEW1" s="1082"/>
      <c r="HEX1" s="1082"/>
      <c r="HEY1" s="1082"/>
      <c r="HEZ1" s="1082"/>
      <c r="HFA1" s="1082"/>
      <c r="HFB1" s="1082"/>
      <c r="HFC1" s="1082"/>
      <c r="HFD1" s="1082"/>
      <c r="HFE1" s="1082"/>
      <c r="HFF1" s="1082"/>
      <c r="HFG1" s="1082"/>
      <c r="HFH1" s="1082"/>
      <c r="HFI1" s="1082"/>
      <c r="HFJ1" s="1082"/>
      <c r="HFK1" s="1082"/>
      <c r="HFL1" s="1082"/>
      <c r="HFM1" s="1082"/>
      <c r="HFN1" s="1082"/>
      <c r="HFO1" s="1082"/>
      <c r="HFP1" s="1082"/>
      <c r="HFQ1" s="1082"/>
      <c r="HFR1" s="1082"/>
      <c r="HFS1" s="1082"/>
      <c r="HFT1" s="1082"/>
      <c r="HFU1" s="1082"/>
      <c r="HFV1" s="1082"/>
      <c r="HFW1" s="1082"/>
      <c r="HFX1" s="1082"/>
      <c r="HFY1" s="1082"/>
      <c r="HFZ1" s="1082"/>
      <c r="HGA1" s="1082"/>
      <c r="HGB1" s="1082"/>
      <c r="HGC1" s="1082"/>
      <c r="HGD1" s="1082"/>
      <c r="HGE1" s="1082"/>
      <c r="HGF1" s="1082"/>
      <c r="HGG1" s="1082"/>
      <c r="HGH1" s="1082"/>
      <c r="HGI1" s="1082"/>
      <c r="HGJ1" s="1082"/>
      <c r="HGK1" s="1082"/>
      <c r="HGL1" s="1082"/>
      <c r="HGM1" s="1082"/>
      <c r="HGN1" s="1082"/>
      <c r="HGO1" s="1082"/>
      <c r="HGP1" s="1082"/>
      <c r="HGQ1" s="1082"/>
      <c r="HGR1" s="1082"/>
      <c r="HGS1" s="1082"/>
      <c r="HGT1" s="1082"/>
      <c r="HGU1" s="1082"/>
      <c r="HGV1" s="1082"/>
      <c r="HGW1" s="1082"/>
      <c r="HGX1" s="1082"/>
      <c r="HGY1" s="1082"/>
      <c r="HGZ1" s="1082"/>
      <c r="HHA1" s="1082"/>
      <c r="HHB1" s="1082"/>
      <c r="HHC1" s="1082"/>
      <c r="HHD1" s="1082"/>
      <c r="HHE1" s="1082"/>
      <c r="HHF1" s="1082"/>
      <c r="HHG1" s="1082"/>
      <c r="HHH1" s="1082"/>
      <c r="HHI1" s="1082"/>
      <c r="HHJ1" s="1082"/>
      <c r="HHK1" s="1082"/>
      <c r="HHL1" s="1082"/>
      <c r="HHM1" s="1082"/>
      <c r="HHN1" s="1082"/>
      <c r="HHO1" s="1082"/>
      <c r="HHP1" s="1082"/>
      <c r="HHQ1" s="1082"/>
      <c r="HHR1" s="1082"/>
      <c r="HHS1" s="1082"/>
      <c r="HHT1" s="1082"/>
      <c r="HHU1" s="1082"/>
      <c r="HHV1" s="1082"/>
      <c r="HHW1" s="1082"/>
      <c r="HHX1" s="1082"/>
      <c r="HHY1" s="1082"/>
      <c r="HHZ1" s="1082"/>
      <c r="HIA1" s="1082"/>
      <c r="HIB1" s="1082"/>
      <c r="HIC1" s="1082"/>
      <c r="HID1" s="1082"/>
      <c r="HIE1" s="1082"/>
      <c r="HIF1" s="1082"/>
      <c r="HIG1" s="1082"/>
      <c r="HIH1" s="1082"/>
      <c r="HII1" s="1082"/>
      <c r="HIJ1" s="1082"/>
      <c r="HIK1" s="1082"/>
      <c r="HIL1" s="1082"/>
      <c r="HIM1" s="1082"/>
      <c r="HIN1" s="1082"/>
      <c r="HIO1" s="1082"/>
      <c r="HIP1" s="1082"/>
      <c r="HIQ1" s="1082"/>
      <c r="HIR1" s="1082"/>
      <c r="HIS1" s="1082"/>
      <c r="HIT1" s="1082"/>
      <c r="HIU1" s="1082"/>
      <c r="HIV1" s="1082"/>
      <c r="HIW1" s="1082"/>
      <c r="HIX1" s="1082"/>
      <c r="HIY1" s="1082"/>
      <c r="HIZ1" s="1082"/>
      <c r="HJA1" s="1082"/>
      <c r="HJB1" s="1082"/>
      <c r="HJC1" s="1082"/>
      <c r="HJD1" s="1082"/>
      <c r="HJE1" s="1082"/>
      <c r="HJF1" s="1082"/>
      <c r="HJG1" s="1082"/>
      <c r="HJH1" s="1082"/>
      <c r="HJI1" s="1082"/>
      <c r="HJJ1" s="1082"/>
      <c r="HJK1" s="1082"/>
      <c r="HJL1" s="1082"/>
      <c r="HJM1" s="1082"/>
      <c r="HJN1" s="1082"/>
      <c r="HJO1" s="1082"/>
      <c r="HJP1" s="1082"/>
      <c r="HJQ1" s="1082"/>
      <c r="HJR1" s="1082"/>
      <c r="HJS1" s="1082"/>
      <c r="HJT1" s="1082"/>
      <c r="HJU1" s="1082"/>
      <c r="HJV1" s="1082"/>
      <c r="HJW1" s="1082"/>
      <c r="HJX1" s="1082"/>
      <c r="HJY1" s="1082"/>
      <c r="HJZ1" s="1082"/>
      <c r="HKA1" s="1082"/>
      <c r="HKB1" s="1082"/>
      <c r="HKC1" s="1082"/>
      <c r="HKD1" s="1082"/>
      <c r="HKE1" s="1082"/>
      <c r="HKF1" s="1082"/>
      <c r="HKG1" s="1082"/>
      <c r="HKH1" s="1082"/>
      <c r="HKI1" s="1082"/>
      <c r="HKJ1" s="1082"/>
      <c r="HKK1" s="1082"/>
      <c r="HKL1" s="1082"/>
      <c r="HKM1" s="1082"/>
      <c r="HKN1" s="1082"/>
      <c r="HKO1" s="1082"/>
      <c r="HKP1" s="1082"/>
      <c r="HKQ1" s="1082"/>
      <c r="HKR1" s="1082"/>
      <c r="HKS1" s="1082"/>
      <c r="HKT1" s="1082"/>
      <c r="HKU1" s="1082"/>
      <c r="HKV1" s="1082"/>
      <c r="HKW1" s="1082"/>
      <c r="HKX1" s="1082"/>
      <c r="HKY1" s="1082"/>
      <c r="HKZ1" s="1082"/>
      <c r="HLA1" s="1082"/>
      <c r="HLB1" s="1082"/>
      <c r="HLC1" s="1082"/>
      <c r="HLD1" s="1082"/>
      <c r="HLE1" s="1082"/>
      <c r="HLF1" s="1082"/>
      <c r="HLG1" s="1082"/>
      <c r="HLH1" s="1082"/>
      <c r="HLI1" s="1082"/>
      <c r="HLJ1" s="1082"/>
      <c r="HLK1" s="1082"/>
      <c r="HLL1" s="1082"/>
      <c r="HLM1" s="1082"/>
      <c r="HLN1" s="1082"/>
      <c r="HLO1" s="1082"/>
      <c r="HLP1" s="1082"/>
      <c r="HLQ1" s="1082"/>
      <c r="HLR1" s="1082"/>
      <c r="HLS1" s="1082"/>
      <c r="HLT1" s="1082"/>
      <c r="HLU1" s="1082"/>
      <c r="HLV1" s="1082"/>
      <c r="HLW1" s="1082"/>
      <c r="HLX1" s="1082"/>
      <c r="HLY1" s="1082"/>
      <c r="HLZ1" s="1082"/>
      <c r="HMA1" s="1082"/>
      <c r="HMB1" s="1082"/>
      <c r="HMC1" s="1082"/>
      <c r="HMD1" s="1082"/>
      <c r="HME1" s="1082"/>
      <c r="HMF1" s="1082"/>
      <c r="HMG1" s="1082"/>
      <c r="HMH1" s="1082"/>
      <c r="HMI1" s="1082"/>
      <c r="HMJ1" s="1082"/>
      <c r="HMK1" s="1082"/>
      <c r="HML1" s="1082"/>
      <c r="HMM1" s="1082"/>
      <c r="HMN1" s="1082"/>
      <c r="HMO1" s="1082"/>
      <c r="HMP1" s="1082"/>
      <c r="HMQ1" s="1082"/>
      <c r="HMR1" s="1082"/>
      <c r="HMS1" s="1082"/>
      <c r="HMT1" s="1082"/>
      <c r="HMU1" s="1082"/>
      <c r="HMV1" s="1082"/>
      <c r="HMW1" s="1082"/>
      <c r="HMX1" s="1082"/>
      <c r="HMY1" s="1082"/>
      <c r="HMZ1" s="1082"/>
      <c r="HNA1" s="1082"/>
      <c r="HNB1" s="1082"/>
      <c r="HNC1" s="1082"/>
      <c r="HND1" s="1082"/>
      <c r="HNE1" s="1082"/>
      <c r="HNF1" s="1082"/>
      <c r="HNG1" s="1082"/>
      <c r="HNH1" s="1082"/>
      <c r="HNI1" s="1082"/>
      <c r="HNJ1" s="1082"/>
      <c r="HNK1" s="1082"/>
      <c r="HNL1" s="1082"/>
      <c r="HNM1" s="1082"/>
      <c r="HNN1" s="1082"/>
      <c r="HNO1" s="1082"/>
      <c r="HNP1" s="1082"/>
      <c r="HNQ1" s="1082"/>
      <c r="HNR1" s="1082"/>
      <c r="HNS1" s="1082"/>
      <c r="HNT1" s="1082"/>
      <c r="HNU1" s="1082"/>
      <c r="HNV1" s="1082"/>
      <c r="HNW1" s="1082"/>
      <c r="HNX1" s="1082"/>
      <c r="HNY1" s="1082"/>
      <c r="HNZ1" s="1082"/>
      <c r="HOA1" s="1082"/>
      <c r="HOB1" s="1082"/>
      <c r="HOC1" s="1082"/>
      <c r="HOD1" s="1082"/>
      <c r="HOE1" s="1082"/>
      <c r="HOF1" s="1082"/>
      <c r="HOG1" s="1082"/>
      <c r="HOH1" s="1082"/>
      <c r="HOI1" s="1082"/>
      <c r="HOJ1" s="1082"/>
      <c r="HOK1" s="1082"/>
      <c r="HOL1" s="1082"/>
      <c r="HOM1" s="1082"/>
      <c r="HON1" s="1082"/>
      <c r="HOO1" s="1082"/>
      <c r="HOP1" s="1082"/>
      <c r="HOQ1" s="1082"/>
      <c r="HOR1" s="1082"/>
      <c r="HOS1" s="1082"/>
      <c r="HOT1" s="1082"/>
      <c r="HOU1" s="1082"/>
      <c r="HOV1" s="1082"/>
      <c r="HOW1" s="1082"/>
      <c r="HOX1" s="1082"/>
      <c r="HOY1" s="1082"/>
      <c r="HOZ1" s="1082"/>
      <c r="HPA1" s="1082"/>
      <c r="HPB1" s="1082"/>
      <c r="HPC1" s="1082"/>
      <c r="HPD1" s="1082"/>
      <c r="HPE1" s="1082"/>
      <c r="HPF1" s="1082"/>
      <c r="HPG1" s="1082"/>
      <c r="HPH1" s="1082"/>
      <c r="HPI1" s="1082"/>
      <c r="HPJ1" s="1082"/>
      <c r="HPK1" s="1082"/>
      <c r="HPL1" s="1082"/>
      <c r="HPM1" s="1082"/>
      <c r="HPN1" s="1082"/>
      <c r="HPO1" s="1082"/>
      <c r="HPP1" s="1082"/>
      <c r="HPQ1" s="1082"/>
      <c r="HPR1" s="1082"/>
      <c r="HPS1" s="1082"/>
      <c r="HPT1" s="1082"/>
      <c r="HPU1" s="1082"/>
      <c r="HPV1" s="1082"/>
      <c r="HPW1" s="1082"/>
      <c r="HPX1" s="1082"/>
      <c r="HPY1" s="1082"/>
      <c r="HPZ1" s="1082"/>
      <c r="HQA1" s="1082"/>
      <c r="HQB1" s="1082"/>
      <c r="HQC1" s="1082"/>
      <c r="HQD1" s="1082"/>
      <c r="HQE1" s="1082"/>
      <c r="HQF1" s="1082"/>
      <c r="HQG1" s="1082"/>
      <c r="HQH1" s="1082"/>
      <c r="HQI1" s="1082"/>
      <c r="HQJ1" s="1082"/>
      <c r="HQK1" s="1082"/>
      <c r="HQL1" s="1082"/>
      <c r="HQM1" s="1082"/>
      <c r="HQN1" s="1082"/>
      <c r="HQO1" s="1082"/>
      <c r="HQP1" s="1082"/>
      <c r="HQQ1" s="1082"/>
      <c r="HQR1" s="1082"/>
      <c r="HQS1" s="1082"/>
      <c r="HQT1" s="1082"/>
      <c r="HQU1" s="1082"/>
      <c r="HQV1" s="1082"/>
      <c r="HQW1" s="1082"/>
      <c r="HQX1" s="1082"/>
      <c r="HQY1" s="1082"/>
      <c r="HQZ1" s="1082"/>
      <c r="HRA1" s="1082"/>
      <c r="HRB1" s="1082"/>
      <c r="HRC1" s="1082"/>
      <c r="HRD1" s="1082"/>
      <c r="HRE1" s="1082"/>
      <c r="HRF1" s="1082"/>
      <c r="HRG1" s="1082"/>
      <c r="HRH1" s="1082"/>
      <c r="HRI1" s="1082"/>
      <c r="HRJ1" s="1082"/>
      <c r="HRK1" s="1082"/>
      <c r="HRL1" s="1082"/>
      <c r="HRM1" s="1082"/>
      <c r="HRN1" s="1082"/>
      <c r="HRO1" s="1082"/>
      <c r="HRP1" s="1082"/>
      <c r="HRQ1" s="1082"/>
      <c r="HRR1" s="1082"/>
      <c r="HRS1" s="1082"/>
      <c r="HRT1" s="1082"/>
      <c r="HRU1" s="1082"/>
      <c r="HRV1" s="1082"/>
      <c r="HRW1" s="1082"/>
      <c r="HRX1" s="1082"/>
      <c r="HRY1" s="1082"/>
      <c r="HRZ1" s="1082"/>
      <c r="HSA1" s="1082"/>
      <c r="HSB1" s="1082"/>
      <c r="HSC1" s="1082"/>
      <c r="HSD1" s="1082"/>
      <c r="HSE1" s="1082"/>
      <c r="HSF1" s="1082"/>
      <c r="HSG1" s="1082"/>
      <c r="HSH1" s="1082"/>
      <c r="HSI1" s="1082"/>
      <c r="HSJ1" s="1082"/>
      <c r="HSK1" s="1082"/>
      <c r="HSL1" s="1082"/>
      <c r="HSM1" s="1082"/>
      <c r="HSN1" s="1082"/>
      <c r="HSO1" s="1082"/>
      <c r="HSP1" s="1082"/>
      <c r="HSQ1" s="1082"/>
      <c r="HSR1" s="1082"/>
      <c r="HSS1" s="1082"/>
      <c r="HST1" s="1082"/>
      <c r="HSU1" s="1082"/>
      <c r="HSV1" s="1082"/>
      <c r="HSW1" s="1082"/>
      <c r="HSX1" s="1082"/>
      <c r="HSY1" s="1082"/>
      <c r="HSZ1" s="1082"/>
      <c r="HTA1" s="1082"/>
      <c r="HTB1" s="1082"/>
      <c r="HTC1" s="1082"/>
      <c r="HTD1" s="1082"/>
      <c r="HTE1" s="1082"/>
      <c r="HTF1" s="1082"/>
      <c r="HTG1" s="1082"/>
      <c r="HTH1" s="1082"/>
      <c r="HTI1" s="1082"/>
      <c r="HTJ1" s="1082"/>
      <c r="HTK1" s="1082"/>
      <c r="HTL1" s="1082"/>
      <c r="HTM1" s="1082"/>
      <c r="HTN1" s="1082"/>
      <c r="HTO1" s="1082"/>
      <c r="HTP1" s="1082"/>
      <c r="HTQ1" s="1082"/>
      <c r="HTR1" s="1082"/>
      <c r="HTS1" s="1082"/>
      <c r="HTT1" s="1082"/>
      <c r="HTU1" s="1082"/>
      <c r="HTV1" s="1082"/>
      <c r="HTW1" s="1082"/>
      <c r="HTX1" s="1082"/>
      <c r="HTY1" s="1082"/>
      <c r="HTZ1" s="1082"/>
      <c r="HUA1" s="1082"/>
      <c r="HUB1" s="1082"/>
      <c r="HUC1" s="1082"/>
      <c r="HUD1" s="1082"/>
      <c r="HUE1" s="1082"/>
      <c r="HUF1" s="1082"/>
      <c r="HUG1" s="1082"/>
      <c r="HUH1" s="1082"/>
      <c r="HUI1" s="1082"/>
      <c r="HUJ1" s="1082"/>
      <c r="HUK1" s="1082"/>
      <c r="HUL1" s="1082"/>
      <c r="HUM1" s="1082"/>
      <c r="HUN1" s="1082"/>
      <c r="HUO1" s="1082"/>
      <c r="HUP1" s="1082"/>
      <c r="HUQ1" s="1082"/>
      <c r="HUR1" s="1082"/>
      <c r="HUS1" s="1082"/>
      <c r="HUT1" s="1082"/>
      <c r="HUU1" s="1082"/>
      <c r="HUV1" s="1082"/>
      <c r="HUW1" s="1082"/>
      <c r="HUX1" s="1082"/>
      <c r="HUY1" s="1082"/>
      <c r="HUZ1" s="1082"/>
      <c r="HVA1" s="1082"/>
      <c r="HVB1" s="1082"/>
      <c r="HVC1" s="1082"/>
      <c r="HVD1" s="1082"/>
      <c r="HVE1" s="1082"/>
      <c r="HVF1" s="1082"/>
      <c r="HVG1" s="1082"/>
      <c r="HVH1" s="1082"/>
      <c r="HVI1" s="1082"/>
      <c r="HVJ1" s="1082"/>
      <c r="HVK1" s="1082"/>
      <c r="HVL1" s="1082"/>
      <c r="HVM1" s="1082"/>
      <c r="HVN1" s="1082"/>
      <c r="HVO1" s="1082"/>
      <c r="HVP1" s="1082"/>
      <c r="HVQ1" s="1082"/>
      <c r="HVR1" s="1082"/>
      <c r="HVS1" s="1082"/>
      <c r="HVT1" s="1082"/>
      <c r="HVU1" s="1082"/>
      <c r="HVV1" s="1082"/>
      <c r="HVW1" s="1082"/>
      <c r="HVX1" s="1082"/>
      <c r="HVY1" s="1082"/>
      <c r="HVZ1" s="1082"/>
      <c r="HWA1" s="1082"/>
      <c r="HWB1" s="1082"/>
      <c r="HWC1" s="1082"/>
      <c r="HWD1" s="1082"/>
      <c r="HWE1" s="1082"/>
      <c r="HWF1" s="1082"/>
      <c r="HWG1" s="1082"/>
      <c r="HWH1" s="1082"/>
      <c r="HWI1" s="1082"/>
      <c r="HWJ1" s="1082"/>
      <c r="HWK1" s="1082"/>
      <c r="HWL1" s="1082"/>
      <c r="HWM1" s="1082"/>
      <c r="HWN1" s="1082"/>
      <c r="HWO1" s="1082"/>
      <c r="HWP1" s="1082"/>
      <c r="HWQ1" s="1082"/>
      <c r="HWR1" s="1082"/>
      <c r="HWS1" s="1082"/>
      <c r="HWT1" s="1082"/>
      <c r="HWU1" s="1082"/>
      <c r="HWV1" s="1082"/>
      <c r="HWW1" s="1082"/>
      <c r="HWX1" s="1082"/>
      <c r="HWY1" s="1082"/>
      <c r="HWZ1" s="1082"/>
      <c r="HXA1" s="1082"/>
      <c r="HXB1" s="1082"/>
      <c r="HXC1" s="1082"/>
      <c r="HXD1" s="1082"/>
      <c r="HXE1" s="1082"/>
      <c r="HXF1" s="1082"/>
      <c r="HXG1" s="1082"/>
      <c r="HXH1" s="1082"/>
      <c r="HXI1" s="1082"/>
      <c r="HXJ1" s="1082"/>
      <c r="HXK1" s="1082"/>
      <c r="HXL1" s="1082"/>
      <c r="HXM1" s="1082"/>
      <c r="HXN1" s="1082"/>
      <c r="HXO1" s="1082"/>
      <c r="HXP1" s="1082"/>
      <c r="HXQ1" s="1082"/>
      <c r="HXR1" s="1082"/>
      <c r="HXS1" s="1082"/>
      <c r="HXT1" s="1082"/>
      <c r="HXU1" s="1082"/>
      <c r="HXV1" s="1082"/>
      <c r="HXW1" s="1082"/>
      <c r="HXX1" s="1082"/>
      <c r="HXY1" s="1082"/>
      <c r="HXZ1" s="1082"/>
      <c r="HYA1" s="1082"/>
      <c r="HYB1" s="1082"/>
      <c r="HYC1" s="1082"/>
      <c r="HYD1" s="1082"/>
      <c r="HYE1" s="1082"/>
      <c r="HYF1" s="1082"/>
      <c r="HYG1" s="1082"/>
      <c r="HYH1" s="1082"/>
      <c r="HYI1" s="1082"/>
      <c r="HYJ1" s="1082"/>
      <c r="HYK1" s="1082"/>
      <c r="HYL1" s="1082"/>
      <c r="HYM1" s="1082"/>
      <c r="HYN1" s="1082"/>
      <c r="HYO1" s="1082"/>
      <c r="HYP1" s="1082"/>
      <c r="HYQ1" s="1082"/>
      <c r="HYR1" s="1082"/>
      <c r="HYS1" s="1082"/>
      <c r="HYT1" s="1082"/>
      <c r="HYU1" s="1082"/>
      <c r="HYV1" s="1082"/>
      <c r="HYW1" s="1082"/>
      <c r="HYX1" s="1082"/>
      <c r="HYY1" s="1082"/>
      <c r="HYZ1" s="1082"/>
      <c r="HZA1" s="1082"/>
      <c r="HZB1" s="1082"/>
      <c r="HZC1" s="1082"/>
      <c r="HZD1" s="1082"/>
      <c r="HZE1" s="1082"/>
      <c r="HZF1" s="1082"/>
      <c r="HZG1" s="1082"/>
      <c r="HZH1" s="1082"/>
      <c r="HZI1" s="1082"/>
      <c r="HZJ1" s="1082"/>
      <c r="HZK1" s="1082"/>
      <c r="HZL1" s="1082"/>
      <c r="HZM1" s="1082"/>
      <c r="HZN1" s="1082"/>
      <c r="HZO1" s="1082"/>
      <c r="HZP1" s="1082"/>
      <c r="HZQ1" s="1082"/>
      <c r="HZR1" s="1082"/>
      <c r="HZS1" s="1082"/>
      <c r="HZT1" s="1082"/>
      <c r="HZU1" s="1082"/>
      <c r="HZV1" s="1082"/>
      <c r="HZW1" s="1082"/>
      <c r="HZX1" s="1082"/>
      <c r="HZY1" s="1082"/>
      <c r="HZZ1" s="1082"/>
      <c r="IAA1" s="1082"/>
      <c r="IAB1" s="1082"/>
      <c r="IAC1" s="1082"/>
      <c r="IAD1" s="1082"/>
      <c r="IAE1" s="1082"/>
      <c r="IAF1" s="1082"/>
      <c r="IAG1" s="1082"/>
      <c r="IAH1" s="1082"/>
      <c r="IAI1" s="1082"/>
      <c r="IAJ1" s="1082"/>
      <c r="IAK1" s="1082"/>
      <c r="IAL1" s="1082"/>
      <c r="IAM1" s="1082"/>
      <c r="IAN1" s="1082"/>
      <c r="IAO1" s="1082"/>
      <c r="IAP1" s="1082"/>
      <c r="IAQ1" s="1082"/>
      <c r="IAR1" s="1082"/>
      <c r="IAS1" s="1082"/>
      <c r="IAT1" s="1082"/>
      <c r="IAU1" s="1082"/>
      <c r="IAV1" s="1082"/>
      <c r="IAW1" s="1082"/>
      <c r="IAX1" s="1082"/>
      <c r="IAY1" s="1082"/>
      <c r="IAZ1" s="1082"/>
      <c r="IBA1" s="1082"/>
      <c r="IBB1" s="1082"/>
      <c r="IBC1" s="1082"/>
      <c r="IBD1" s="1082"/>
      <c r="IBE1" s="1082"/>
      <c r="IBF1" s="1082"/>
      <c r="IBG1" s="1082"/>
      <c r="IBH1" s="1082"/>
      <c r="IBI1" s="1082"/>
      <c r="IBJ1" s="1082"/>
      <c r="IBK1" s="1082"/>
      <c r="IBL1" s="1082"/>
      <c r="IBM1" s="1082"/>
      <c r="IBN1" s="1082"/>
      <c r="IBO1" s="1082"/>
      <c r="IBP1" s="1082"/>
      <c r="IBQ1" s="1082"/>
      <c r="IBR1" s="1082"/>
      <c r="IBS1" s="1082"/>
      <c r="IBT1" s="1082"/>
      <c r="IBU1" s="1082"/>
      <c r="IBV1" s="1082"/>
      <c r="IBW1" s="1082"/>
      <c r="IBX1" s="1082"/>
      <c r="IBY1" s="1082"/>
      <c r="IBZ1" s="1082"/>
      <c r="ICA1" s="1082"/>
      <c r="ICB1" s="1082"/>
      <c r="ICC1" s="1082"/>
      <c r="ICD1" s="1082"/>
      <c r="ICE1" s="1082"/>
      <c r="ICF1" s="1082"/>
      <c r="ICG1" s="1082"/>
      <c r="ICH1" s="1082"/>
      <c r="ICI1" s="1082"/>
      <c r="ICJ1" s="1082"/>
      <c r="ICK1" s="1082"/>
      <c r="ICL1" s="1082"/>
      <c r="ICM1" s="1082"/>
      <c r="ICN1" s="1082"/>
      <c r="ICO1" s="1082"/>
      <c r="ICP1" s="1082"/>
      <c r="ICQ1" s="1082"/>
      <c r="ICR1" s="1082"/>
      <c r="ICS1" s="1082"/>
      <c r="ICT1" s="1082"/>
      <c r="ICU1" s="1082"/>
      <c r="ICV1" s="1082"/>
      <c r="ICW1" s="1082"/>
      <c r="ICX1" s="1082"/>
      <c r="ICY1" s="1082"/>
      <c r="ICZ1" s="1082"/>
      <c r="IDA1" s="1082"/>
      <c r="IDB1" s="1082"/>
      <c r="IDC1" s="1082"/>
      <c r="IDD1" s="1082"/>
      <c r="IDE1" s="1082"/>
      <c r="IDF1" s="1082"/>
      <c r="IDG1" s="1082"/>
      <c r="IDH1" s="1082"/>
      <c r="IDI1" s="1082"/>
      <c r="IDJ1" s="1082"/>
      <c r="IDK1" s="1082"/>
      <c r="IDL1" s="1082"/>
      <c r="IDM1" s="1082"/>
      <c r="IDN1" s="1082"/>
      <c r="IDO1" s="1082"/>
      <c r="IDP1" s="1082"/>
      <c r="IDQ1" s="1082"/>
      <c r="IDR1" s="1082"/>
      <c r="IDS1" s="1082"/>
      <c r="IDT1" s="1082"/>
      <c r="IDU1" s="1082"/>
      <c r="IDV1" s="1082"/>
      <c r="IDW1" s="1082"/>
      <c r="IDX1" s="1082"/>
      <c r="IDY1" s="1082"/>
      <c r="IDZ1" s="1082"/>
      <c r="IEA1" s="1082"/>
      <c r="IEB1" s="1082"/>
      <c r="IEC1" s="1082"/>
      <c r="IED1" s="1082"/>
      <c r="IEE1" s="1082"/>
      <c r="IEF1" s="1082"/>
      <c r="IEG1" s="1082"/>
      <c r="IEH1" s="1082"/>
      <c r="IEI1" s="1082"/>
      <c r="IEJ1" s="1082"/>
      <c r="IEK1" s="1082"/>
      <c r="IEL1" s="1082"/>
      <c r="IEM1" s="1082"/>
      <c r="IEN1" s="1082"/>
      <c r="IEO1" s="1082"/>
      <c r="IEP1" s="1082"/>
      <c r="IEQ1" s="1082"/>
      <c r="IER1" s="1082"/>
      <c r="IES1" s="1082"/>
      <c r="IET1" s="1082"/>
      <c r="IEU1" s="1082"/>
      <c r="IEV1" s="1082"/>
      <c r="IEW1" s="1082"/>
      <c r="IEX1" s="1082"/>
      <c r="IEY1" s="1082"/>
      <c r="IEZ1" s="1082"/>
      <c r="IFA1" s="1082"/>
      <c r="IFB1" s="1082"/>
      <c r="IFC1" s="1082"/>
      <c r="IFD1" s="1082"/>
      <c r="IFE1" s="1082"/>
      <c r="IFF1" s="1082"/>
      <c r="IFG1" s="1082"/>
      <c r="IFH1" s="1082"/>
      <c r="IFI1" s="1082"/>
      <c r="IFJ1" s="1082"/>
      <c r="IFK1" s="1082"/>
      <c r="IFL1" s="1082"/>
      <c r="IFM1" s="1082"/>
      <c r="IFN1" s="1082"/>
      <c r="IFO1" s="1082"/>
      <c r="IFP1" s="1082"/>
      <c r="IFQ1" s="1082"/>
      <c r="IFR1" s="1082"/>
      <c r="IFS1" s="1082"/>
      <c r="IFT1" s="1082"/>
      <c r="IFU1" s="1082"/>
      <c r="IFV1" s="1082"/>
      <c r="IFW1" s="1082"/>
      <c r="IFX1" s="1082"/>
      <c r="IFY1" s="1082"/>
      <c r="IFZ1" s="1082"/>
      <c r="IGA1" s="1082"/>
      <c r="IGB1" s="1082"/>
      <c r="IGC1" s="1082"/>
      <c r="IGD1" s="1082"/>
      <c r="IGE1" s="1082"/>
      <c r="IGF1" s="1082"/>
      <c r="IGG1" s="1082"/>
      <c r="IGH1" s="1082"/>
      <c r="IGI1" s="1082"/>
      <c r="IGJ1" s="1082"/>
      <c r="IGK1" s="1082"/>
      <c r="IGL1" s="1082"/>
      <c r="IGM1" s="1082"/>
      <c r="IGN1" s="1082"/>
      <c r="IGO1" s="1082"/>
      <c r="IGP1" s="1082"/>
      <c r="IGQ1" s="1082"/>
      <c r="IGR1" s="1082"/>
      <c r="IGS1" s="1082"/>
      <c r="IGT1" s="1082"/>
      <c r="IGU1" s="1082"/>
      <c r="IGV1" s="1082"/>
      <c r="IGW1" s="1082"/>
      <c r="IGX1" s="1082"/>
      <c r="IGY1" s="1082"/>
      <c r="IGZ1" s="1082"/>
      <c r="IHA1" s="1082"/>
      <c r="IHB1" s="1082"/>
      <c r="IHC1" s="1082"/>
      <c r="IHD1" s="1082"/>
      <c r="IHE1" s="1082"/>
      <c r="IHF1" s="1082"/>
      <c r="IHG1" s="1082"/>
      <c r="IHH1" s="1082"/>
      <c r="IHI1" s="1082"/>
      <c r="IHJ1" s="1082"/>
      <c r="IHK1" s="1082"/>
      <c r="IHL1" s="1082"/>
      <c r="IHM1" s="1082"/>
      <c r="IHN1" s="1082"/>
      <c r="IHO1" s="1082"/>
      <c r="IHP1" s="1082"/>
      <c r="IHQ1" s="1082"/>
      <c r="IHR1" s="1082"/>
      <c r="IHS1" s="1082"/>
      <c r="IHT1" s="1082"/>
      <c r="IHU1" s="1082"/>
      <c r="IHV1" s="1082"/>
      <c r="IHW1" s="1082"/>
      <c r="IHX1" s="1082"/>
      <c r="IHY1" s="1082"/>
      <c r="IHZ1" s="1082"/>
      <c r="IIA1" s="1082"/>
      <c r="IIB1" s="1082"/>
      <c r="IIC1" s="1082"/>
      <c r="IID1" s="1082"/>
      <c r="IIE1" s="1082"/>
      <c r="IIF1" s="1082"/>
      <c r="IIG1" s="1082"/>
      <c r="IIH1" s="1082"/>
      <c r="III1" s="1082"/>
      <c r="IIJ1" s="1082"/>
      <c r="IIK1" s="1082"/>
      <c r="IIL1" s="1082"/>
      <c r="IIM1" s="1082"/>
      <c r="IIN1" s="1082"/>
      <c r="IIO1" s="1082"/>
      <c r="IIP1" s="1082"/>
      <c r="IIQ1" s="1082"/>
      <c r="IIR1" s="1082"/>
      <c r="IIS1" s="1082"/>
      <c r="IIT1" s="1082"/>
      <c r="IIU1" s="1082"/>
      <c r="IIV1" s="1082"/>
      <c r="IIW1" s="1082"/>
      <c r="IIX1" s="1082"/>
      <c r="IIY1" s="1082"/>
      <c r="IIZ1" s="1082"/>
      <c r="IJA1" s="1082"/>
      <c r="IJB1" s="1082"/>
      <c r="IJC1" s="1082"/>
      <c r="IJD1" s="1082"/>
      <c r="IJE1" s="1082"/>
      <c r="IJF1" s="1082"/>
      <c r="IJG1" s="1082"/>
      <c r="IJH1" s="1082"/>
      <c r="IJI1" s="1082"/>
      <c r="IJJ1" s="1082"/>
      <c r="IJK1" s="1082"/>
      <c r="IJL1" s="1082"/>
      <c r="IJM1" s="1082"/>
      <c r="IJN1" s="1082"/>
      <c r="IJO1" s="1082"/>
      <c r="IJP1" s="1082"/>
      <c r="IJQ1" s="1082"/>
      <c r="IJR1" s="1082"/>
      <c r="IJS1" s="1082"/>
      <c r="IJT1" s="1082"/>
      <c r="IJU1" s="1082"/>
      <c r="IJV1" s="1082"/>
      <c r="IJW1" s="1082"/>
      <c r="IJX1" s="1082"/>
      <c r="IJY1" s="1082"/>
      <c r="IJZ1" s="1082"/>
      <c r="IKA1" s="1082"/>
      <c r="IKB1" s="1082"/>
      <c r="IKC1" s="1082"/>
      <c r="IKD1" s="1082"/>
      <c r="IKE1" s="1082"/>
      <c r="IKF1" s="1082"/>
      <c r="IKG1" s="1082"/>
      <c r="IKH1" s="1082"/>
      <c r="IKI1" s="1082"/>
      <c r="IKJ1" s="1082"/>
      <c r="IKK1" s="1082"/>
      <c r="IKL1" s="1082"/>
      <c r="IKM1" s="1082"/>
      <c r="IKN1" s="1082"/>
      <c r="IKO1" s="1082"/>
      <c r="IKP1" s="1082"/>
      <c r="IKQ1" s="1082"/>
      <c r="IKR1" s="1082"/>
      <c r="IKS1" s="1082"/>
      <c r="IKT1" s="1082"/>
      <c r="IKU1" s="1082"/>
      <c r="IKV1" s="1082"/>
      <c r="IKW1" s="1082"/>
      <c r="IKX1" s="1082"/>
      <c r="IKY1" s="1082"/>
      <c r="IKZ1" s="1082"/>
      <c r="ILA1" s="1082"/>
      <c r="ILB1" s="1082"/>
      <c r="ILC1" s="1082"/>
      <c r="ILD1" s="1082"/>
      <c r="ILE1" s="1082"/>
      <c r="ILF1" s="1082"/>
      <c r="ILG1" s="1082"/>
      <c r="ILH1" s="1082"/>
      <c r="ILI1" s="1082"/>
      <c r="ILJ1" s="1082"/>
      <c r="ILK1" s="1082"/>
      <c r="ILL1" s="1082"/>
      <c r="ILM1" s="1082"/>
      <c r="ILN1" s="1082"/>
      <c r="ILO1" s="1082"/>
      <c r="ILP1" s="1082"/>
      <c r="ILQ1" s="1082"/>
      <c r="ILR1" s="1082"/>
      <c r="ILS1" s="1082"/>
      <c r="ILT1" s="1082"/>
      <c r="ILU1" s="1082"/>
      <c r="ILV1" s="1082"/>
      <c r="ILW1" s="1082"/>
      <c r="ILX1" s="1082"/>
      <c r="ILY1" s="1082"/>
      <c r="ILZ1" s="1082"/>
      <c r="IMA1" s="1082"/>
      <c r="IMB1" s="1082"/>
      <c r="IMC1" s="1082"/>
      <c r="IMD1" s="1082"/>
      <c r="IME1" s="1082"/>
      <c r="IMF1" s="1082"/>
      <c r="IMG1" s="1082"/>
      <c r="IMH1" s="1082"/>
      <c r="IMI1" s="1082"/>
      <c r="IMJ1" s="1082"/>
      <c r="IMK1" s="1082"/>
      <c r="IML1" s="1082"/>
      <c r="IMM1" s="1082"/>
      <c r="IMN1" s="1082"/>
      <c r="IMO1" s="1082"/>
      <c r="IMP1" s="1082"/>
      <c r="IMQ1" s="1082"/>
      <c r="IMR1" s="1082"/>
      <c r="IMS1" s="1082"/>
      <c r="IMT1" s="1082"/>
      <c r="IMU1" s="1082"/>
      <c r="IMV1" s="1082"/>
      <c r="IMW1" s="1082"/>
      <c r="IMX1" s="1082"/>
      <c r="IMY1" s="1082"/>
      <c r="IMZ1" s="1082"/>
      <c r="INA1" s="1082"/>
      <c r="INB1" s="1082"/>
      <c r="INC1" s="1082"/>
      <c r="IND1" s="1082"/>
      <c r="INE1" s="1082"/>
      <c r="INF1" s="1082"/>
      <c r="ING1" s="1082"/>
      <c r="INH1" s="1082"/>
      <c r="INI1" s="1082"/>
      <c r="INJ1" s="1082"/>
      <c r="INK1" s="1082"/>
      <c r="INL1" s="1082"/>
      <c r="INM1" s="1082"/>
      <c r="INN1" s="1082"/>
      <c r="INO1" s="1082"/>
      <c r="INP1" s="1082"/>
      <c r="INQ1" s="1082"/>
      <c r="INR1" s="1082"/>
      <c r="INS1" s="1082"/>
      <c r="INT1" s="1082"/>
      <c r="INU1" s="1082"/>
      <c r="INV1" s="1082"/>
      <c r="INW1" s="1082"/>
      <c r="INX1" s="1082"/>
      <c r="INY1" s="1082"/>
      <c r="INZ1" s="1082"/>
      <c r="IOA1" s="1082"/>
      <c r="IOB1" s="1082"/>
      <c r="IOC1" s="1082"/>
      <c r="IOD1" s="1082"/>
      <c r="IOE1" s="1082"/>
      <c r="IOF1" s="1082"/>
      <c r="IOG1" s="1082"/>
      <c r="IOH1" s="1082"/>
      <c r="IOI1" s="1082"/>
      <c r="IOJ1" s="1082"/>
      <c r="IOK1" s="1082"/>
      <c r="IOL1" s="1082"/>
      <c r="IOM1" s="1082"/>
      <c r="ION1" s="1082"/>
      <c r="IOO1" s="1082"/>
      <c r="IOP1" s="1082"/>
      <c r="IOQ1" s="1082"/>
      <c r="IOR1" s="1082"/>
      <c r="IOS1" s="1082"/>
      <c r="IOT1" s="1082"/>
      <c r="IOU1" s="1082"/>
      <c r="IOV1" s="1082"/>
      <c r="IOW1" s="1082"/>
      <c r="IOX1" s="1082"/>
      <c r="IOY1" s="1082"/>
      <c r="IOZ1" s="1082"/>
      <c r="IPA1" s="1082"/>
      <c r="IPB1" s="1082"/>
      <c r="IPC1" s="1082"/>
      <c r="IPD1" s="1082"/>
      <c r="IPE1" s="1082"/>
      <c r="IPF1" s="1082"/>
      <c r="IPG1" s="1082"/>
      <c r="IPH1" s="1082"/>
      <c r="IPI1" s="1082"/>
      <c r="IPJ1" s="1082"/>
      <c r="IPK1" s="1082"/>
      <c r="IPL1" s="1082"/>
      <c r="IPM1" s="1082"/>
      <c r="IPN1" s="1082"/>
      <c r="IPO1" s="1082"/>
      <c r="IPP1" s="1082"/>
      <c r="IPQ1" s="1082"/>
      <c r="IPR1" s="1082"/>
      <c r="IPS1" s="1082"/>
      <c r="IPT1" s="1082"/>
      <c r="IPU1" s="1082"/>
      <c r="IPV1" s="1082"/>
      <c r="IPW1" s="1082"/>
      <c r="IPX1" s="1082"/>
      <c r="IPY1" s="1082"/>
      <c r="IPZ1" s="1082"/>
      <c r="IQA1" s="1082"/>
      <c r="IQB1" s="1082"/>
      <c r="IQC1" s="1082"/>
      <c r="IQD1" s="1082"/>
      <c r="IQE1" s="1082"/>
      <c r="IQF1" s="1082"/>
      <c r="IQG1" s="1082"/>
      <c r="IQH1" s="1082"/>
      <c r="IQI1" s="1082"/>
      <c r="IQJ1" s="1082"/>
      <c r="IQK1" s="1082"/>
      <c r="IQL1" s="1082"/>
      <c r="IQM1" s="1082"/>
      <c r="IQN1" s="1082"/>
      <c r="IQO1" s="1082"/>
      <c r="IQP1" s="1082"/>
      <c r="IQQ1" s="1082"/>
      <c r="IQR1" s="1082"/>
      <c r="IQS1" s="1082"/>
      <c r="IQT1" s="1082"/>
      <c r="IQU1" s="1082"/>
      <c r="IQV1" s="1082"/>
      <c r="IQW1" s="1082"/>
      <c r="IQX1" s="1082"/>
      <c r="IQY1" s="1082"/>
      <c r="IQZ1" s="1082"/>
      <c r="IRA1" s="1082"/>
      <c r="IRB1" s="1082"/>
      <c r="IRC1" s="1082"/>
      <c r="IRD1" s="1082"/>
      <c r="IRE1" s="1082"/>
      <c r="IRF1" s="1082"/>
      <c r="IRG1" s="1082"/>
      <c r="IRH1" s="1082"/>
      <c r="IRI1" s="1082"/>
      <c r="IRJ1" s="1082"/>
      <c r="IRK1" s="1082"/>
      <c r="IRL1" s="1082"/>
      <c r="IRM1" s="1082"/>
      <c r="IRN1" s="1082"/>
      <c r="IRO1" s="1082"/>
      <c r="IRP1" s="1082"/>
      <c r="IRQ1" s="1082"/>
      <c r="IRR1" s="1082"/>
      <c r="IRS1" s="1082"/>
      <c r="IRT1" s="1082"/>
      <c r="IRU1" s="1082"/>
      <c r="IRV1" s="1082"/>
      <c r="IRW1" s="1082"/>
      <c r="IRX1" s="1082"/>
      <c r="IRY1" s="1082"/>
      <c r="IRZ1" s="1082"/>
      <c r="ISA1" s="1082"/>
      <c r="ISB1" s="1082"/>
      <c r="ISC1" s="1082"/>
      <c r="ISD1" s="1082"/>
      <c r="ISE1" s="1082"/>
      <c r="ISF1" s="1082"/>
      <c r="ISG1" s="1082"/>
      <c r="ISH1" s="1082"/>
      <c r="ISI1" s="1082"/>
      <c r="ISJ1" s="1082"/>
      <c r="ISK1" s="1082"/>
      <c r="ISL1" s="1082"/>
      <c r="ISM1" s="1082"/>
      <c r="ISN1" s="1082"/>
      <c r="ISO1" s="1082"/>
      <c r="ISP1" s="1082"/>
      <c r="ISQ1" s="1082"/>
      <c r="ISR1" s="1082"/>
      <c r="ISS1" s="1082"/>
      <c r="IST1" s="1082"/>
      <c r="ISU1" s="1082"/>
      <c r="ISV1" s="1082"/>
      <c r="ISW1" s="1082"/>
      <c r="ISX1" s="1082"/>
      <c r="ISY1" s="1082"/>
      <c r="ISZ1" s="1082"/>
      <c r="ITA1" s="1082"/>
      <c r="ITB1" s="1082"/>
      <c r="ITC1" s="1082"/>
      <c r="ITD1" s="1082"/>
      <c r="ITE1" s="1082"/>
      <c r="ITF1" s="1082"/>
      <c r="ITG1" s="1082"/>
      <c r="ITH1" s="1082"/>
      <c r="ITI1" s="1082"/>
      <c r="ITJ1" s="1082"/>
      <c r="ITK1" s="1082"/>
      <c r="ITL1" s="1082"/>
      <c r="ITM1" s="1082"/>
      <c r="ITN1" s="1082"/>
      <c r="ITO1" s="1082"/>
      <c r="ITP1" s="1082"/>
      <c r="ITQ1" s="1082"/>
      <c r="ITR1" s="1082"/>
      <c r="ITS1" s="1082"/>
      <c r="ITT1" s="1082"/>
      <c r="ITU1" s="1082"/>
      <c r="ITV1" s="1082"/>
      <c r="ITW1" s="1082"/>
      <c r="ITX1" s="1082"/>
      <c r="ITY1" s="1082"/>
      <c r="ITZ1" s="1082"/>
      <c r="IUA1" s="1082"/>
      <c r="IUB1" s="1082"/>
      <c r="IUC1" s="1082"/>
      <c r="IUD1" s="1082"/>
      <c r="IUE1" s="1082"/>
      <c r="IUF1" s="1082"/>
      <c r="IUG1" s="1082"/>
      <c r="IUH1" s="1082"/>
      <c r="IUI1" s="1082"/>
      <c r="IUJ1" s="1082"/>
      <c r="IUK1" s="1082"/>
      <c r="IUL1" s="1082"/>
      <c r="IUM1" s="1082"/>
      <c r="IUN1" s="1082"/>
      <c r="IUO1" s="1082"/>
      <c r="IUP1" s="1082"/>
      <c r="IUQ1" s="1082"/>
      <c r="IUR1" s="1082"/>
      <c r="IUS1" s="1082"/>
      <c r="IUT1" s="1082"/>
      <c r="IUU1" s="1082"/>
      <c r="IUV1" s="1082"/>
      <c r="IUW1" s="1082"/>
      <c r="IUX1" s="1082"/>
      <c r="IUY1" s="1082"/>
      <c r="IUZ1" s="1082"/>
      <c r="IVA1" s="1082"/>
      <c r="IVB1" s="1082"/>
      <c r="IVC1" s="1082"/>
      <c r="IVD1" s="1082"/>
      <c r="IVE1" s="1082"/>
      <c r="IVF1" s="1082"/>
      <c r="IVG1" s="1082"/>
      <c r="IVH1" s="1082"/>
      <c r="IVI1" s="1082"/>
      <c r="IVJ1" s="1082"/>
      <c r="IVK1" s="1082"/>
      <c r="IVL1" s="1082"/>
      <c r="IVM1" s="1082"/>
      <c r="IVN1" s="1082"/>
      <c r="IVO1" s="1082"/>
      <c r="IVP1" s="1082"/>
      <c r="IVQ1" s="1082"/>
      <c r="IVR1" s="1082"/>
      <c r="IVS1" s="1082"/>
      <c r="IVT1" s="1082"/>
      <c r="IVU1" s="1082"/>
      <c r="IVV1" s="1082"/>
      <c r="IVW1" s="1082"/>
      <c r="IVX1" s="1082"/>
      <c r="IVY1" s="1082"/>
      <c r="IVZ1" s="1082"/>
      <c r="IWA1" s="1082"/>
      <c r="IWB1" s="1082"/>
      <c r="IWC1" s="1082"/>
      <c r="IWD1" s="1082"/>
      <c r="IWE1" s="1082"/>
      <c r="IWF1" s="1082"/>
      <c r="IWG1" s="1082"/>
      <c r="IWH1" s="1082"/>
      <c r="IWI1" s="1082"/>
      <c r="IWJ1" s="1082"/>
      <c r="IWK1" s="1082"/>
      <c r="IWL1" s="1082"/>
      <c r="IWM1" s="1082"/>
      <c r="IWN1" s="1082"/>
      <c r="IWO1" s="1082"/>
      <c r="IWP1" s="1082"/>
      <c r="IWQ1" s="1082"/>
      <c r="IWR1" s="1082"/>
      <c r="IWS1" s="1082"/>
      <c r="IWT1" s="1082"/>
      <c r="IWU1" s="1082"/>
      <c r="IWV1" s="1082"/>
      <c r="IWW1" s="1082"/>
      <c r="IWX1" s="1082"/>
      <c r="IWY1" s="1082"/>
      <c r="IWZ1" s="1082"/>
      <c r="IXA1" s="1082"/>
      <c r="IXB1" s="1082"/>
      <c r="IXC1" s="1082"/>
      <c r="IXD1" s="1082"/>
      <c r="IXE1" s="1082"/>
      <c r="IXF1" s="1082"/>
      <c r="IXG1" s="1082"/>
      <c r="IXH1" s="1082"/>
      <c r="IXI1" s="1082"/>
      <c r="IXJ1" s="1082"/>
      <c r="IXK1" s="1082"/>
      <c r="IXL1" s="1082"/>
      <c r="IXM1" s="1082"/>
      <c r="IXN1" s="1082"/>
      <c r="IXO1" s="1082"/>
      <c r="IXP1" s="1082"/>
      <c r="IXQ1" s="1082"/>
      <c r="IXR1" s="1082"/>
      <c r="IXS1" s="1082"/>
      <c r="IXT1" s="1082"/>
      <c r="IXU1" s="1082"/>
      <c r="IXV1" s="1082"/>
      <c r="IXW1" s="1082"/>
      <c r="IXX1" s="1082"/>
      <c r="IXY1" s="1082"/>
      <c r="IXZ1" s="1082"/>
      <c r="IYA1" s="1082"/>
      <c r="IYB1" s="1082"/>
      <c r="IYC1" s="1082"/>
      <c r="IYD1" s="1082"/>
      <c r="IYE1" s="1082"/>
      <c r="IYF1" s="1082"/>
      <c r="IYG1" s="1082"/>
      <c r="IYH1" s="1082"/>
      <c r="IYI1" s="1082"/>
      <c r="IYJ1" s="1082"/>
      <c r="IYK1" s="1082"/>
      <c r="IYL1" s="1082"/>
      <c r="IYM1" s="1082"/>
      <c r="IYN1" s="1082"/>
      <c r="IYO1" s="1082"/>
      <c r="IYP1" s="1082"/>
      <c r="IYQ1" s="1082"/>
      <c r="IYR1" s="1082"/>
      <c r="IYS1" s="1082"/>
      <c r="IYT1" s="1082"/>
      <c r="IYU1" s="1082"/>
      <c r="IYV1" s="1082"/>
      <c r="IYW1" s="1082"/>
      <c r="IYX1" s="1082"/>
      <c r="IYY1" s="1082"/>
      <c r="IYZ1" s="1082"/>
      <c r="IZA1" s="1082"/>
      <c r="IZB1" s="1082"/>
      <c r="IZC1" s="1082"/>
      <c r="IZD1" s="1082"/>
      <c r="IZE1" s="1082"/>
      <c r="IZF1" s="1082"/>
      <c r="IZG1" s="1082"/>
      <c r="IZH1" s="1082"/>
      <c r="IZI1" s="1082"/>
      <c r="IZJ1" s="1082"/>
      <c r="IZK1" s="1082"/>
      <c r="IZL1" s="1082"/>
      <c r="IZM1" s="1082"/>
      <c r="IZN1" s="1082"/>
      <c r="IZO1" s="1082"/>
      <c r="IZP1" s="1082"/>
      <c r="IZQ1" s="1082"/>
      <c r="IZR1" s="1082"/>
      <c r="IZS1" s="1082"/>
      <c r="IZT1" s="1082"/>
      <c r="IZU1" s="1082"/>
      <c r="IZV1" s="1082"/>
      <c r="IZW1" s="1082"/>
      <c r="IZX1" s="1082"/>
      <c r="IZY1" s="1082"/>
      <c r="IZZ1" s="1082"/>
      <c r="JAA1" s="1082"/>
      <c r="JAB1" s="1082"/>
      <c r="JAC1" s="1082"/>
      <c r="JAD1" s="1082"/>
      <c r="JAE1" s="1082"/>
      <c r="JAF1" s="1082"/>
      <c r="JAG1" s="1082"/>
      <c r="JAH1" s="1082"/>
      <c r="JAI1" s="1082"/>
      <c r="JAJ1" s="1082"/>
      <c r="JAK1" s="1082"/>
      <c r="JAL1" s="1082"/>
      <c r="JAM1" s="1082"/>
      <c r="JAN1" s="1082"/>
      <c r="JAO1" s="1082"/>
      <c r="JAP1" s="1082"/>
      <c r="JAQ1" s="1082"/>
      <c r="JAR1" s="1082"/>
      <c r="JAS1" s="1082"/>
      <c r="JAT1" s="1082"/>
      <c r="JAU1" s="1082"/>
      <c r="JAV1" s="1082"/>
      <c r="JAW1" s="1082"/>
      <c r="JAX1" s="1082"/>
      <c r="JAY1" s="1082"/>
      <c r="JAZ1" s="1082"/>
      <c r="JBA1" s="1082"/>
      <c r="JBB1" s="1082"/>
      <c r="JBC1" s="1082"/>
      <c r="JBD1" s="1082"/>
      <c r="JBE1" s="1082"/>
      <c r="JBF1" s="1082"/>
      <c r="JBG1" s="1082"/>
      <c r="JBH1" s="1082"/>
      <c r="JBI1" s="1082"/>
      <c r="JBJ1" s="1082"/>
      <c r="JBK1" s="1082"/>
      <c r="JBL1" s="1082"/>
      <c r="JBM1" s="1082"/>
      <c r="JBN1" s="1082"/>
      <c r="JBO1" s="1082"/>
      <c r="JBP1" s="1082"/>
      <c r="JBQ1" s="1082"/>
      <c r="JBR1" s="1082"/>
      <c r="JBS1" s="1082"/>
      <c r="JBT1" s="1082"/>
      <c r="JBU1" s="1082"/>
      <c r="JBV1" s="1082"/>
      <c r="JBW1" s="1082"/>
      <c r="JBX1" s="1082"/>
      <c r="JBY1" s="1082"/>
      <c r="JBZ1" s="1082"/>
      <c r="JCA1" s="1082"/>
      <c r="JCB1" s="1082"/>
      <c r="JCC1" s="1082"/>
      <c r="JCD1" s="1082"/>
      <c r="JCE1" s="1082"/>
      <c r="JCF1" s="1082"/>
      <c r="JCG1" s="1082"/>
      <c r="JCH1" s="1082"/>
      <c r="JCI1" s="1082"/>
      <c r="JCJ1" s="1082"/>
      <c r="JCK1" s="1082"/>
      <c r="JCL1" s="1082"/>
      <c r="JCM1" s="1082"/>
      <c r="JCN1" s="1082"/>
      <c r="JCO1" s="1082"/>
      <c r="JCP1" s="1082"/>
      <c r="JCQ1" s="1082"/>
      <c r="JCR1" s="1082"/>
      <c r="JCS1" s="1082"/>
      <c r="JCT1" s="1082"/>
      <c r="JCU1" s="1082"/>
      <c r="JCV1" s="1082"/>
      <c r="JCW1" s="1082"/>
      <c r="JCX1" s="1082"/>
      <c r="JCY1" s="1082"/>
      <c r="JCZ1" s="1082"/>
      <c r="JDA1" s="1082"/>
      <c r="JDB1" s="1082"/>
      <c r="JDC1" s="1082"/>
      <c r="JDD1" s="1082"/>
      <c r="JDE1" s="1082"/>
      <c r="JDF1" s="1082"/>
      <c r="JDG1" s="1082"/>
      <c r="JDH1" s="1082"/>
      <c r="JDI1" s="1082"/>
      <c r="JDJ1" s="1082"/>
      <c r="JDK1" s="1082"/>
      <c r="JDL1" s="1082"/>
      <c r="JDM1" s="1082"/>
      <c r="JDN1" s="1082"/>
      <c r="JDO1" s="1082"/>
      <c r="JDP1" s="1082"/>
      <c r="JDQ1" s="1082"/>
      <c r="JDR1" s="1082"/>
      <c r="JDS1" s="1082"/>
      <c r="JDT1" s="1082"/>
      <c r="JDU1" s="1082"/>
      <c r="JDV1" s="1082"/>
      <c r="JDW1" s="1082"/>
      <c r="JDX1" s="1082"/>
      <c r="JDY1" s="1082"/>
      <c r="JDZ1" s="1082"/>
      <c r="JEA1" s="1082"/>
      <c r="JEB1" s="1082"/>
      <c r="JEC1" s="1082"/>
      <c r="JED1" s="1082"/>
      <c r="JEE1" s="1082"/>
      <c r="JEF1" s="1082"/>
      <c r="JEG1" s="1082"/>
      <c r="JEH1" s="1082"/>
      <c r="JEI1" s="1082"/>
      <c r="JEJ1" s="1082"/>
      <c r="JEK1" s="1082"/>
      <c r="JEL1" s="1082"/>
      <c r="JEM1" s="1082"/>
      <c r="JEN1" s="1082"/>
      <c r="JEO1" s="1082"/>
      <c r="JEP1" s="1082"/>
      <c r="JEQ1" s="1082"/>
      <c r="JER1" s="1082"/>
      <c r="JES1" s="1082"/>
      <c r="JET1" s="1082"/>
      <c r="JEU1" s="1082"/>
      <c r="JEV1" s="1082"/>
      <c r="JEW1" s="1082"/>
      <c r="JEX1" s="1082"/>
      <c r="JEY1" s="1082"/>
      <c r="JEZ1" s="1082"/>
      <c r="JFA1" s="1082"/>
      <c r="JFB1" s="1082"/>
      <c r="JFC1" s="1082"/>
      <c r="JFD1" s="1082"/>
      <c r="JFE1" s="1082"/>
      <c r="JFF1" s="1082"/>
      <c r="JFG1" s="1082"/>
      <c r="JFH1" s="1082"/>
      <c r="JFI1" s="1082"/>
      <c r="JFJ1" s="1082"/>
      <c r="JFK1" s="1082"/>
      <c r="JFL1" s="1082"/>
      <c r="JFM1" s="1082"/>
      <c r="JFN1" s="1082"/>
      <c r="JFO1" s="1082"/>
      <c r="JFP1" s="1082"/>
      <c r="JFQ1" s="1082"/>
      <c r="JFR1" s="1082"/>
      <c r="JFS1" s="1082"/>
      <c r="JFT1" s="1082"/>
      <c r="JFU1" s="1082"/>
      <c r="JFV1" s="1082"/>
      <c r="JFW1" s="1082"/>
      <c r="JFX1" s="1082"/>
      <c r="JFY1" s="1082"/>
      <c r="JFZ1" s="1082"/>
      <c r="JGA1" s="1082"/>
      <c r="JGB1" s="1082"/>
      <c r="JGC1" s="1082"/>
      <c r="JGD1" s="1082"/>
      <c r="JGE1" s="1082"/>
      <c r="JGF1" s="1082"/>
      <c r="JGG1" s="1082"/>
      <c r="JGH1" s="1082"/>
      <c r="JGI1" s="1082"/>
      <c r="JGJ1" s="1082"/>
      <c r="JGK1" s="1082"/>
      <c r="JGL1" s="1082"/>
      <c r="JGM1" s="1082"/>
      <c r="JGN1" s="1082"/>
      <c r="JGO1" s="1082"/>
      <c r="JGP1" s="1082"/>
      <c r="JGQ1" s="1082"/>
      <c r="JGR1" s="1082"/>
      <c r="JGS1" s="1082"/>
      <c r="JGT1" s="1082"/>
      <c r="JGU1" s="1082"/>
      <c r="JGV1" s="1082"/>
      <c r="JGW1" s="1082"/>
      <c r="JGX1" s="1082"/>
      <c r="JGY1" s="1082"/>
      <c r="JGZ1" s="1082"/>
      <c r="JHA1" s="1082"/>
      <c r="JHB1" s="1082"/>
      <c r="JHC1" s="1082"/>
      <c r="JHD1" s="1082"/>
      <c r="JHE1" s="1082"/>
      <c r="JHF1" s="1082"/>
      <c r="JHG1" s="1082"/>
      <c r="JHH1" s="1082"/>
      <c r="JHI1" s="1082"/>
      <c r="JHJ1" s="1082"/>
      <c r="JHK1" s="1082"/>
      <c r="JHL1" s="1082"/>
      <c r="JHM1" s="1082"/>
      <c r="JHN1" s="1082"/>
      <c r="JHO1" s="1082"/>
      <c r="JHP1" s="1082"/>
      <c r="JHQ1" s="1082"/>
      <c r="JHR1" s="1082"/>
      <c r="JHS1" s="1082"/>
      <c r="JHT1" s="1082"/>
      <c r="JHU1" s="1082"/>
      <c r="JHV1" s="1082"/>
      <c r="JHW1" s="1082"/>
      <c r="JHX1" s="1082"/>
      <c r="JHY1" s="1082"/>
      <c r="JHZ1" s="1082"/>
      <c r="JIA1" s="1082"/>
      <c r="JIB1" s="1082"/>
      <c r="JIC1" s="1082"/>
      <c r="JID1" s="1082"/>
      <c r="JIE1" s="1082"/>
      <c r="JIF1" s="1082"/>
      <c r="JIG1" s="1082"/>
      <c r="JIH1" s="1082"/>
      <c r="JII1" s="1082"/>
      <c r="JIJ1" s="1082"/>
      <c r="JIK1" s="1082"/>
      <c r="JIL1" s="1082"/>
      <c r="JIM1" s="1082"/>
      <c r="JIN1" s="1082"/>
      <c r="JIO1" s="1082"/>
      <c r="JIP1" s="1082"/>
      <c r="JIQ1" s="1082"/>
      <c r="JIR1" s="1082"/>
      <c r="JIS1" s="1082"/>
      <c r="JIT1" s="1082"/>
      <c r="JIU1" s="1082"/>
      <c r="JIV1" s="1082"/>
      <c r="JIW1" s="1082"/>
      <c r="JIX1" s="1082"/>
      <c r="JIY1" s="1082"/>
      <c r="JIZ1" s="1082"/>
      <c r="JJA1" s="1082"/>
      <c r="JJB1" s="1082"/>
      <c r="JJC1" s="1082"/>
      <c r="JJD1" s="1082"/>
      <c r="JJE1" s="1082"/>
      <c r="JJF1" s="1082"/>
      <c r="JJG1" s="1082"/>
      <c r="JJH1" s="1082"/>
      <c r="JJI1" s="1082"/>
      <c r="JJJ1" s="1082"/>
      <c r="JJK1" s="1082"/>
      <c r="JJL1" s="1082"/>
      <c r="JJM1" s="1082"/>
      <c r="JJN1" s="1082"/>
      <c r="JJO1" s="1082"/>
      <c r="JJP1" s="1082"/>
      <c r="JJQ1" s="1082"/>
      <c r="JJR1" s="1082"/>
      <c r="JJS1" s="1082"/>
      <c r="JJT1" s="1082"/>
      <c r="JJU1" s="1082"/>
      <c r="JJV1" s="1082"/>
      <c r="JJW1" s="1082"/>
      <c r="JJX1" s="1082"/>
      <c r="JJY1" s="1082"/>
      <c r="JJZ1" s="1082"/>
      <c r="JKA1" s="1082"/>
      <c r="JKB1" s="1082"/>
      <c r="JKC1" s="1082"/>
      <c r="JKD1" s="1082"/>
      <c r="JKE1" s="1082"/>
      <c r="JKF1" s="1082"/>
      <c r="JKG1" s="1082"/>
      <c r="JKH1" s="1082"/>
      <c r="JKI1" s="1082"/>
      <c r="JKJ1" s="1082"/>
      <c r="JKK1" s="1082"/>
      <c r="JKL1" s="1082"/>
      <c r="JKM1" s="1082"/>
      <c r="JKN1" s="1082"/>
      <c r="JKO1" s="1082"/>
      <c r="JKP1" s="1082"/>
      <c r="JKQ1" s="1082"/>
      <c r="JKR1" s="1082"/>
      <c r="JKS1" s="1082"/>
      <c r="JKT1" s="1082"/>
      <c r="JKU1" s="1082"/>
      <c r="JKV1" s="1082"/>
      <c r="JKW1" s="1082"/>
      <c r="JKX1" s="1082"/>
      <c r="JKY1" s="1082"/>
      <c r="JKZ1" s="1082"/>
      <c r="JLA1" s="1082"/>
      <c r="JLB1" s="1082"/>
      <c r="JLC1" s="1082"/>
      <c r="JLD1" s="1082"/>
      <c r="JLE1" s="1082"/>
      <c r="JLF1" s="1082"/>
      <c r="JLG1" s="1082"/>
      <c r="JLH1" s="1082"/>
      <c r="JLI1" s="1082"/>
      <c r="JLJ1" s="1082"/>
      <c r="JLK1" s="1082"/>
      <c r="JLL1" s="1082"/>
      <c r="JLM1" s="1082"/>
      <c r="JLN1" s="1082"/>
      <c r="JLO1" s="1082"/>
      <c r="JLP1" s="1082"/>
      <c r="JLQ1" s="1082"/>
      <c r="JLR1" s="1082"/>
      <c r="JLS1" s="1082"/>
      <c r="JLT1" s="1082"/>
      <c r="JLU1" s="1082"/>
      <c r="JLV1" s="1082"/>
      <c r="JLW1" s="1082"/>
      <c r="JLX1" s="1082"/>
      <c r="JLY1" s="1082"/>
      <c r="JLZ1" s="1082"/>
      <c r="JMA1" s="1082"/>
      <c r="JMB1" s="1082"/>
      <c r="JMC1" s="1082"/>
      <c r="JMD1" s="1082"/>
      <c r="JME1" s="1082"/>
      <c r="JMF1" s="1082"/>
      <c r="JMG1" s="1082"/>
      <c r="JMH1" s="1082"/>
      <c r="JMI1" s="1082"/>
      <c r="JMJ1" s="1082"/>
      <c r="JMK1" s="1082"/>
      <c r="JML1" s="1082"/>
      <c r="JMM1" s="1082"/>
      <c r="JMN1" s="1082"/>
      <c r="JMO1" s="1082"/>
      <c r="JMP1" s="1082"/>
      <c r="JMQ1" s="1082"/>
      <c r="JMR1" s="1082"/>
      <c r="JMS1" s="1082"/>
      <c r="JMT1" s="1082"/>
      <c r="JMU1" s="1082"/>
      <c r="JMV1" s="1082"/>
      <c r="JMW1" s="1082"/>
      <c r="JMX1" s="1082"/>
      <c r="JMY1" s="1082"/>
      <c r="JMZ1" s="1082"/>
      <c r="JNA1" s="1082"/>
      <c r="JNB1" s="1082"/>
      <c r="JNC1" s="1082"/>
      <c r="JND1" s="1082"/>
      <c r="JNE1" s="1082"/>
      <c r="JNF1" s="1082"/>
      <c r="JNG1" s="1082"/>
      <c r="JNH1" s="1082"/>
      <c r="JNI1" s="1082"/>
      <c r="JNJ1" s="1082"/>
      <c r="JNK1" s="1082"/>
      <c r="JNL1" s="1082"/>
      <c r="JNM1" s="1082"/>
      <c r="JNN1" s="1082"/>
      <c r="JNO1" s="1082"/>
      <c r="JNP1" s="1082"/>
      <c r="JNQ1" s="1082"/>
      <c r="JNR1" s="1082"/>
      <c r="JNS1" s="1082"/>
      <c r="JNT1" s="1082"/>
      <c r="JNU1" s="1082"/>
      <c r="JNV1" s="1082"/>
      <c r="JNW1" s="1082"/>
      <c r="JNX1" s="1082"/>
      <c r="JNY1" s="1082"/>
      <c r="JNZ1" s="1082"/>
      <c r="JOA1" s="1082"/>
      <c r="JOB1" s="1082"/>
      <c r="JOC1" s="1082"/>
      <c r="JOD1" s="1082"/>
      <c r="JOE1" s="1082"/>
      <c r="JOF1" s="1082"/>
      <c r="JOG1" s="1082"/>
      <c r="JOH1" s="1082"/>
      <c r="JOI1" s="1082"/>
      <c r="JOJ1" s="1082"/>
      <c r="JOK1" s="1082"/>
      <c r="JOL1" s="1082"/>
      <c r="JOM1" s="1082"/>
      <c r="JON1" s="1082"/>
      <c r="JOO1" s="1082"/>
      <c r="JOP1" s="1082"/>
      <c r="JOQ1" s="1082"/>
      <c r="JOR1" s="1082"/>
      <c r="JOS1" s="1082"/>
      <c r="JOT1" s="1082"/>
      <c r="JOU1" s="1082"/>
      <c r="JOV1" s="1082"/>
      <c r="JOW1" s="1082"/>
      <c r="JOX1" s="1082"/>
      <c r="JOY1" s="1082"/>
      <c r="JOZ1" s="1082"/>
      <c r="JPA1" s="1082"/>
      <c r="JPB1" s="1082"/>
      <c r="JPC1" s="1082"/>
      <c r="JPD1" s="1082"/>
      <c r="JPE1" s="1082"/>
      <c r="JPF1" s="1082"/>
      <c r="JPG1" s="1082"/>
      <c r="JPH1" s="1082"/>
      <c r="JPI1" s="1082"/>
      <c r="JPJ1" s="1082"/>
      <c r="JPK1" s="1082"/>
      <c r="JPL1" s="1082"/>
      <c r="JPM1" s="1082"/>
      <c r="JPN1" s="1082"/>
      <c r="JPO1" s="1082"/>
      <c r="JPP1" s="1082"/>
      <c r="JPQ1" s="1082"/>
      <c r="JPR1" s="1082"/>
      <c r="JPS1" s="1082"/>
      <c r="JPT1" s="1082"/>
      <c r="JPU1" s="1082"/>
      <c r="JPV1" s="1082"/>
      <c r="JPW1" s="1082"/>
      <c r="JPX1" s="1082"/>
      <c r="JPY1" s="1082"/>
      <c r="JPZ1" s="1082"/>
      <c r="JQA1" s="1082"/>
      <c r="JQB1" s="1082"/>
      <c r="JQC1" s="1082"/>
      <c r="JQD1" s="1082"/>
      <c r="JQE1" s="1082"/>
      <c r="JQF1" s="1082"/>
      <c r="JQG1" s="1082"/>
      <c r="JQH1" s="1082"/>
      <c r="JQI1" s="1082"/>
      <c r="JQJ1" s="1082"/>
      <c r="JQK1" s="1082"/>
      <c r="JQL1" s="1082"/>
      <c r="JQM1" s="1082"/>
      <c r="JQN1" s="1082"/>
      <c r="JQO1" s="1082"/>
      <c r="JQP1" s="1082"/>
      <c r="JQQ1" s="1082"/>
      <c r="JQR1" s="1082"/>
      <c r="JQS1" s="1082"/>
      <c r="JQT1" s="1082"/>
      <c r="JQU1" s="1082"/>
      <c r="JQV1" s="1082"/>
      <c r="JQW1" s="1082"/>
      <c r="JQX1" s="1082"/>
      <c r="JQY1" s="1082"/>
      <c r="JQZ1" s="1082"/>
      <c r="JRA1" s="1082"/>
      <c r="JRB1" s="1082"/>
      <c r="JRC1" s="1082"/>
      <c r="JRD1" s="1082"/>
      <c r="JRE1" s="1082"/>
      <c r="JRF1" s="1082"/>
      <c r="JRG1" s="1082"/>
      <c r="JRH1" s="1082"/>
      <c r="JRI1" s="1082"/>
      <c r="JRJ1" s="1082"/>
      <c r="JRK1" s="1082"/>
      <c r="JRL1" s="1082"/>
      <c r="JRM1" s="1082"/>
      <c r="JRN1" s="1082"/>
      <c r="JRO1" s="1082"/>
      <c r="JRP1" s="1082"/>
      <c r="JRQ1" s="1082"/>
      <c r="JRR1" s="1082"/>
      <c r="JRS1" s="1082"/>
      <c r="JRT1" s="1082"/>
      <c r="JRU1" s="1082"/>
      <c r="JRV1" s="1082"/>
      <c r="JRW1" s="1082"/>
      <c r="JRX1" s="1082"/>
      <c r="JRY1" s="1082"/>
      <c r="JRZ1" s="1082"/>
      <c r="JSA1" s="1082"/>
      <c r="JSB1" s="1082"/>
      <c r="JSC1" s="1082"/>
      <c r="JSD1" s="1082"/>
      <c r="JSE1" s="1082"/>
      <c r="JSF1" s="1082"/>
      <c r="JSG1" s="1082"/>
      <c r="JSH1" s="1082"/>
      <c r="JSI1" s="1082"/>
      <c r="JSJ1" s="1082"/>
      <c r="JSK1" s="1082"/>
      <c r="JSL1" s="1082"/>
      <c r="JSM1" s="1082"/>
      <c r="JSN1" s="1082"/>
      <c r="JSO1" s="1082"/>
      <c r="JSP1" s="1082"/>
      <c r="JSQ1" s="1082"/>
      <c r="JSR1" s="1082"/>
      <c r="JSS1" s="1082"/>
      <c r="JST1" s="1082"/>
      <c r="JSU1" s="1082"/>
      <c r="JSV1" s="1082"/>
      <c r="JSW1" s="1082"/>
      <c r="JSX1" s="1082"/>
      <c r="JSY1" s="1082"/>
      <c r="JSZ1" s="1082"/>
      <c r="JTA1" s="1082"/>
      <c r="JTB1" s="1082"/>
      <c r="JTC1" s="1082"/>
      <c r="JTD1" s="1082"/>
      <c r="JTE1" s="1082"/>
      <c r="JTF1" s="1082"/>
      <c r="JTG1" s="1082"/>
      <c r="JTH1" s="1082"/>
      <c r="JTI1" s="1082"/>
      <c r="JTJ1" s="1082"/>
      <c r="JTK1" s="1082"/>
      <c r="JTL1" s="1082"/>
      <c r="JTM1" s="1082"/>
      <c r="JTN1" s="1082"/>
      <c r="JTO1" s="1082"/>
      <c r="JTP1" s="1082"/>
      <c r="JTQ1" s="1082"/>
      <c r="JTR1" s="1082"/>
      <c r="JTS1" s="1082"/>
      <c r="JTT1" s="1082"/>
      <c r="JTU1" s="1082"/>
      <c r="JTV1" s="1082"/>
      <c r="JTW1" s="1082"/>
      <c r="JTX1" s="1082"/>
      <c r="JTY1" s="1082"/>
      <c r="JTZ1" s="1082"/>
      <c r="JUA1" s="1082"/>
      <c r="JUB1" s="1082"/>
      <c r="JUC1" s="1082"/>
      <c r="JUD1" s="1082"/>
      <c r="JUE1" s="1082"/>
      <c r="JUF1" s="1082"/>
      <c r="JUG1" s="1082"/>
      <c r="JUH1" s="1082"/>
      <c r="JUI1" s="1082"/>
      <c r="JUJ1" s="1082"/>
      <c r="JUK1" s="1082"/>
      <c r="JUL1" s="1082"/>
      <c r="JUM1" s="1082"/>
      <c r="JUN1" s="1082"/>
      <c r="JUO1" s="1082"/>
      <c r="JUP1" s="1082"/>
      <c r="JUQ1" s="1082"/>
      <c r="JUR1" s="1082"/>
      <c r="JUS1" s="1082"/>
      <c r="JUT1" s="1082"/>
      <c r="JUU1" s="1082"/>
      <c r="JUV1" s="1082"/>
      <c r="JUW1" s="1082"/>
      <c r="JUX1" s="1082"/>
      <c r="JUY1" s="1082"/>
      <c r="JUZ1" s="1082"/>
      <c r="JVA1" s="1082"/>
      <c r="JVB1" s="1082"/>
      <c r="JVC1" s="1082"/>
      <c r="JVD1" s="1082"/>
      <c r="JVE1" s="1082"/>
      <c r="JVF1" s="1082"/>
      <c r="JVG1" s="1082"/>
      <c r="JVH1" s="1082"/>
      <c r="JVI1" s="1082"/>
      <c r="JVJ1" s="1082"/>
      <c r="JVK1" s="1082"/>
      <c r="JVL1" s="1082"/>
      <c r="JVM1" s="1082"/>
      <c r="JVN1" s="1082"/>
      <c r="JVO1" s="1082"/>
      <c r="JVP1" s="1082"/>
      <c r="JVQ1" s="1082"/>
      <c r="JVR1" s="1082"/>
      <c r="JVS1" s="1082"/>
      <c r="JVT1" s="1082"/>
      <c r="JVU1" s="1082"/>
      <c r="JVV1" s="1082"/>
      <c r="JVW1" s="1082"/>
      <c r="JVX1" s="1082"/>
      <c r="JVY1" s="1082"/>
      <c r="JVZ1" s="1082"/>
      <c r="JWA1" s="1082"/>
      <c r="JWB1" s="1082"/>
      <c r="JWC1" s="1082"/>
      <c r="JWD1" s="1082"/>
      <c r="JWE1" s="1082"/>
      <c r="JWF1" s="1082"/>
      <c r="JWG1" s="1082"/>
      <c r="JWH1" s="1082"/>
      <c r="JWI1" s="1082"/>
      <c r="JWJ1" s="1082"/>
      <c r="JWK1" s="1082"/>
      <c r="JWL1" s="1082"/>
      <c r="JWM1" s="1082"/>
      <c r="JWN1" s="1082"/>
      <c r="JWO1" s="1082"/>
      <c r="JWP1" s="1082"/>
      <c r="JWQ1" s="1082"/>
      <c r="JWR1" s="1082"/>
      <c r="JWS1" s="1082"/>
      <c r="JWT1" s="1082"/>
      <c r="JWU1" s="1082"/>
      <c r="JWV1" s="1082"/>
      <c r="JWW1" s="1082"/>
      <c r="JWX1" s="1082"/>
      <c r="JWY1" s="1082"/>
      <c r="JWZ1" s="1082"/>
      <c r="JXA1" s="1082"/>
      <c r="JXB1" s="1082"/>
      <c r="JXC1" s="1082"/>
      <c r="JXD1" s="1082"/>
      <c r="JXE1" s="1082"/>
      <c r="JXF1" s="1082"/>
      <c r="JXG1" s="1082"/>
      <c r="JXH1" s="1082"/>
      <c r="JXI1" s="1082"/>
      <c r="JXJ1" s="1082"/>
      <c r="JXK1" s="1082"/>
      <c r="JXL1" s="1082"/>
      <c r="JXM1" s="1082"/>
      <c r="JXN1" s="1082"/>
      <c r="JXO1" s="1082"/>
      <c r="JXP1" s="1082"/>
      <c r="JXQ1" s="1082"/>
      <c r="JXR1" s="1082"/>
      <c r="JXS1" s="1082"/>
      <c r="JXT1" s="1082"/>
      <c r="JXU1" s="1082"/>
      <c r="JXV1" s="1082"/>
      <c r="JXW1" s="1082"/>
      <c r="JXX1" s="1082"/>
      <c r="JXY1" s="1082"/>
      <c r="JXZ1" s="1082"/>
      <c r="JYA1" s="1082"/>
      <c r="JYB1" s="1082"/>
      <c r="JYC1" s="1082"/>
      <c r="JYD1" s="1082"/>
      <c r="JYE1" s="1082"/>
      <c r="JYF1" s="1082"/>
      <c r="JYG1" s="1082"/>
      <c r="JYH1" s="1082"/>
      <c r="JYI1" s="1082"/>
      <c r="JYJ1" s="1082"/>
      <c r="JYK1" s="1082"/>
      <c r="JYL1" s="1082"/>
      <c r="JYM1" s="1082"/>
      <c r="JYN1" s="1082"/>
      <c r="JYO1" s="1082"/>
      <c r="JYP1" s="1082"/>
      <c r="JYQ1" s="1082"/>
      <c r="JYR1" s="1082"/>
      <c r="JYS1" s="1082"/>
      <c r="JYT1" s="1082"/>
      <c r="JYU1" s="1082"/>
      <c r="JYV1" s="1082"/>
      <c r="JYW1" s="1082"/>
      <c r="JYX1" s="1082"/>
      <c r="JYY1" s="1082"/>
      <c r="JYZ1" s="1082"/>
      <c r="JZA1" s="1082"/>
      <c r="JZB1" s="1082"/>
      <c r="JZC1" s="1082"/>
      <c r="JZD1" s="1082"/>
      <c r="JZE1" s="1082"/>
      <c r="JZF1" s="1082"/>
      <c r="JZG1" s="1082"/>
      <c r="JZH1" s="1082"/>
      <c r="JZI1" s="1082"/>
      <c r="JZJ1" s="1082"/>
      <c r="JZK1" s="1082"/>
      <c r="JZL1" s="1082"/>
      <c r="JZM1" s="1082"/>
      <c r="JZN1" s="1082"/>
      <c r="JZO1" s="1082"/>
      <c r="JZP1" s="1082"/>
      <c r="JZQ1" s="1082"/>
      <c r="JZR1" s="1082"/>
      <c r="JZS1" s="1082"/>
      <c r="JZT1" s="1082"/>
      <c r="JZU1" s="1082"/>
      <c r="JZV1" s="1082"/>
      <c r="JZW1" s="1082"/>
      <c r="JZX1" s="1082"/>
      <c r="JZY1" s="1082"/>
      <c r="JZZ1" s="1082"/>
      <c r="KAA1" s="1082"/>
      <c r="KAB1" s="1082"/>
      <c r="KAC1" s="1082"/>
      <c r="KAD1" s="1082"/>
      <c r="KAE1" s="1082"/>
      <c r="KAF1" s="1082"/>
      <c r="KAG1" s="1082"/>
      <c r="KAH1" s="1082"/>
      <c r="KAI1" s="1082"/>
      <c r="KAJ1" s="1082"/>
      <c r="KAK1" s="1082"/>
      <c r="KAL1" s="1082"/>
      <c r="KAM1" s="1082"/>
      <c r="KAN1" s="1082"/>
      <c r="KAO1" s="1082"/>
      <c r="KAP1" s="1082"/>
      <c r="KAQ1" s="1082"/>
      <c r="KAR1" s="1082"/>
      <c r="KAS1" s="1082"/>
      <c r="KAT1" s="1082"/>
      <c r="KAU1" s="1082"/>
      <c r="KAV1" s="1082"/>
      <c r="KAW1" s="1082"/>
      <c r="KAX1" s="1082"/>
      <c r="KAY1" s="1082"/>
      <c r="KAZ1" s="1082"/>
      <c r="KBA1" s="1082"/>
      <c r="KBB1" s="1082"/>
      <c r="KBC1" s="1082"/>
      <c r="KBD1" s="1082"/>
      <c r="KBE1" s="1082"/>
      <c r="KBF1" s="1082"/>
      <c r="KBG1" s="1082"/>
      <c r="KBH1" s="1082"/>
      <c r="KBI1" s="1082"/>
      <c r="KBJ1" s="1082"/>
      <c r="KBK1" s="1082"/>
      <c r="KBL1" s="1082"/>
      <c r="KBM1" s="1082"/>
      <c r="KBN1" s="1082"/>
      <c r="KBO1" s="1082"/>
      <c r="KBP1" s="1082"/>
      <c r="KBQ1" s="1082"/>
      <c r="KBR1" s="1082"/>
      <c r="KBS1" s="1082"/>
      <c r="KBT1" s="1082"/>
      <c r="KBU1" s="1082"/>
      <c r="KBV1" s="1082"/>
      <c r="KBW1" s="1082"/>
      <c r="KBX1" s="1082"/>
      <c r="KBY1" s="1082"/>
      <c r="KBZ1" s="1082"/>
      <c r="KCA1" s="1082"/>
      <c r="KCB1" s="1082"/>
      <c r="KCC1" s="1082"/>
      <c r="KCD1" s="1082"/>
      <c r="KCE1" s="1082"/>
      <c r="KCF1" s="1082"/>
      <c r="KCG1" s="1082"/>
      <c r="KCH1" s="1082"/>
      <c r="KCI1" s="1082"/>
      <c r="KCJ1" s="1082"/>
      <c r="KCK1" s="1082"/>
      <c r="KCL1" s="1082"/>
      <c r="KCM1" s="1082"/>
      <c r="KCN1" s="1082"/>
      <c r="KCO1" s="1082"/>
      <c r="KCP1" s="1082"/>
      <c r="KCQ1" s="1082"/>
      <c r="KCR1" s="1082"/>
      <c r="KCS1" s="1082"/>
      <c r="KCT1" s="1082"/>
      <c r="KCU1" s="1082"/>
      <c r="KCV1" s="1082"/>
      <c r="KCW1" s="1082"/>
      <c r="KCX1" s="1082"/>
      <c r="KCY1" s="1082"/>
      <c r="KCZ1" s="1082"/>
      <c r="KDA1" s="1082"/>
      <c r="KDB1" s="1082"/>
      <c r="KDC1" s="1082"/>
      <c r="KDD1" s="1082"/>
      <c r="KDE1" s="1082"/>
      <c r="KDF1" s="1082"/>
      <c r="KDG1" s="1082"/>
      <c r="KDH1" s="1082"/>
      <c r="KDI1" s="1082"/>
      <c r="KDJ1" s="1082"/>
      <c r="KDK1" s="1082"/>
      <c r="KDL1" s="1082"/>
      <c r="KDM1" s="1082"/>
      <c r="KDN1" s="1082"/>
      <c r="KDO1" s="1082"/>
      <c r="KDP1" s="1082"/>
      <c r="KDQ1" s="1082"/>
      <c r="KDR1" s="1082"/>
      <c r="KDS1" s="1082"/>
      <c r="KDT1" s="1082"/>
      <c r="KDU1" s="1082"/>
      <c r="KDV1" s="1082"/>
      <c r="KDW1" s="1082"/>
      <c r="KDX1" s="1082"/>
      <c r="KDY1" s="1082"/>
      <c r="KDZ1" s="1082"/>
      <c r="KEA1" s="1082"/>
      <c r="KEB1" s="1082"/>
      <c r="KEC1" s="1082"/>
      <c r="KED1" s="1082"/>
      <c r="KEE1" s="1082"/>
      <c r="KEF1" s="1082"/>
      <c r="KEG1" s="1082"/>
      <c r="KEH1" s="1082"/>
      <c r="KEI1" s="1082"/>
      <c r="KEJ1" s="1082"/>
      <c r="KEK1" s="1082"/>
      <c r="KEL1" s="1082"/>
      <c r="KEM1" s="1082"/>
      <c r="KEN1" s="1082"/>
      <c r="KEO1" s="1082"/>
      <c r="KEP1" s="1082"/>
      <c r="KEQ1" s="1082"/>
      <c r="KER1" s="1082"/>
      <c r="KES1" s="1082"/>
      <c r="KET1" s="1082"/>
      <c r="KEU1" s="1082"/>
      <c r="KEV1" s="1082"/>
      <c r="KEW1" s="1082"/>
      <c r="KEX1" s="1082"/>
      <c r="KEY1" s="1082"/>
      <c r="KEZ1" s="1082"/>
      <c r="KFA1" s="1082"/>
      <c r="KFB1" s="1082"/>
      <c r="KFC1" s="1082"/>
      <c r="KFD1" s="1082"/>
      <c r="KFE1" s="1082"/>
      <c r="KFF1" s="1082"/>
      <c r="KFG1" s="1082"/>
      <c r="KFH1" s="1082"/>
      <c r="KFI1" s="1082"/>
      <c r="KFJ1" s="1082"/>
      <c r="KFK1" s="1082"/>
      <c r="KFL1" s="1082"/>
      <c r="KFM1" s="1082"/>
      <c r="KFN1" s="1082"/>
      <c r="KFO1" s="1082"/>
      <c r="KFP1" s="1082"/>
      <c r="KFQ1" s="1082"/>
      <c r="KFR1" s="1082"/>
      <c r="KFS1" s="1082"/>
      <c r="KFT1" s="1082"/>
      <c r="KFU1" s="1082"/>
      <c r="KFV1" s="1082"/>
      <c r="KFW1" s="1082"/>
      <c r="KFX1" s="1082"/>
      <c r="KFY1" s="1082"/>
      <c r="KFZ1" s="1082"/>
      <c r="KGA1" s="1082"/>
      <c r="KGB1" s="1082"/>
      <c r="KGC1" s="1082"/>
      <c r="KGD1" s="1082"/>
      <c r="KGE1" s="1082"/>
      <c r="KGF1" s="1082"/>
      <c r="KGG1" s="1082"/>
      <c r="KGH1" s="1082"/>
      <c r="KGI1" s="1082"/>
      <c r="KGJ1" s="1082"/>
      <c r="KGK1" s="1082"/>
      <c r="KGL1" s="1082"/>
      <c r="KGM1" s="1082"/>
      <c r="KGN1" s="1082"/>
      <c r="KGO1" s="1082"/>
      <c r="KGP1" s="1082"/>
      <c r="KGQ1" s="1082"/>
      <c r="KGR1" s="1082"/>
      <c r="KGS1" s="1082"/>
      <c r="KGT1" s="1082"/>
      <c r="KGU1" s="1082"/>
      <c r="KGV1" s="1082"/>
      <c r="KGW1" s="1082"/>
      <c r="KGX1" s="1082"/>
      <c r="KGY1" s="1082"/>
      <c r="KGZ1" s="1082"/>
      <c r="KHA1" s="1082"/>
      <c r="KHB1" s="1082"/>
      <c r="KHC1" s="1082"/>
      <c r="KHD1" s="1082"/>
      <c r="KHE1" s="1082"/>
      <c r="KHF1" s="1082"/>
      <c r="KHG1" s="1082"/>
      <c r="KHH1" s="1082"/>
      <c r="KHI1" s="1082"/>
      <c r="KHJ1" s="1082"/>
      <c r="KHK1" s="1082"/>
      <c r="KHL1" s="1082"/>
      <c r="KHM1" s="1082"/>
      <c r="KHN1" s="1082"/>
      <c r="KHO1" s="1082"/>
      <c r="KHP1" s="1082"/>
      <c r="KHQ1" s="1082"/>
      <c r="KHR1" s="1082"/>
      <c r="KHS1" s="1082"/>
      <c r="KHT1" s="1082"/>
      <c r="KHU1" s="1082"/>
      <c r="KHV1" s="1082"/>
      <c r="KHW1" s="1082"/>
      <c r="KHX1" s="1082"/>
      <c r="KHY1" s="1082"/>
      <c r="KHZ1" s="1082"/>
      <c r="KIA1" s="1082"/>
      <c r="KIB1" s="1082"/>
      <c r="KIC1" s="1082"/>
      <c r="KID1" s="1082"/>
      <c r="KIE1" s="1082"/>
      <c r="KIF1" s="1082"/>
      <c r="KIG1" s="1082"/>
      <c r="KIH1" s="1082"/>
      <c r="KII1" s="1082"/>
      <c r="KIJ1" s="1082"/>
      <c r="KIK1" s="1082"/>
      <c r="KIL1" s="1082"/>
      <c r="KIM1" s="1082"/>
      <c r="KIN1" s="1082"/>
      <c r="KIO1" s="1082"/>
      <c r="KIP1" s="1082"/>
      <c r="KIQ1" s="1082"/>
      <c r="KIR1" s="1082"/>
      <c r="KIS1" s="1082"/>
      <c r="KIT1" s="1082"/>
      <c r="KIU1" s="1082"/>
      <c r="KIV1" s="1082"/>
      <c r="KIW1" s="1082"/>
      <c r="KIX1" s="1082"/>
      <c r="KIY1" s="1082"/>
      <c r="KIZ1" s="1082"/>
      <c r="KJA1" s="1082"/>
      <c r="KJB1" s="1082"/>
      <c r="KJC1" s="1082"/>
      <c r="KJD1" s="1082"/>
      <c r="KJE1" s="1082"/>
      <c r="KJF1" s="1082"/>
      <c r="KJG1" s="1082"/>
      <c r="KJH1" s="1082"/>
      <c r="KJI1" s="1082"/>
      <c r="KJJ1" s="1082"/>
      <c r="KJK1" s="1082"/>
      <c r="KJL1" s="1082"/>
      <c r="KJM1" s="1082"/>
      <c r="KJN1" s="1082"/>
      <c r="KJO1" s="1082"/>
      <c r="KJP1" s="1082"/>
      <c r="KJQ1" s="1082"/>
      <c r="KJR1" s="1082"/>
      <c r="KJS1" s="1082"/>
      <c r="KJT1" s="1082"/>
      <c r="KJU1" s="1082"/>
      <c r="KJV1" s="1082"/>
      <c r="KJW1" s="1082"/>
      <c r="KJX1" s="1082"/>
      <c r="KJY1" s="1082"/>
      <c r="KJZ1" s="1082"/>
      <c r="KKA1" s="1082"/>
      <c r="KKB1" s="1082"/>
      <c r="KKC1" s="1082"/>
      <c r="KKD1" s="1082"/>
      <c r="KKE1" s="1082"/>
      <c r="KKF1" s="1082"/>
      <c r="KKG1" s="1082"/>
      <c r="KKH1" s="1082"/>
      <c r="KKI1" s="1082"/>
      <c r="KKJ1" s="1082"/>
      <c r="KKK1" s="1082"/>
      <c r="KKL1" s="1082"/>
      <c r="KKM1" s="1082"/>
      <c r="KKN1" s="1082"/>
      <c r="KKO1" s="1082"/>
      <c r="KKP1" s="1082"/>
      <c r="KKQ1" s="1082"/>
      <c r="KKR1" s="1082"/>
      <c r="KKS1" s="1082"/>
      <c r="KKT1" s="1082"/>
      <c r="KKU1" s="1082"/>
      <c r="KKV1" s="1082"/>
      <c r="KKW1" s="1082"/>
      <c r="KKX1" s="1082"/>
      <c r="KKY1" s="1082"/>
      <c r="KKZ1" s="1082"/>
      <c r="KLA1" s="1082"/>
      <c r="KLB1" s="1082"/>
      <c r="KLC1" s="1082"/>
      <c r="KLD1" s="1082"/>
      <c r="KLE1" s="1082"/>
      <c r="KLF1" s="1082"/>
      <c r="KLG1" s="1082"/>
      <c r="KLH1" s="1082"/>
      <c r="KLI1" s="1082"/>
      <c r="KLJ1" s="1082"/>
      <c r="KLK1" s="1082"/>
      <c r="KLL1" s="1082"/>
      <c r="KLM1" s="1082"/>
      <c r="KLN1" s="1082"/>
      <c r="KLO1" s="1082"/>
      <c r="KLP1" s="1082"/>
      <c r="KLQ1" s="1082"/>
      <c r="KLR1" s="1082"/>
      <c r="KLS1" s="1082"/>
      <c r="KLT1" s="1082"/>
      <c r="KLU1" s="1082"/>
      <c r="KLV1" s="1082"/>
      <c r="KLW1" s="1082"/>
      <c r="KLX1" s="1082"/>
      <c r="KLY1" s="1082"/>
      <c r="KLZ1" s="1082"/>
      <c r="KMA1" s="1082"/>
      <c r="KMB1" s="1082"/>
      <c r="KMC1" s="1082"/>
      <c r="KMD1" s="1082"/>
      <c r="KME1" s="1082"/>
      <c r="KMF1" s="1082"/>
      <c r="KMG1" s="1082"/>
      <c r="KMH1" s="1082"/>
      <c r="KMI1" s="1082"/>
      <c r="KMJ1" s="1082"/>
      <c r="KMK1" s="1082"/>
      <c r="KML1" s="1082"/>
      <c r="KMM1" s="1082"/>
      <c r="KMN1" s="1082"/>
      <c r="KMO1" s="1082"/>
      <c r="KMP1" s="1082"/>
      <c r="KMQ1" s="1082"/>
      <c r="KMR1" s="1082"/>
      <c r="KMS1" s="1082"/>
      <c r="KMT1" s="1082"/>
      <c r="KMU1" s="1082"/>
      <c r="KMV1" s="1082"/>
      <c r="KMW1" s="1082"/>
      <c r="KMX1" s="1082"/>
      <c r="KMY1" s="1082"/>
      <c r="KMZ1" s="1082"/>
      <c r="KNA1" s="1082"/>
      <c r="KNB1" s="1082"/>
      <c r="KNC1" s="1082"/>
      <c r="KND1" s="1082"/>
      <c r="KNE1" s="1082"/>
      <c r="KNF1" s="1082"/>
      <c r="KNG1" s="1082"/>
      <c r="KNH1" s="1082"/>
      <c r="KNI1" s="1082"/>
      <c r="KNJ1" s="1082"/>
      <c r="KNK1" s="1082"/>
      <c r="KNL1" s="1082"/>
      <c r="KNM1" s="1082"/>
      <c r="KNN1" s="1082"/>
      <c r="KNO1" s="1082"/>
      <c r="KNP1" s="1082"/>
      <c r="KNQ1" s="1082"/>
      <c r="KNR1" s="1082"/>
      <c r="KNS1" s="1082"/>
      <c r="KNT1" s="1082"/>
      <c r="KNU1" s="1082"/>
      <c r="KNV1" s="1082"/>
      <c r="KNW1" s="1082"/>
      <c r="KNX1" s="1082"/>
      <c r="KNY1" s="1082"/>
      <c r="KNZ1" s="1082"/>
      <c r="KOA1" s="1082"/>
      <c r="KOB1" s="1082"/>
      <c r="KOC1" s="1082"/>
      <c r="KOD1" s="1082"/>
      <c r="KOE1" s="1082"/>
      <c r="KOF1" s="1082"/>
      <c r="KOG1" s="1082"/>
      <c r="KOH1" s="1082"/>
      <c r="KOI1" s="1082"/>
      <c r="KOJ1" s="1082"/>
      <c r="KOK1" s="1082"/>
      <c r="KOL1" s="1082"/>
      <c r="KOM1" s="1082"/>
      <c r="KON1" s="1082"/>
      <c r="KOO1" s="1082"/>
      <c r="KOP1" s="1082"/>
      <c r="KOQ1" s="1082"/>
      <c r="KOR1" s="1082"/>
      <c r="KOS1" s="1082"/>
      <c r="KOT1" s="1082"/>
      <c r="KOU1" s="1082"/>
      <c r="KOV1" s="1082"/>
      <c r="KOW1" s="1082"/>
      <c r="KOX1" s="1082"/>
      <c r="KOY1" s="1082"/>
      <c r="KOZ1" s="1082"/>
      <c r="KPA1" s="1082"/>
      <c r="KPB1" s="1082"/>
      <c r="KPC1" s="1082"/>
      <c r="KPD1" s="1082"/>
      <c r="KPE1" s="1082"/>
      <c r="KPF1" s="1082"/>
      <c r="KPG1" s="1082"/>
      <c r="KPH1" s="1082"/>
      <c r="KPI1" s="1082"/>
      <c r="KPJ1" s="1082"/>
      <c r="KPK1" s="1082"/>
      <c r="KPL1" s="1082"/>
      <c r="KPM1" s="1082"/>
      <c r="KPN1" s="1082"/>
      <c r="KPO1" s="1082"/>
      <c r="KPP1" s="1082"/>
      <c r="KPQ1" s="1082"/>
      <c r="KPR1" s="1082"/>
      <c r="KPS1" s="1082"/>
      <c r="KPT1" s="1082"/>
      <c r="KPU1" s="1082"/>
      <c r="KPV1" s="1082"/>
      <c r="KPW1" s="1082"/>
      <c r="KPX1" s="1082"/>
      <c r="KPY1" s="1082"/>
      <c r="KPZ1" s="1082"/>
      <c r="KQA1" s="1082"/>
      <c r="KQB1" s="1082"/>
      <c r="KQC1" s="1082"/>
      <c r="KQD1" s="1082"/>
      <c r="KQE1" s="1082"/>
      <c r="KQF1" s="1082"/>
      <c r="KQG1" s="1082"/>
      <c r="KQH1" s="1082"/>
      <c r="KQI1" s="1082"/>
      <c r="KQJ1" s="1082"/>
      <c r="KQK1" s="1082"/>
      <c r="KQL1" s="1082"/>
      <c r="KQM1" s="1082"/>
      <c r="KQN1" s="1082"/>
      <c r="KQO1" s="1082"/>
      <c r="KQP1" s="1082"/>
      <c r="KQQ1" s="1082"/>
      <c r="KQR1" s="1082"/>
      <c r="KQS1" s="1082"/>
      <c r="KQT1" s="1082"/>
      <c r="KQU1" s="1082"/>
      <c r="KQV1" s="1082"/>
      <c r="KQW1" s="1082"/>
      <c r="KQX1" s="1082"/>
      <c r="KQY1" s="1082"/>
      <c r="KQZ1" s="1082"/>
      <c r="KRA1" s="1082"/>
      <c r="KRB1" s="1082"/>
      <c r="KRC1" s="1082"/>
      <c r="KRD1" s="1082"/>
      <c r="KRE1" s="1082"/>
      <c r="KRF1" s="1082"/>
      <c r="KRG1" s="1082"/>
      <c r="KRH1" s="1082"/>
      <c r="KRI1" s="1082"/>
      <c r="KRJ1" s="1082"/>
      <c r="KRK1" s="1082"/>
      <c r="KRL1" s="1082"/>
      <c r="KRM1" s="1082"/>
      <c r="KRN1" s="1082"/>
      <c r="KRO1" s="1082"/>
      <c r="KRP1" s="1082"/>
      <c r="KRQ1" s="1082"/>
      <c r="KRR1" s="1082"/>
      <c r="KRS1" s="1082"/>
      <c r="KRT1" s="1082"/>
      <c r="KRU1" s="1082"/>
      <c r="KRV1" s="1082"/>
      <c r="KRW1" s="1082"/>
      <c r="KRX1" s="1082"/>
      <c r="KRY1" s="1082"/>
      <c r="KRZ1" s="1082"/>
      <c r="KSA1" s="1082"/>
      <c r="KSB1" s="1082"/>
      <c r="KSC1" s="1082"/>
      <c r="KSD1" s="1082"/>
      <c r="KSE1" s="1082"/>
      <c r="KSF1" s="1082"/>
      <c r="KSG1" s="1082"/>
      <c r="KSH1" s="1082"/>
      <c r="KSI1" s="1082"/>
      <c r="KSJ1" s="1082"/>
      <c r="KSK1" s="1082"/>
      <c r="KSL1" s="1082"/>
      <c r="KSM1" s="1082"/>
      <c r="KSN1" s="1082"/>
      <c r="KSO1" s="1082"/>
      <c r="KSP1" s="1082"/>
      <c r="KSQ1" s="1082"/>
      <c r="KSR1" s="1082"/>
      <c r="KSS1" s="1082"/>
      <c r="KST1" s="1082"/>
      <c r="KSU1" s="1082"/>
      <c r="KSV1" s="1082"/>
      <c r="KSW1" s="1082"/>
      <c r="KSX1" s="1082"/>
      <c r="KSY1" s="1082"/>
      <c r="KSZ1" s="1082"/>
      <c r="KTA1" s="1082"/>
      <c r="KTB1" s="1082"/>
      <c r="KTC1" s="1082"/>
      <c r="KTD1" s="1082"/>
      <c r="KTE1" s="1082"/>
      <c r="KTF1" s="1082"/>
      <c r="KTG1" s="1082"/>
      <c r="KTH1" s="1082"/>
      <c r="KTI1" s="1082"/>
      <c r="KTJ1" s="1082"/>
      <c r="KTK1" s="1082"/>
      <c r="KTL1" s="1082"/>
      <c r="KTM1" s="1082"/>
      <c r="KTN1" s="1082"/>
      <c r="KTO1" s="1082"/>
      <c r="KTP1" s="1082"/>
      <c r="KTQ1" s="1082"/>
      <c r="KTR1" s="1082"/>
      <c r="KTS1" s="1082"/>
      <c r="KTT1" s="1082"/>
      <c r="KTU1" s="1082"/>
      <c r="KTV1" s="1082"/>
      <c r="KTW1" s="1082"/>
      <c r="KTX1" s="1082"/>
      <c r="KTY1" s="1082"/>
      <c r="KTZ1" s="1082"/>
      <c r="KUA1" s="1082"/>
      <c r="KUB1" s="1082"/>
      <c r="KUC1" s="1082"/>
      <c r="KUD1" s="1082"/>
      <c r="KUE1" s="1082"/>
      <c r="KUF1" s="1082"/>
      <c r="KUG1" s="1082"/>
      <c r="KUH1" s="1082"/>
      <c r="KUI1" s="1082"/>
      <c r="KUJ1" s="1082"/>
      <c r="KUK1" s="1082"/>
      <c r="KUL1" s="1082"/>
      <c r="KUM1" s="1082"/>
      <c r="KUN1" s="1082"/>
      <c r="KUO1" s="1082"/>
      <c r="KUP1" s="1082"/>
      <c r="KUQ1" s="1082"/>
      <c r="KUR1" s="1082"/>
      <c r="KUS1" s="1082"/>
      <c r="KUT1" s="1082"/>
      <c r="KUU1" s="1082"/>
      <c r="KUV1" s="1082"/>
      <c r="KUW1" s="1082"/>
      <c r="KUX1" s="1082"/>
      <c r="KUY1" s="1082"/>
      <c r="KUZ1" s="1082"/>
      <c r="KVA1" s="1082"/>
      <c r="KVB1" s="1082"/>
      <c r="KVC1" s="1082"/>
      <c r="KVD1" s="1082"/>
      <c r="KVE1" s="1082"/>
      <c r="KVF1" s="1082"/>
      <c r="KVG1" s="1082"/>
      <c r="KVH1" s="1082"/>
      <c r="KVI1" s="1082"/>
      <c r="KVJ1" s="1082"/>
      <c r="KVK1" s="1082"/>
      <c r="KVL1" s="1082"/>
      <c r="KVM1" s="1082"/>
      <c r="KVN1" s="1082"/>
      <c r="KVO1" s="1082"/>
      <c r="KVP1" s="1082"/>
      <c r="KVQ1" s="1082"/>
      <c r="KVR1" s="1082"/>
      <c r="KVS1" s="1082"/>
      <c r="KVT1" s="1082"/>
      <c r="KVU1" s="1082"/>
      <c r="KVV1" s="1082"/>
      <c r="KVW1" s="1082"/>
      <c r="KVX1" s="1082"/>
      <c r="KVY1" s="1082"/>
      <c r="KVZ1" s="1082"/>
      <c r="KWA1" s="1082"/>
      <c r="KWB1" s="1082"/>
      <c r="KWC1" s="1082"/>
      <c r="KWD1" s="1082"/>
      <c r="KWE1" s="1082"/>
      <c r="KWF1" s="1082"/>
      <c r="KWG1" s="1082"/>
      <c r="KWH1" s="1082"/>
      <c r="KWI1" s="1082"/>
      <c r="KWJ1" s="1082"/>
      <c r="KWK1" s="1082"/>
      <c r="KWL1" s="1082"/>
      <c r="KWM1" s="1082"/>
      <c r="KWN1" s="1082"/>
      <c r="KWO1" s="1082"/>
      <c r="KWP1" s="1082"/>
      <c r="KWQ1" s="1082"/>
      <c r="KWR1" s="1082"/>
      <c r="KWS1" s="1082"/>
      <c r="KWT1" s="1082"/>
      <c r="KWU1" s="1082"/>
      <c r="KWV1" s="1082"/>
      <c r="KWW1" s="1082"/>
      <c r="KWX1" s="1082"/>
      <c r="KWY1" s="1082"/>
      <c r="KWZ1" s="1082"/>
      <c r="KXA1" s="1082"/>
      <c r="KXB1" s="1082"/>
      <c r="KXC1" s="1082"/>
      <c r="KXD1" s="1082"/>
      <c r="KXE1" s="1082"/>
      <c r="KXF1" s="1082"/>
      <c r="KXG1" s="1082"/>
      <c r="KXH1" s="1082"/>
      <c r="KXI1" s="1082"/>
      <c r="KXJ1" s="1082"/>
      <c r="KXK1" s="1082"/>
      <c r="KXL1" s="1082"/>
      <c r="KXM1" s="1082"/>
      <c r="KXN1" s="1082"/>
      <c r="KXO1" s="1082"/>
      <c r="KXP1" s="1082"/>
      <c r="KXQ1" s="1082"/>
      <c r="KXR1" s="1082"/>
      <c r="KXS1" s="1082"/>
      <c r="KXT1" s="1082"/>
      <c r="KXU1" s="1082"/>
      <c r="KXV1" s="1082"/>
      <c r="KXW1" s="1082"/>
      <c r="KXX1" s="1082"/>
      <c r="KXY1" s="1082"/>
      <c r="KXZ1" s="1082"/>
      <c r="KYA1" s="1082"/>
      <c r="KYB1" s="1082"/>
      <c r="KYC1" s="1082"/>
      <c r="KYD1" s="1082"/>
      <c r="KYE1" s="1082"/>
      <c r="KYF1" s="1082"/>
      <c r="KYG1" s="1082"/>
      <c r="KYH1" s="1082"/>
      <c r="KYI1" s="1082"/>
      <c r="KYJ1" s="1082"/>
      <c r="KYK1" s="1082"/>
      <c r="KYL1" s="1082"/>
      <c r="KYM1" s="1082"/>
      <c r="KYN1" s="1082"/>
      <c r="KYO1" s="1082"/>
      <c r="KYP1" s="1082"/>
      <c r="KYQ1" s="1082"/>
      <c r="KYR1" s="1082"/>
      <c r="KYS1" s="1082"/>
      <c r="KYT1" s="1082"/>
      <c r="KYU1" s="1082"/>
      <c r="KYV1" s="1082"/>
      <c r="KYW1" s="1082"/>
      <c r="KYX1" s="1082"/>
      <c r="KYY1" s="1082"/>
      <c r="KYZ1" s="1082"/>
      <c r="KZA1" s="1082"/>
      <c r="KZB1" s="1082"/>
      <c r="KZC1" s="1082"/>
      <c r="KZD1" s="1082"/>
      <c r="KZE1" s="1082"/>
      <c r="KZF1" s="1082"/>
      <c r="KZG1" s="1082"/>
      <c r="KZH1" s="1082"/>
      <c r="KZI1" s="1082"/>
      <c r="KZJ1" s="1082"/>
      <c r="KZK1" s="1082"/>
      <c r="KZL1" s="1082"/>
      <c r="KZM1" s="1082"/>
      <c r="KZN1" s="1082"/>
      <c r="KZO1" s="1082"/>
      <c r="KZP1" s="1082"/>
      <c r="KZQ1" s="1082"/>
      <c r="KZR1" s="1082"/>
      <c r="KZS1" s="1082"/>
      <c r="KZT1" s="1082"/>
      <c r="KZU1" s="1082"/>
      <c r="KZV1" s="1082"/>
      <c r="KZW1" s="1082"/>
      <c r="KZX1" s="1082"/>
      <c r="KZY1" s="1082"/>
      <c r="KZZ1" s="1082"/>
      <c r="LAA1" s="1082"/>
      <c r="LAB1" s="1082"/>
      <c r="LAC1" s="1082"/>
      <c r="LAD1" s="1082"/>
      <c r="LAE1" s="1082"/>
      <c r="LAF1" s="1082"/>
      <c r="LAG1" s="1082"/>
      <c r="LAH1" s="1082"/>
      <c r="LAI1" s="1082"/>
      <c r="LAJ1" s="1082"/>
      <c r="LAK1" s="1082"/>
      <c r="LAL1" s="1082"/>
      <c r="LAM1" s="1082"/>
      <c r="LAN1" s="1082"/>
      <c r="LAO1" s="1082"/>
      <c r="LAP1" s="1082"/>
      <c r="LAQ1" s="1082"/>
      <c r="LAR1" s="1082"/>
      <c r="LAS1" s="1082"/>
      <c r="LAT1" s="1082"/>
      <c r="LAU1" s="1082"/>
      <c r="LAV1" s="1082"/>
      <c r="LAW1" s="1082"/>
      <c r="LAX1" s="1082"/>
      <c r="LAY1" s="1082"/>
      <c r="LAZ1" s="1082"/>
      <c r="LBA1" s="1082"/>
      <c r="LBB1" s="1082"/>
      <c r="LBC1" s="1082"/>
      <c r="LBD1" s="1082"/>
      <c r="LBE1" s="1082"/>
      <c r="LBF1" s="1082"/>
      <c r="LBG1" s="1082"/>
      <c r="LBH1" s="1082"/>
      <c r="LBI1" s="1082"/>
      <c r="LBJ1" s="1082"/>
      <c r="LBK1" s="1082"/>
      <c r="LBL1" s="1082"/>
      <c r="LBM1" s="1082"/>
      <c r="LBN1" s="1082"/>
      <c r="LBO1" s="1082"/>
      <c r="LBP1" s="1082"/>
      <c r="LBQ1" s="1082"/>
      <c r="LBR1" s="1082"/>
      <c r="LBS1" s="1082"/>
      <c r="LBT1" s="1082"/>
      <c r="LBU1" s="1082"/>
      <c r="LBV1" s="1082"/>
      <c r="LBW1" s="1082"/>
      <c r="LBX1" s="1082"/>
      <c r="LBY1" s="1082"/>
      <c r="LBZ1" s="1082"/>
      <c r="LCA1" s="1082"/>
      <c r="LCB1" s="1082"/>
      <c r="LCC1" s="1082"/>
      <c r="LCD1" s="1082"/>
      <c r="LCE1" s="1082"/>
      <c r="LCF1" s="1082"/>
      <c r="LCG1" s="1082"/>
      <c r="LCH1" s="1082"/>
      <c r="LCI1" s="1082"/>
      <c r="LCJ1" s="1082"/>
      <c r="LCK1" s="1082"/>
      <c r="LCL1" s="1082"/>
      <c r="LCM1" s="1082"/>
      <c r="LCN1" s="1082"/>
      <c r="LCO1" s="1082"/>
      <c r="LCP1" s="1082"/>
      <c r="LCQ1" s="1082"/>
      <c r="LCR1" s="1082"/>
      <c r="LCS1" s="1082"/>
      <c r="LCT1" s="1082"/>
      <c r="LCU1" s="1082"/>
      <c r="LCV1" s="1082"/>
      <c r="LCW1" s="1082"/>
      <c r="LCX1" s="1082"/>
      <c r="LCY1" s="1082"/>
      <c r="LCZ1" s="1082"/>
      <c r="LDA1" s="1082"/>
      <c r="LDB1" s="1082"/>
      <c r="LDC1" s="1082"/>
      <c r="LDD1" s="1082"/>
      <c r="LDE1" s="1082"/>
      <c r="LDF1" s="1082"/>
      <c r="LDG1" s="1082"/>
      <c r="LDH1" s="1082"/>
      <c r="LDI1" s="1082"/>
      <c r="LDJ1" s="1082"/>
      <c r="LDK1" s="1082"/>
      <c r="LDL1" s="1082"/>
      <c r="LDM1" s="1082"/>
      <c r="LDN1" s="1082"/>
      <c r="LDO1" s="1082"/>
      <c r="LDP1" s="1082"/>
      <c r="LDQ1" s="1082"/>
      <c r="LDR1" s="1082"/>
      <c r="LDS1" s="1082"/>
      <c r="LDT1" s="1082"/>
      <c r="LDU1" s="1082"/>
      <c r="LDV1" s="1082"/>
      <c r="LDW1" s="1082"/>
      <c r="LDX1" s="1082"/>
      <c r="LDY1" s="1082"/>
      <c r="LDZ1" s="1082"/>
      <c r="LEA1" s="1082"/>
      <c r="LEB1" s="1082"/>
      <c r="LEC1" s="1082"/>
      <c r="LED1" s="1082"/>
      <c r="LEE1" s="1082"/>
      <c r="LEF1" s="1082"/>
      <c r="LEG1" s="1082"/>
      <c r="LEH1" s="1082"/>
      <c r="LEI1" s="1082"/>
      <c r="LEJ1" s="1082"/>
      <c r="LEK1" s="1082"/>
      <c r="LEL1" s="1082"/>
      <c r="LEM1" s="1082"/>
      <c r="LEN1" s="1082"/>
      <c r="LEO1" s="1082"/>
      <c r="LEP1" s="1082"/>
      <c r="LEQ1" s="1082"/>
      <c r="LER1" s="1082"/>
      <c r="LES1" s="1082"/>
      <c r="LET1" s="1082"/>
      <c r="LEU1" s="1082"/>
      <c r="LEV1" s="1082"/>
      <c r="LEW1" s="1082"/>
      <c r="LEX1" s="1082"/>
      <c r="LEY1" s="1082"/>
      <c r="LEZ1" s="1082"/>
      <c r="LFA1" s="1082"/>
      <c r="LFB1" s="1082"/>
      <c r="LFC1" s="1082"/>
      <c r="LFD1" s="1082"/>
      <c r="LFE1" s="1082"/>
      <c r="LFF1" s="1082"/>
      <c r="LFG1" s="1082"/>
      <c r="LFH1" s="1082"/>
      <c r="LFI1" s="1082"/>
      <c r="LFJ1" s="1082"/>
      <c r="LFK1" s="1082"/>
      <c r="LFL1" s="1082"/>
      <c r="LFM1" s="1082"/>
      <c r="LFN1" s="1082"/>
      <c r="LFO1" s="1082"/>
      <c r="LFP1" s="1082"/>
      <c r="LFQ1" s="1082"/>
      <c r="LFR1" s="1082"/>
      <c r="LFS1" s="1082"/>
      <c r="LFT1" s="1082"/>
      <c r="LFU1" s="1082"/>
      <c r="LFV1" s="1082"/>
      <c r="LFW1" s="1082"/>
      <c r="LFX1" s="1082"/>
      <c r="LFY1" s="1082"/>
      <c r="LFZ1" s="1082"/>
      <c r="LGA1" s="1082"/>
      <c r="LGB1" s="1082"/>
      <c r="LGC1" s="1082"/>
      <c r="LGD1" s="1082"/>
      <c r="LGE1" s="1082"/>
      <c r="LGF1" s="1082"/>
      <c r="LGG1" s="1082"/>
      <c r="LGH1" s="1082"/>
      <c r="LGI1" s="1082"/>
      <c r="LGJ1" s="1082"/>
      <c r="LGK1" s="1082"/>
      <c r="LGL1" s="1082"/>
      <c r="LGM1" s="1082"/>
      <c r="LGN1" s="1082"/>
      <c r="LGO1" s="1082"/>
      <c r="LGP1" s="1082"/>
      <c r="LGQ1" s="1082"/>
      <c r="LGR1" s="1082"/>
      <c r="LGS1" s="1082"/>
      <c r="LGT1" s="1082"/>
      <c r="LGU1" s="1082"/>
      <c r="LGV1" s="1082"/>
      <c r="LGW1" s="1082"/>
      <c r="LGX1" s="1082"/>
      <c r="LGY1" s="1082"/>
      <c r="LGZ1" s="1082"/>
      <c r="LHA1" s="1082"/>
      <c r="LHB1" s="1082"/>
      <c r="LHC1" s="1082"/>
      <c r="LHD1" s="1082"/>
      <c r="LHE1" s="1082"/>
      <c r="LHF1" s="1082"/>
      <c r="LHG1" s="1082"/>
      <c r="LHH1" s="1082"/>
      <c r="LHI1" s="1082"/>
      <c r="LHJ1" s="1082"/>
      <c r="LHK1" s="1082"/>
      <c r="LHL1" s="1082"/>
      <c r="LHM1" s="1082"/>
      <c r="LHN1" s="1082"/>
      <c r="LHO1" s="1082"/>
      <c r="LHP1" s="1082"/>
      <c r="LHQ1" s="1082"/>
      <c r="LHR1" s="1082"/>
      <c r="LHS1" s="1082"/>
      <c r="LHT1" s="1082"/>
      <c r="LHU1" s="1082"/>
      <c r="LHV1" s="1082"/>
      <c r="LHW1" s="1082"/>
      <c r="LHX1" s="1082"/>
      <c r="LHY1" s="1082"/>
      <c r="LHZ1" s="1082"/>
      <c r="LIA1" s="1082"/>
      <c r="LIB1" s="1082"/>
      <c r="LIC1" s="1082"/>
      <c r="LID1" s="1082"/>
      <c r="LIE1" s="1082"/>
      <c r="LIF1" s="1082"/>
      <c r="LIG1" s="1082"/>
      <c r="LIH1" s="1082"/>
      <c r="LII1" s="1082"/>
      <c r="LIJ1" s="1082"/>
      <c r="LIK1" s="1082"/>
      <c r="LIL1" s="1082"/>
      <c r="LIM1" s="1082"/>
      <c r="LIN1" s="1082"/>
      <c r="LIO1" s="1082"/>
      <c r="LIP1" s="1082"/>
      <c r="LIQ1" s="1082"/>
      <c r="LIR1" s="1082"/>
      <c r="LIS1" s="1082"/>
      <c r="LIT1" s="1082"/>
      <c r="LIU1" s="1082"/>
      <c r="LIV1" s="1082"/>
      <c r="LIW1" s="1082"/>
      <c r="LIX1" s="1082"/>
      <c r="LIY1" s="1082"/>
      <c r="LIZ1" s="1082"/>
      <c r="LJA1" s="1082"/>
      <c r="LJB1" s="1082"/>
      <c r="LJC1" s="1082"/>
      <c r="LJD1" s="1082"/>
      <c r="LJE1" s="1082"/>
      <c r="LJF1" s="1082"/>
      <c r="LJG1" s="1082"/>
      <c r="LJH1" s="1082"/>
      <c r="LJI1" s="1082"/>
      <c r="LJJ1" s="1082"/>
      <c r="LJK1" s="1082"/>
      <c r="LJL1" s="1082"/>
      <c r="LJM1" s="1082"/>
      <c r="LJN1" s="1082"/>
      <c r="LJO1" s="1082"/>
      <c r="LJP1" s="1082"/>
      <c r="LJQ1" s="1082"/>
      <c r="LJR1" s="1082"/>
      <c r="LJS1" s="1082"/>
      <c r="LJT1" s="1082"/>
      <c r="LJU1" s="1082"/>
      <c r="LJV1" s="1082"/>
      <c r="LJW1" s="1082"/>
      <c r="LJX1" s="1082"/>
      <c r="LJY1" s="1082"/>
      <c r="LJZ1" s="1082"/>
      <c r="LKA1" s="1082"/>
      <c r="LKB1" s="1082"/>
      <c r="LKC1" s="1082"/>
      <c r="LKD1" s="1082"/>
      <c r="LKE1" s="1082"/>
      <c r="LKF1" s="1082"/>
      <c r="LKG1" s="1082"/>
      <c r="LKH1" s="1082"/>
      <c r="LKI1" s="1082"/>
      <c r="LKJ1" s="1082"/>
      <c r="LKK1" s="1082"/>
      <c r="LKL1" s="1082"/>
      <c r="LKM1" s="1082"/>
      <c r="LKN1" s="1082"/>
      <c r="LKO1" s="1082"/>
      <c r="LKP1" s="1082"/>
      <c r="LKQ1" s="1082"/>
      <c r="LKR1" s="1082"/>
      <c r="LKS1" s="1082"/>
      <c r="LKT1" s="1082"/>
      <c r="LKU1" s="1082"/>
      <c r="LKV1" s="1082"/>
      <c r="LKW1" s="1082"/>
      <c r="LKX1" s="1082"/>
      <c r="LKY1" s="1082"/>
      <c r="LKZ1" s="1082"/>
      <c r="LLA1" s="1082"/>
      <c r="LLB1" s="1082"/>
      <c r="LLC1" s="1082"/>
      <c r="LLD1" s="1082"/>
      <c r="LLE1" s="1082"/>
      <c r="LLF1" s="1082"/>
      <c r="LLG1" s="1082"/>
      <c r="LLH1" s="1082"/>
      <c r="LLI1" s="1082"/>
      <c r="LLJ1" s="1082"/>
      <c r="LLK1" s="1082"/>
      <c r="LLL1" s="1082"/>
      <c r="LLM1" s="1082"/>
      <c r="LLN1" s="1082"/>
      <c r="LLO1" s="1082"/>
      <c r="LLP1" s="1082"/>
      <c r="LLQ1" s="1082"/>
      <c r="LLR1" s="1082"/>
      <c r="LLS1" s="1082"/>
      <c r="LLT1" s="1082"/>
      <c r="LLU1" s="1082"/>
      <c r="LLV1" s="1082"/>
      <c r="LLW1" s="1082"/>
      <c r="LLX1" s="1082"/>
      <c r="LLY1" s="1082"/>
      <c r="LLZ1" s="1082"/>
      <c r="LMA1" s="1082"/>
      <c r="LMB1" s="1082"/>
      <c r="LMC1" s="1082"/>
      <c r="LMD1" s="1082"/>
      <c r="LME1" s="1082"/>
      <c r="LMF1" s="1082"/>
      <c r="LMG1" s="1082"/>
      <c r="LMH1" s="1082"/>
      <c r="LMI1" s="1082"/>
      <c r="LMJ1" s="1082"/>
      <c r="LMK1" s="1082"/>
      <c r="LML1" s="1082"/>
      <c r="LMM1" s="1082"/>
      <c r="LMN1" s="1082"/>
      <c r="LMO1" s="1082"/>
      <c r="LMP1" s="1082"/>
      <c r="LMQ1" s="1082"/>
      <c r="LMR1" s="1082"/>
      <c r="LMS1" s="1082"/>
      <c r="LMT1" s="1082"/>
      <c r="LMU1" s="1082"/>
      <c r="LMV1" s="1082"/>
      <c r="LMW1" s="1082"/>
      <c r="LMX1" s="1082"/>
      <c r="LMY1" s="1082"/>
      <c r="LMZ1" s="1082"/>
      <c r="LNA1" s="1082"/>
      <c r="LNB1" s="1082"/>
      <c r="LNC1" s="1082"/>
      <c r="LND1" s="1082"/>
      <c r="LNE1" s="1082"/>
      <c r="LNF1" s="1082"/>
      <c r="LNG1" s="1082"/>
      <c r="LNH1" s="1082"/>
      <c r="LNI1" s="1082"/>
      <c r="LNJ1" s="1082"/>
      <c r="LNK1" s="1082"/>
      <c r="LNL1" s="1082"/>
      <c r="LNM1" s="1082"/>
      <c r="LNN1" s="1082"/>
      <c r="LNO1" s="1082"/>
      <c r="LNP1" s="1082"/>
      <c r="LNQ1" s="1082"/>
      <c r="LNR1" s="1082"/>
      <c r="LNS1" s="1082"/>
      <c r="LNT1" s="1082"/>
      <c r="LNU1" s="1082"/>
      <c r="LNV1" s="1082"/>
      <c r="LNW1" s="1082"/>
      <c r="LNX1" s="1082"/>
      <c r="LNY1" s="1082"/>
      <c r="LNZ1" s="1082"/>
      <c r="LOA1" s="1082"/>
      <c r="LOB1" s="1082"/>
      <c r="LOC1" s="1082"/>
      <c r="LOD1" s="1082"/>
      <c r="LOE1" s="1082"/>
      <c r="LOF1" s="1082"/>
      <c r="LOG1" s="1082"/>
      <c r="LOH1" s="1082"/>
      <c r="LOI1" s="1082"/>
      <c r="LOJ1" s="1082"/>
      <c r="LOK1" s="1082"/>
      <c r="LOL1" s="1082"/>
      <c r="LOM1" s="1082"/>
      <c r="LON1" s="1082"/>
      <c r="LOO1" s="1082"/>
      <c r="LOP1" s="1082"/>
      <c r="LOQ1" s="1082"/>
      <c r="LOR1" s="1082"/>
      <c r="LOS1" s="1082"/>
      <c r="LOT1" s="1082"/>
      <c r="LOU1" s="1082"/>
      <c r="LOV1" s="1082"/>
      <c r="LOW1" s="1082"/>
      <c r="LOX1" s="1082"/>
      <c r="LOY1" s="1082"/>
      <c r="LOZ1" s="1082"/>
      <c r="LPA1" s="1082"/>
      <c r="LPB1" s="1082"/>
      <c r="LPC1" s="1082"/>
      <c r="LPD1" s="1082"/>
      <c r="LPE1" s="1082"/>
      <c r="LPF1" s="1082"/>
      <c r="LPG1" s="1082"/>
      <c r="LPH1" s="1082"/>
      <c r="LPI1" s="1082"/>
      <c r="LPJ1" s="1082"/>
      <c r="LPK1" s="1082"/>
      <c r="LPL1" s="1082"/>
      <c r="LPM1" s="1082"/>
      <c r="LPN1" s="1082"/>
      <c r="LPO1" s="1082"/>
      <c r="LPP1" s="1082"/>
      <c r="LPQ1" s="1082"/>
      <c r="LPR1" s="1082"/>
      <c r="LPS1" s="1082"/>
      <c r="LPT1" s="1082"/>
      <c r="LPU1" s="1082"/>
      <c r="LPV1" s="1082"/>
      <c r="LPW1" s="1082"/>
      <c r="LPX1" s="1082"/>
      <c r="LPY1" s="1082"/>
      <c r="LPZ1" s="1082"/>
      <c r="LQA1" s="1082"/>
      <c r="LQB1" s="1082"/>
      <c r="LQC1" s="1082"/>
      <c r="LQD1" s="1082"/>
      <c r="LQE1" s="1082"/>
      <c r="LQF1" s="1082"/>
      <c r="LQG1" s="1082"/>
      <c r="LQH1" s="1082"/>
      <c r="LQI1" s="1082"/>
      <c r="LQJ1" s="1082"/>
      <c r="LQK1" s="1082"/>
      <c r="LQL1" s="1082"/>
      <c r="LQM1" s="1082"/>
      <c r="LQN1" s="1082"/>
      <c r="LQO1" s="1082"/>
      <c r="LQP1" s="1082"/>
      <c r="LQQ1" s="1082"/>
      <c r="LQR1" s="1082"/>
      <c r="LQS1" s="1082"/>
      <c r="LQT1" s="1082"/>
      <c r="LQU1" s="1082"/>
      <c r="LQV1" s="1082"/>
      <c r="LQW1" s="1082"/>
      <c r="LQX1" s="1082"/>
      <c r="LQY1" s="1082"/>
      <c r="LQZ1" s="1082"/>
      <c r="LRA1" s="1082"/>
      <c r="LRB1" s="1082"/>
      <c r="LRC1" s="1082"/>
      <c r="LRD1" s="1082"/>
      <c r="LRE1" s="1082"/>
      <c r="LRF1" s="1082"/>
      <c r="LRG1" s="1082"/>
      <c r="LRH1" s="1082"/>
      <c r="LRI1" s="1082"/>
      <c r="LRJ1" s="1082"/>
      <c r="LRK1" s="1082"/>
      <c r="LRL1" s="1082"/>
      <c r="LRM1" s="1082"/>
      <c r="LRN1" s="1082"/>
      <c r="LRO1" s="1082"/>
      <c r="LRP1" s="1082"/>
      <c r="LRQ1" s="1082"/>
      <c r="LRR1" s="1082"/>
      <c r="LRS1" s="1082"/>
      <c r="LRT1" s="1082"/>
      <c r="LRU1" s="1082"/>
      <c r="LRV1" s="1082"/>
      <c r="LRW1" s="1082"/>
      <c r="LRX1" s="1082"/>
      <c r="LRY1" s="1082"/>
      <c r="LRZ1" s="1082"/>
      <c r="LSA1" s="1082"/>
      <c r="LSB1" s="1082"/>
      <c r="LSC1" s="1082"/>
      <c r="LSD1" s="1082"/>
      <c r="LSE1" s="1082"/>
      <c r="LSF1" s="1082"/>
      <c r="LSG1" s="1082"/>
      <c r="LSH1" s="1082"/>
      <c r="LSI1" s="1082"/>
      <c r="LSJ1" s="1082"/>
      <c r="LSK1" s="1082"/>
      <c r="LSL1" s="1082"/>
      <c r="LSM1" s="1082"/>
      <c r="LSN1" s="1082"/>
      <c r="LSO1" s="1082"/>
      <c r="LSP1" s="1082"/>
      <c r="LSQ1" s="1082"/>
      <c r="LSR1" s="1082"/>
      <c r="LSS1" s="1082"/>
      <c r="LST1" s="1082"/>
      <c r="LSU1" s="1082"/>
      <c r="LSV1" s="1082"/>
      <c r="LSW1" s="1082"/>
      <c r="LSX1" s="1082"/>
      <c r="LSY1" s="1082"/>
      <c r="LSZ1" s="1082"/>
      <c r="LTA1" s="1082"/>
      <c r="LTB1" s="1082"/>
      <c r="LTC1" s="1082"/>
      <c r="LTD1" s="1082"/>
      <c r="LTE1" s="1082"/>
      <c r="LTF1" s="1082"/>
      <c r="LTG1" s="1082"/>
      <c r="LTH1" s="1082"/>
      <c r="LTI1" s="1082"/>
      <c r="LTJ1" s="1082"/>
      <c r="LTK1" s="1082"/>
      <c r="LTL1" s="1082"/>
      <c r="LTM1" s="1082"/>
      <c r="LTN1" s="1082"/>
      <c r="LTO1" s="1082"/>
      <c r="LTP1" s="1082"/>
      <c r="LTQ1" s="1082"/>
      <c r="LTR1" s="1082"/>
      <c r="LTS1" s="1082"/>
      <c r="LTT1" s="1082"/>
      <c r="LTU1" s="1082"/>
      <c r="LTV1" s="1082"/>
      <c r="LTW1" s="1082"/>
      <c r="LTX1" s="1082"/>
      <c r="LTY1" s="1082"/>
      <c r="LTZ1" s="1082"/>
      <c r="LUA1" s="1082"/>
      <c r="LUB1" s="1082"/>
      <c r="LUC1" s="1082"/>
      <c r="LUD1" s="1082"/>
      <c r="LUE1" s="1082"/>
      <c r="LUF1" s="1082"/>
      <c r="LUG1" s="1082"/>
      <c r="LUH1" s="1082"/>
      <c r="LUI1" s="1082"/>
      <c r="LUJ1" s="1082"/>
      <c r="LUK1" s="1082"/>
      <c r="LUL1" s="1082"/>
      <c r="LUM1" s="1082"/>
      <c r="LUN1" s="1082"/>
      <c r="LUO1" s="1082"/>
      <c r="LUP1" s="1082"/>
      <c r="LUQ1" s="1082"/>
      <c r="LUR1" s="1082"/>
      <c r="LUS1" s="1082"/>
      <c r="LUT1" s="1082"/>
      <c r="LUU1" s="1082"/>
      <c r="LUV1" s="1082"/>
      <c r="LUW1" s="1082"/>
      <c r="LUX1" s="1082"/>
      <c r="LUY1" s="1082"/>
      <c r="LUZ1" s="1082"/>
      <c r="LVA1" s="1082"/>
      <c r="LVB1" s="1082"/>
      <c r="LVC1" s="1082"/>
      <c r="LVD1" s="1082"/>
      <c r="LVE1" s="1082"/>
      <c r="LVF1" s="1082"/>
      <c r="LVG1" s="1082"/>
      <c r="LVH1" s="1082"/>
      <c r="LVI1" s="1082"/>
      <c r="LVJ1" s="1082"/>
      <c r="LVK1" s="1082"/>
      <c r="LVL1" s="1082"/>
      <c r="LVM1" s="1082"/>
      <c r="LVN1" s="1082"/>
      <c r="LVO1" s="1082"/>
      <c r="LVP1" s="1082"/>
      <c r="LVQ1" s="1082"/>
      <c r="LVR1" s="1082"/>
      <c r="LVS1" s="1082"/>
      <c r="LVT1" s="1082"/>
      <c r="LVU1" s="1082"/>
      <c r="LVV1" s="1082"/>
      <c r="LVW1" s="1082"/>
      <c r="LVX1" s="1082"/>
      <c r="LVY1" s="1082"/>
      <c r="LVZ1" s="1082"/>
      <c r="LWA1" s="1082"/>
      <c r="LWB1" s="1082"/>
      <c r="LWC1" s="1082"/>
      <c r="LWD1" s="1082"/>
      <c r="LWE1" s="1082"/>
      <c r="LWF1" s="1082"/>
      <c r="LWG1" s="1082"/>
      <c r="LWH1" s="1082"/>
      <c r="LWI1" s="1082"/>
      <c r="LWJ1" s="1082"/>
      <c r="LWK1" s="1082"/>
      <c r="LWL1" s="1082"/>
      <c r="LWM1" s="1082"/>
      <c r="LWN1" s="1082"/>
      <c r="LWO1" s="1082"/>
      <c r="LWP1" s="1082"/>
      <c r="LWQ1" s="1082"/>
      <c r="LWR1" s="1082"/>
      <c r="LWS1" s="1082"/>
      <c r="LWT1" s="1082"/>
      <c r="LWU1" s="1082"/>
      <c r="LWV1" s="1082"/>
      <c r="LWW1" s="1082"/>
      <c r="LWX1" s="1082"/>
      <c r="LWY1" s="1082"/>
      <c r="LWZ1" s="1082"/>
      <c r="LXA1" s="1082"/>
      <c r="LXB1" s="1082"/>
      <c r="LXC1" s="1082"/>
      <c r="LXD1" s="1082"/>
      <c r="LXE1" s="1082"/>
      <c r="LXF1" s="1082"/>
      <c r="LXG1" s="1082"/>
      <c r="LXH1" s="1082"/>
      <c r="LXI1" s="1082"/>
      <c r="LXJ1" s="1082"/>
      <c r="LXK1" s="1082"/>
      <c r="LXL1" s="1082"/>
      <c r="LXM1" s="1082"/>
      <c r="LXN1" s="1082"/>
      <c r="LXO1" s="1082"/>
      <c r="LXP1" s="1082"/>
      <c r="LXQ1" s="1082"/>
      <c r="LXR1" s="1082"/>
      <c r="LXS1" s="1082"/>
      <c r="LXT1" s="1082"/>
      <c r="LXU1" s="1082"/>
      <c r="LXV1" s="1082"/>
      <c r="LXW1" s="1082"/>
      <c r="LXX1" s="1082"/>
      <c r="LXY1" s="1082"/>
      <c r="LXZ1" s="1082"/>
      <c r="LYA1" s="1082"/>
      <c r="LYB1" s="1082"/>
      <c r="LYC1" s="1082"/>
      <c r="LYD1" s="1082"/>
      <c r="LYE1" s="1082"/>
      <c r="LYF1" s="1082"/>
      <c r="LYG1" s="1082"/>
      <c r="LYH1" s="1082"/>
      <c r="LYI1" s="1082"/>
      <c r="LYJ1" s="1082"/>
      <c r="LYK1" s="1082"/>
      <c r="LYL1" s="1082"/>
      <c r="LYM1" s="1082"/>
      <c r="LYN1" s="1082"/>
      <c r="LYO1" s="1082"/>
      <c r="LYP1" s="1082"/>
      <c r="LYQ1" s="1082"/>
      <c r="LYR1" s="1082"/>
      <c r="LYS1" s="1082"/>
      <c r="LYT1" s="1082"/>
      <c r="LYU1" s="1082"/>
      <c r="LYV1" s="1082"/>
      <c r="LYW1" s="1082"/>
      <c r="LYX1" s="1082"/>
      <c r="LYY1" s="1082"/>
      <c r="LYZ1" s="1082"/>
      <c r="LZA1" s="1082"/>
      <c r="LZB1" s="1082"/>
      <c r="LZC1" s="1082"/>
      <c r="LZD1" s="1082"/>
      <c r="LZE1" s="1082"/>
      <c r="LZF1" s="1082"/>
      <c r="LZG1" s="1082"/>
      <c r="LZH1" s="1082"/>
      <c r="LZI1" s="1082"/>
      <c r="LZJ1" s="1082"/>
      <c r="LZK1" s="1082"/>
      <c r="LZL1" s="1082"/>
      <c r="LZM1" s="1082"/>
      <c r="LZN1" s="1082"/>
      <c r="LZO1" s="1082"/>
      <c r="LZP1" s="1082"/>
      <c r="LZQ1" s="1082"/>
      <c r="LZR1" s="1082"/>
      <c r="LZS1" s="1082"/>
      <c r="LZT1" s="1082"/>
      <c r="LZU1" s="1082"/>
      <c r="LZV1" s="1082"/>
      <c r="LZW1" s="1082"/>
      <c r="LZX1" s="1082"/>
      <c r="LZY1" s="1082"/>
      <c r="LZZ1" s="1082"/>
      <c r="MAA1" s="1082"/>
      <c r="MAB1" s="1082"/>
      <c r="MAC1" s="1082"/>
      <c r="MAD1" s="1082"/>
      <c r="MAE1" s="1082"/>
      <c r="MAF1" s="1082"/>
      <c r="MAG1" s="1082"/>
      <c r="MAH1" s="1082"/>
      <c r="MAI1" s="1082"/>
      <c r="MAJ1" s="1082"/>
      <c r="MAK1" s="1082"/>
      <c r="MAL1" s="1082"/>
      <c r="MAM1" s="1082"/>
      <c r="MAN1" s="1082"/>
      <c r="MAO1" s="1082"/>
      <c r="MAP1" s="1082"/>
      <c r="MAQ1" s="1082"/>
      <c r="MAR1" s="1082"/>
      <c r="MAS1" s="1082"/>
      <c r="MAT1" s="1082"/>
      <c r="MAU1" s="1082"/>
      <c r="MAV1" s="1082"/>
      <c r="MAW1" s="1082"/>
      <c r="MAX1" s="1082"/>
      <c r="MAY1" s="1082"/>
      <c r="MAZ1" s="1082"/>
      <c r="MBA1" s="1082"/>
      <c r="MBB1" s="1082"/>
      <c r="MBC1" s="1082"/>
      <c r="MBD1" s="1082"/>
      <c r="MBE1" s="1082"/>
      <c r="MBF1" s="1082"/>
      <c r="MBG1" s="1082"/>
      <c r="MBH1" s="1082"/>
      <c r="MBI1" s="1082"/>
      <c r="MBJ1" s="1082"/>
      <c r="MBK1" s="1082"/>
      <c r="MBL1" s="1082"/>
      <c r="MBM1" s="1082"/>
      <c r="MBN1" s="1082"/>
      <c r="MBO1" s="1082"/>
      <c r="MBP1" s="1082"/>
      <c r="MBQ1" s="1082"/>
      <c r="MBR1" s="1082"/>
      <c r="MBS1" s="1082"/>
      <c r="MBT1" s="1082"/>
      <c r="MBU1" s="1082"/>
      <c r="MBV1" s="1082"/>
      <c r="MBW1" s="1082"/>
      <c r="MBX1" s="1082"/>
      <c r="MBY1" s="1082"/>
      <c r="MBZ1" s="1082"/>
      <c r="MCA1" s="1082"/>
      <c r="MCB1" s="1082"/>
      <c r="MCC1" s="1082"/>
      <c r="MCD1" s="1082"/>
      <c r="MCE1" s="1082"/>
      <c r="MCF1" s="1082"/>
      <c r="MCG1" s="1082"/>
      <c r="MCH1" s="1082"/>
      <c r="MCI1" s="1082"/>
      <c r="MCJ1" s="1082"/>
      <c r="MCK1" s="1082"/>
      <c r="MCL1" s="1082"/>
      <c r="MCM1" s="1082"/>
      <c r="MCN1" s="1082"/>
      <c r="MCO1" s="1082"/>
      <c r="MCP1" s="1082"/>
      <c r="MCQ1" s="1082"/>
      <c r="MCR1" s="1082"/>
      <c r="MCS1" s="1082"/>
      <c r="MCT1" s="1082"/>
      <c r="MCU1" s="1082"/>
      <c r="MCV1" s="1082"/>
      <c r="MCW1" s="1082"/>
      <c r="MCX1" s="1082"/>
      <c r="MCY1" s="1082"/>
      <c r="MCZ1" s="1082"/>
      <c r="MDA1" s="1082"/>
      <c r="MDB1" s="1082"/>
      <c r="MDC1" s="1082"/>
      <c r="MDD1" s="1082"/>
      <c r="MDE1" s="1082"/>
      <c r="MDF1" s="1082"/>
      <c r="MDG1" s="1082"/>
      <c r="MDH1" s="1082"/>
      <c r="MDI1" s="1082"/>
      <c r="MDJ1" s="1082"/>
      <c r="MDK1" s="1082"/>
      <c r="MDL1" s="1082"/>
      <c r="MDM1" s="1082"/>
      <c r="MDN1" s="1082"/>
      <c r="MDO1" s="1082"/>
      <c r="MDP1" s="1082"/>
      <c r="MDQ1" s="1082"/>
      <c r="MDR1" s="1082"/>
      <c r="MDS1" s="1082"/>
      <c r="MDT1" s="1082"/>
      <c r="MDU1" s="1082"/>
      <c r="MDV1" s="1082"/>
      <c r="MDW1" s="1082"/>
      <c r="MDX1" s="1082"/>
      <c r="MDY1" s="1082"/>
      <c r="MDZ1" s="1082"/>
      <c r="MEA1" s="1082"/>
      <c r="MEB1" s="1082"/>
      <c r="MEC1" s="1082"/>
      <c r="MED1" s="1082"/>
      <c r="MEE1" s="1082"/>
      <c r="MEF1" s="1082"/>
      <c r="MEG1" s="1082"/>
      <c r="MEH1" s="1082"/>
      <c r="MEI1" s="1082"/>
      <c r="MEJ1" s="1082"/>
      <c r="MEK1" s="1082"/>
      <c r="MEL1" s="1082"/>
      <c r="MEM1" s="1082"/>
      <c r="MEN1" s="1082"/>
      <c r="MEO1" s="1082"/>
      <c r="MEP1" s="1082"/>
      <c r="MEQ1" s="1082"/>
      <c r="MER1" s="1082"/>
      <c r="MES1" s="1082"/>
      <c r="MET1" s="1082"/>
      <c r="MEU1" s="1082"/>
      <c r="MEV1" s="1082"/>
      <c r="MEW1" s="1082"/>
      <c r="MEX1" s="1082"/>
      <c r="MEY1" s="1082"/>
      <c r="MEZ1" s="1082"/>
      <c r="MFA1" s="1082"/>
      <c r="MFB1" s="1082"/>
      <c r="MFC1" s="1082"/>
      <c r="MFD1" s="1082"/>
      <c r="MFE1" s="1082"/>
      <c r="MFF1" s="1082"/>
      <c r="MFG1" s="1082"/>
      <c r="MFH1" s="1082"/>
      <c r="MFI1" s="1082"/>
      <c r="MFJ1" s="1082"/>
      <c r="MFK1" s="1082"/>
      <c r="MFL1" s="1082"/>
      <c r="MFM1" s="1082"/>
      <c r="MFN1" s="1082"/>
      <c r="MFO1" s="1082"/>
      <c r="MFP1" s="1082"/>
      <c r="MFQ1" s="1082"/>
      <c r="MFR1" s="1082"/>
      <c r="MFS1" s="1082"/>
      <c r="MFT1" s="1082"/>
      <c r="MFU1" s="1082"/>
      <c r="MFV1" s="1082"/>
      <c r="MFW1" s="1082"/>
      <c r="MFX1" s="1082"/>
      <c r="MFY1" s="1082"/>
      <c r="MFZ1" s="1082"/>
      <c r="MGA1" s="1082"/>
      <c r="MGB1" s="1082"/>
      <c r="MGC1" s="1082"/>
      <c r="MGD1" s="1082"/>
      <c r="MGE1" s="1082"/>
      <c r="MGF1" s="1082"/>
      <c r="MGG1" s="1082"/>
      <c r="MGH1" s="1082"/>
      <c r="MGI1" s="1082"/>
      <c r="MGJ1" s="1082"/>
      <c r="MGK1" s="1082"/>
      <c r="MGL1" s="1082"/>
      <c r="MGM1" s="1082"/>
      <c r="MGN1" s="1082"/>
      <c r="MGO1" s="1082"/>
      <c r="MGP1" s="1082"/>
      <c r="MGQ1" s="1082"/>
      <c r="MGR1" s="1082"/>
      <c r="MGS1" s="1082"/>
      <c r="MGT1" s="1082"/>
      <c r="MGU1" s="1082"/>
      <c r="MGV1" s="1082"/>
      <c r="MGW1" s="1082"/>
      <c r="MGX1" s="1082"/>
      <c r="MGY1" s="1082"/>
      <c r="MGZ1" s="1082"/>
      <c r="MHA1" s="1082"/>
      <c r="MHB1" s="1082"/>
      <c r="MHC1" s="1082"/>
      <c r="MHD1" s="1082"/>
      <c r="MHE1" s="1082"/>
      <c r="MHF1" s="1082"/>
      <c r="MHG1" s="1082"/>
      <c r="MHH1" s="1082"/>
      <c r="MHI1" s="1082"/>
      <c r="MHJ1" s="1082"/>
      <c r="MHK1" s="1082"/>
      <c r="MHL1" s="1082"/>
      <c r="MHM1" s="1082"/>
      <c r="MHN1" s="1082"/>
      <c r="MHO1" s="1082"/>
      <c r="MHP1" s="1082"/>
      <c r="MHQ1" s="1082"/>
      <c r="MHR1" s="1082"/>
      <c r="MHS1" s="1082"/>
      <c r="MHT1" s="1082"/>
      <c r="MHU1" s="1082"/>
      <c r="MHV1" s="1082"/>
      <c r="MHW1" s="1082"/>
      <c r="MHX1" s="1082"/>
      <c r="MHY1" s="1082"/>
      <c r="MHZ1" s="1082"/>
      <c r="MIA1" s="1082"/>
      <c r="MIB1" s="1082"/>
      <c r="MIC1" s="1082"/>
      <c r="MID1" s="1082"/>
      <c r="MIE1" s="1082"/>
      <c r="MIF1" s="1082"/>
      <c r="MIG1" s="1082"/>
      <c r="MIH1" s="1082"/>
      <c r="MII1" s="1082"/>
      <c r="MIJ1" s="1082"/>
      <c r="MIK1" s="1082"/>
      <c r="MIL1" s="1082"/>
      <c r="MIM1" s="1082"/>
      <c r="MIN1" s="1082"/>
      <c r="MIO1" s="1082"/>
      <c r="MIP1" s="1082"/>
      <c r="MIQ1" s="1082"/>
      <c r="MIR1" s="1082"/>
      <c r="MIS1" s="1082"/>
      <c r="MIT1" s="1082"/>
      <c r="MIU1" s="1082"/>
      <c r="MIV1" s="1082"/>
      <c r="MIW1" s="1082"/>
      <c r="MIX1" s="1082"/>
      <c r="MIY1" s="1082"/>
      <c r="MIZ1" s="1082"/>
      <c r="MJA1" s="1082"/>
      <c r="MJB1" s="1082"/>
      <c r="MJC1" s="1082"/>
      <c r="MJD1" s="1082"/>
      <c r="MJE1" s="1082"/>
      <c r="MJF1" s="1082"/>
      <c r="MJG1" s="1082"/>
      <c r="MJH1" s="1082"/>
      <c r="MJI1" s="1082"/>
      <c r="MJJ1" s="1082"/>
      <c r="MJK1" s="1082"/>
      <c r="MJL1" s="1082"/>
      <c r="MJM1" s="1082"/>
      <c r="MJN1" s="1082"/>
      <c r="MJO1" s="1082"/>
      <c r="MJP1" s="1082"/>
      <c r="MJQ1" s="1082"/>
      <c r="MJR1" s="1082"/>
      <c r="MJS1" s="1082"/>
      <c r="MJT1" s="1082"/>
      <c r="MJU1" s="1082"/>
      <c r="MJV1" s="1082"/>
      <c r="MJW1" s="1082"/>
      <c r="MJX1" s="1082"/>
      <c r="MJY1" s="1082"/>
      <c r="MJZ1" s="1082"/>
      <c r="MKA1" s="1082"/>
      <c r="MKB1" s="1082"/>
      <c r="MKC1" s="1082"/>
      <c r="MKD1" s="1082"/>
      <c r="MKE1" s="1082"/>
      <c r="MKF1" s="1082"/>
      <c r="MKG1" s="1082"/>
      <c r="MKH1" s="1082"/>
      <c r="MKI1" s="1082"/>
      <c r="MKJ1" s="1082"/>
      <c r="MKK1" s="1082"/>
      <c r="MKL1" s="1082"/>
      <c r="MKM1" s="1082"/>
      <c r="MKN1" s="1082"/>
      <c r="MKO1" s="1082"/>
      <c r="MKP1" s="1082"/>
      <c r="MKQ1" s="1082"/>
      <c r="MKR1" s="1082"/>
      <c r="MKS1" s="1082"/>
      <c r="MKT1" s="1082"/>
      <c r="MKU1" s="1082"/>
      <c r="MKV1" s="1082"/>
      <c r="MKW1" s="1082"/>
      <c r="MKX1" s="1082"/>
      <c r="MKY1" s="1082"/>
      <c r="MKZ1" s="1082"/>
      <c r="MLA1" s="1082"/>
      <c r="MLB1" s="1082"/>
      <c r="MLC1" s="1082"/>
      <c r="MLD1" s="1082"/>
      <c r="MLE1" s="1082"/>
      <c r="MLF1" s="1082"/>
      <c r="MLG1" s="1082"/>
      <c r="MLH1" s="1082"/>
      <c r="MLI1" s="1082"/>
      <c r="MLJ1" s="1082"/>
      <c r="MLK1" s="1082"/>
      <c r="MLL1" s="1082"/>
      <c r="MLM1" s="1082"/>
      <c r="MLN1" s="1082"/>
      <c r="MLO1" s="1082"/>
      <c r="MLP1" s="1082"/>
      <c r="MLQ1" s="1082"/>
      <c r="MLR1" s="1082"/>
      <c r="MLS1" s="1082"/>
      <c r="MLT1" s="1082"/>
      <c r="MLU1" s="1082"/>
      <c r="MLV1" s="1082"/>
      <c r="MLW1" s="1082"/>
      <c r="MLX1" s="1082"/>
      <c r="MLY1" s="1082"/>
      <c r="MLZ1" s="1082"/>
      <c r="MMA1" s="1082"/>
      <c r="MMB1" s="1082"/>
      <c r="MMC1" s="1082"/>
      <c r="MMD1" s="1082"/>
      <c r="MME1" s="1082"/>
      <c r="MMF1" s="1082"/>
      <c r="MMG1" s="1082"/>
      <c r="MMH1" s="1082"/>
      <c r="MMI1" s="1082"/>
      <c r="MMJ1" s="1082"/>
      <c r="MMK1" s="1082"/>
      <c r="MML1" s="1082"/>
      <c r="MMM1" s="1082"/>
      <c r="MMN1" s="1082"/>
      <c r="MMO1" s="1082"/>
      <c r="MMP1" s="1082"/>
      <c r="MMQ1" s="1082"/>
      <c r="MMR1" s="1082"/>
      <c r="MMS1" s="1082"/>
      <c r="MMT1" s="1082"/>
      <c r="MMU1" s="1082"/>
      <c r="MMV1" s="1082"/>
      <c r="MMW1" s="1082"/>
      <c r="MMX1" s="1082"/>
      <c r="MMY1" s="1082"/>
      <c r="MMZ1" s="1082"/>
      <c r="MNA1" s="1082"/>
      <c r="MNB1" s="1082"/>
      <c r="MNC1" s="1082"/>
      <c r="MND1" s="1082"/>
      <c r="MNE1" s="1082"/>
      <c r="MNF1" s="1082"/>
      <c r="MNG1" s="1082"/>
      <c r="MNH1" s="1082"/>
      <c r="MNI1" s="1082"/>
      <c r="MNJ1" s="1082"/>
      <c r="MNK1" s="1082"/>
      <c r="MNL1" s="1082"/>
      <c r="MNM1" s="1082"/>
      <c r="MNN1" s="1082"/>
      <c r="MNO1" s="1082"/>
      <c r="MNP1" s="1082"/>
      <c r="MNQ1" s="1082"/>
      <c r="MNR1" s="1082"/>
      <c r="MNS1" s="1082"/>
      <c r="MNT1" s="1082"/>
      <c r="MNU1" s="1082"/>
      <c r="MNV1" s="1082"/>
      <c r="MNW1" s="1082"/>
      <c r="MNX1" s="1082"/>
      <c r="MNY1" s="1082"/>
      <c r="MNZ1" s="1082"/>
      <c r="MOA1" s="1082"/>
      <c r="MOB1" s="1082"/>
      <c r="MOC1" s="1082"/>
      <c r="MOD1" s="1082"/>
      <c r="MOE1" s="1082"/>
      <c r="MOF1" s="1082"/>
      <c r="MOG1" s="1082"/>
      <c r="MOH1" s="1082"/>
      <c r="MOI1" s="1082"/>
      <c r="MOJ1" s="1082"/>
      <c r="MOK1" s="1082"/>
      <c r="MOL1" s="1082"/>
      <c r="MOM1" s="1082"/>
      <c r="MON1" s="1082"/>
      <c r="MOO1" s="1082"/>
      <c r="MOP1" s="1082"/>
      <c r="MOQ1" s="1082"/>
      <c r="MOR1" s="1082"/>
      <c r="MOS1" s="1082"/>
      <c r="MOT1" s="1082"/>
      <c r="MOU1" s="1082"/>
      <c r="MOV1" s="1082"/>
      <c r="MOW1" s="1082"/>
      <c r="MOX1" s="1082"/>
      <c r="MOY1" s="1082"/>
      <c r="MOZ1" s="1082"/>
      <c r="MPA1" s="1082"/>
      <c r="MPB1" s="1082"/>
      <c r="MPC1" s="1082"/>
      <c r="MPD1" s="1082"/>
      <c r="MPE1" s="1082"/>
      <c r="MPF1" s="1082"/>
      <c r="MPG1" s="1082"/>
      <c r="MPH1" s="1082"/>
      <c r="MPI1" s="1082"/>
      <c r="MPJ1" s="1082"/>
      <c r="MPK1" s="1082"/>
      <c r="MPL1" s="1082"/>
      <c r="MPM1" s="1082"/>
      <c r="MPN1" s="1082"/>
      <c r="MPO1" s="1082"/>
      <c r="MPP1" s="1082"/>
      <c r="MPQ1" s="1082"/>
      <c r="MPR1" s="1082"/>
      <c r="MPS1" s="1082"/>
      <c r="MPT1" s="1082"/>
      <c r="MPU1" s="1082"/>
      <c r="MPV1" s="1082"/>
      <c r="MPW1" s="1082"/>
      <c r="MPX1" s="1082"/>
      <c r="MPY1" s="1082"/>
      <c r="MPZ1" s="1082"/>
      <c r="MQA1" s="1082"/>
      <c r="MQB1" s="1082"/>
      <c r="MQC1" s="1082"/>
      <c r="MQD1" s="1082"/>
      <c r="MQE1" s="1082"/>
      <c r="MQF1" s="1082"/>
      <c r="MQG1" s="1082"/>
      <c r="MQH1" s="1082"/>
      <c r="MQI1" s="1082"/>
      <c r="MQJ1" s="1082"/>
      <c r="MQK1" s="1082"/>
      <c r="MQL1" s="1082"/>
      <c r="MQM1" s="1082"/>
      <c r="MQN1" s="1082"/>
      <c r="MQO1" s="1082"/>
      <c r="MQP1" s="1082"/>
      <c r="MQQ1" s="1082"/>
      <c r="MQR1" s="1082"/>
      <c r="MQS1" s="1082"/>
      <c r="MQT1" s="1082"/>
      <c r="MQU1" s="1082"/>
      <c r="MQV1" s="1082"/>
      <c r="MQW1" s="1082"/>
      <c r="MQX1" s="1082"/>
      <c r="MQY1" s="1082"/>
      <c r="MQZ1" s="1082"/>
      <c r="MRA1" s="1082"/>
      <c r="MRB1" s="1082"/>
      <c r="MRC1" s="1082"/>
      <c r="MRD1" s="1082"/>
      <c r="MRE1" s="1082"/>
      <c r="MRF1" s="1082"/>
      <c r="MRG1" s="1082"/>
      <c r="MRH1" s="1082"/>
      <c r="MRI1" s="1082"/>
      <c r="MRJ1" s="1082"/>
      <c r="MRK1" s="1082"/>
      <c r="MRL1" s="1082"/>
      <c r="MRM1" s="1082"/>
      <c r="MRN1" s="1082"/>
      <c r="MRO1" s="1082"/>
      <c r="MRP1" s="1082"/>
      <c r="MRQ1" s="1082"/>
      <c r="MRR1" s="1082"/>
      <c r="MRS1" s="1082"/>
      <c r="MRT1" s="1082"/>
      <c r="MRU1" s="1082"/>
      <c r="MRV1" s="1082"/>
      <c r="MRW1" s="1082"/>
      <c r="MRX1" s="1082"/>
      <c r="MRY1" s="1082"/>
      <c r="MRZ1" s="1082"/>
      <c r="MSA1" s="1082"/>
      <c r="MSB1" s="1082"/>
      <c r="MSC1" s="1082"/>
      <c r="MSD1" s="1082"/>
      <c r="MSE1" s="1082"/>
      <c r="MSF1" s="1082"/>
      <c r="MSG1" s="1082"/>
      <c r="MSH1" s="1082"/>
      <c r="MSI1" s="1082"/>
      <c r="MSJ1" s="1082"/>
      <c r="MSK1" s="1082"/>
      <c r="MSL1" s="1082"/>
      <c r="MSM1" s="1082"/>
      <c r="MSN1" s="1082"/>
      <c r="MSO1" s="1082"/>
      <c r="MSP1" s="1082"/>
      <c r="MSQ1" s="1082"/>
      <c r="MSR1" s="1082"/>
      <c r="MSS1" s="1082"/>
      <c r="MST1" s="1082"/>
      <c r="MSU1" s="1082"/>
      <c r="MSV1" s="1082"/>
      <c r="MSW1" s="1082"/>
      <c r="MSX1" s="1082"/>
      <c r="MSY1" s="1082"/>
      <c r="MSZ1" s="1082"/>
      <c r="MTA1" s="1082"/>
      <c r="MTB1" s="1082"/>
      <c r="MTC1" s="1082"/>
      <c r="MTD1" s="1082"/>
      <c r="MTE1" s="1082"/>
      <c r="MTF1" s="1082"/>
      <c r="MTG1" s="1082"/>
      <c r="MTH1" s="1082"/>
      <c r="MTI1" s="1082"/>
      <c r="MTJ1" s="1082"/>
      <c r="MTK1" s="1082"/>
      <c r="MTL1" s="1082"/>
      <c r="MTM1" s="1082"/>
      <c r="MTN1" s="1082"/>
      <c r="MTO1" s="1082"/>
      <c r="MTP1" s="1082"/>
      <c r="MTQ1" s="1082"/>
      <c r="MTR1" s="1082"/>
      <c r="MTS1" s="1082"/>
      <c r="MTT1" s="1082"/>
      <c r="MTU1" s="1082"/>
      <c r="MTV1" s="1082"/>
      <c r="MTW1" s="1082"/>
      <c r="MTX1" s="1082"/>
      <c r="MTY1" s="1082"/>
      <c r="MTZ1" s="1082"/>
      <c r="MUA1" s="1082"/>
      <c r="MUB1" s="1082"/>
      <c r="MUC1" s="1082"/>
      <c r="MUD1" s="1082"/>
      <c r="MUE1" s="1082"/>
      <c r="MUF1" s="1082"/>
      <c r="MUG1" s="1082"/>
      <c r="MUH1" s="1082"/>
      <c r="MUI1" s="1082"/>
      <c r="MUJ1" s="1082"/>
      <c r="MUK1" s="1082"/>
      <c r="MUL1" s="1082"/>
      <c r="MUM1" s="1082"/>
      <c r="MUN1" s="1082"/>
      <c r="MUO1" s="1082"/>
      <c r="MUP1" s="1082"/>
      <c r="MUQ1" s="1082"/>
      <c r="MUR1" s="1082"/>
      <c r="MUS1" s="1082"/>
      <c r="MUT1" s="1082"/>
      <c r="MUU1" s="1082"/>
      <c r="MUV1" s="1082"/>
      <c r="MUW1" s="1082"/>
      <c r="MUX1" s="1082"/>
      <c r="MUY1" s="1082"/>
      <c r="MUZ1" s="1082"/>
      <c r="MVA1" s="1082"/>
      <c r="MVB1" s="1082"/>
      <c r="MVC1" s="1082"/>
      <c r="MVD1" s="1082"/>
      <c r="MVE1" s="1082"/>
      <c r="MVF1" s="1082"/>
      <c r="MVG1" s="1082"/>
      <c r="MVH1" s="1082"/>
      <c r="MVI1" s="1082"/>
      <c r="MVJ1" s="1082"/>
      <c r="MVK1" s="1082"/>
      <c r="MVL1" s="1082"/>
      <c r="MVM1" s="1082"/>
      <c r="MVN1" s="1082"/>
      <c r="MVO1" s="1082"/>
      <c r="MVP1" s="1082"/>
      <c r="MVQ1" s="1082"/>
      <c r="MVR1" s="1082"/>
      <c r="MVS1" s="1082"/>
      <c r="MVT1" s="1082"/>
      <c r="MVU1" s="1082"/>
      <c r="MVV1" s="1082"/>
      <c r="MVW1" s="1082"/>
      <c r="MVX1" s="1082"/>
      <c r="MVY1" s="1082"/>
      <c r="MVZ1" s="1082"/>
      <c r="MWA1" s="1082"/>
      <c r="MWB1" s="1082"/>
      <c r="MWC1" s="1082"/>
      <c r="MWD1" s="1082"/>
      <c r="MWE1" s="1082"/>
      <c r="MWF1" s="1082"/>
      <c r="MWG1" s="1082"/>
      <c r="MWH1" s="1082"/>
      <c r="MWI1" s="1082"/>
      <c r="MWJ1" s="1082"/>
      <c r="MWK1" s="1082"/>
      <c r="MWL1" s="1082"/>
      <c r="MWM1" s="1082"/>
      <c r="MWN1" s="1082"/>
      <c r="MWO1" s="1082"/>
      <c r="MWP1" s="1082"/>
      <c r="MWQ1" s="1082"/>
      <c r="MWR1" s="1082"/>
      <c r="MWS1" s="1082"/>
      <c r="MWT1" s="1082"/>
      <c r="MWU1" s="1082"/>
      <c r="MWV1" s="1082"/>
      <c r="MWW1" s="1082"/>
      <c r="MWX1" s="1082"/>
      <c r="MWY1" s="1082"/>
      <c r="MWZ1" s="1082"/>
      <c r="MXA1" s="1082"/>
      <c r="MXB1" s="1082"/>
      <c r="MXC1" s="1082"/>
      <c r="MXD1" s="1082"/>
      <c r="MXE1" s="1082"/>
      <c r="MXF1" s="1082"/>
      <c r="MXG1" s="1082"/>
      <c r="MXH1" s="1082"/>
      <c r="MXI1" s="1082"/>
      <c r="MXJ1" s="1082"/>
      <c r="MXK1" s="1082"/>
      <c r="MXL1" s="1082"/>
      <c r="MXM1" s="1082"/>
      <c r="MXN1" s="1082"/>
      <c r="MXO1" s="1082"/>
      <c r="MXP1" s="1082"/>
      <c r="MXQ1" s="1082"/>
      <c r="MXR1" s="1082"/>
      <c r="MXS1" s="1082"/>
      <c r="MXT1" s="1082"/>
      <c r="MXU1" s="1082"/>
      <c r="MXV1" s="1082"/>
      <c r="MXW1" s="1082"/>
      <c r="MXX1" s="1082"/>
      <c r="MXY1" s="1082"/>
      <c r="MXZ1" s="1082"/>
      <c r="MYA1" s="1082"/>
      <c r="MYB1" s="1082"/>
      <c r="MYC1" s="1082"/>
      <c r="MYD1" s="1082"/>
      <c r="MYE1" s="1082"/>
      <c r="MYF1" s="1082"/>
      <c r="MYG1" s="1082"/>
      <c r="MYH1" s="1082"/>
      <c r="MYI1" s="1082"/>
      <c r="MYJ1" s="1082"/>
      <c r="MYK1" s="1082"/>
      <c r="MYL1" s="1082"/>
      <c r="MYM1" s="1082"/>
      <c r="MYN1" s="1082"/>
      <c r="MYO1" s="1082"/>
      <c r="MYP1" s="1082"/>
      <c r="MYQ1" s="1082"/>
      <c r="MYR1" s="1082"/>
      <c r="MYS1" s="1082"/>
      <c r="MYT1" s="1082"/>
      <c r="MYU1" s="1082"/>
      <c r="MYV1" s="1082"/>
      <c r="MYW1" s="1082"/>
      <c r="MYX1" s="1082"/>
      <c r="MYY1" s="1082"/>
      <c r="MYZ1" s="1082"/>
      <c r="MZA1" s="1082"/>
      <c r="MZB1" s="1082"/>
      <c r="MZC1" s="1082"/>
      <c r="MZD1" s="1082"/>
      <c r="MZE1" s="1082"/>
      <c r="MZF1" s="1082"/>
      <c r="MZG1" s="1082"/>
      <c r="MZH1" s="1082"/>
      <c r="MZI1" s="1082"/>
      <c r="MZJ1" s="1082"/>
      <c r="MZK1" s="1082"/>
      <c r="MZL1" s="1082"/>
      <c r="MZM1" s="1082"/>
      <c r="MZN1" s="1082"/>
      <c r="MZO1" s="1082"/>
      <c r="MZP1" s="1082"/>
      <c r="MZQ1" s="1082"/>
      <c r="MZR1" s="1082"/>
      <c r="MZS1" s="1082"/>
      <c r="MZT1" s="1082"/>
      <c r="MZU1" s="1082"/>
      <c r="MZV1" s="1082"/>
      <c r="MZW1" s="1082"/>
      <c r="MZX1" s="1082"/>
      <c r="MZY1" s="1082"/>
      <c r="MZZ1" s="1082"/>
      <c r="NAA1" s="1082"/>
      <c r="NAB1" s="1082"/>
      <c r="NAC1" s="1082"/>
      <c r="NAD1" s="1082"/>
      <c r="NAE1" s="1082"/>
      <c r="NAF1" s="1082"/>
      <c r="NAG1" s="1082"/>
      <c r="NAH1" s="1082"/>
      <c r="NAI1" s="1082"/>
      <c r="NAJ1" s="1082"/>
      <c r="NAK1" s="1082"/>
      <c r="NAL1" s="1082"/>
      <c r="NAM1" s="1082"/>
      <c r="NAN1" s="1082"/>
      <c r="NAO1" s="1082"/>
      <c r="NAP1" s="1082"/>
      <c r="NAQ1" s="1082"/>
      <c r="NAR1" s="1082"/>
      <c r="NAS1" s="1082"/>
      <c r="NAT1" s="1082"/>
      <c r="NAU1" s="1082"/>
      <c r="NAV1" s="1082"/>
      <c r="NAW1" s="1082"/>
      <c r="NAX1" s="1082"/>
      <c r="NAY1" s="1082"/>
      <c r="NAZ1" s="1082"/>
      <c r="NBA1" s="1082"/>
      <c r="NBB1" s="1082"/>
      <c r="NBC1" s="1082"/>
      <c r="NBD1" s="1082"/>
      <c r="NBE1" s="1082"/>
      <c r="NBF1" s="1082"/>
      <c r="NBG1" s="1082"/>
      <c r="NBH1" s="1082"/>
      <c r="NBI1" s="1082"/>
      <c r="NBJ1" s="1082"/>
      <c r="NBK1" s="1082"/>
      <c r="NBL1" s="1082"/>
      <c r="NBM1" s="1082"/>
      <c r="NBN1" s="1082"/>
      <c r="NBO1" s="1082"/>
      <c r="NBP1" s="1082"/>
      <c r="NBQ1" s="1082"/>
      <c r="NBR1" s="1082"/>
      <c r="NBS1" s="1082"/>
      <c r="NBT1" s="1082"/>
      <c r="NBU1" s="1082"/>
      <c r="NBV1" s="1082"/>
      <c r="NBW1" s="1082"/>
      <c r="NBX1" s="1082"/>
      <c r="NBY1" s="1082"/>
      <c r="NBZ1" s="1082"/>
      <c r="NCA1" s="1082"/>
      <c r="NCB1" s="1082"/>
      <c r="NCC1" s="1082"/>
      <c r="NCD1" s="1082"/>
      <c r="NCE1" s="1082"/>
      <c r="NCF1" s="1082"/>
      <c r="NCG1" s="1082"/>
      <c r="NCH1" s="1082"/>
      <c r="NCI1" s="1082"/>
      <c r="NCJ1" s="1082"/>
      <c r="NCK1" s="1082"/>
      <c r="NCL1" s="1082"/>
      <c r="NCM1" s="1082"/>
      <c r="NCN1" s="1082"/>
      <c r="NCO1" s="1082"/>
      <c r="NCP1" s="1082"/>
      <c r="NCQ1" s="1082"/>
      <c r="NCR1" s="1082"/>
      <c r="NCS1" s="1082"/>
      <c r="NCT1" s="1082"/>
      <c r="NCU1" s="1082"/>
      <c r="NCV1" s="1082"/>
      <c r="NCW1" s="1082"/>
      <c r="NCX1" s="1082"/>
      <c r="NCY1" s="1082"/>
      <c r="NCZ1" s="1082"/>
      <c r="NDA1" s="1082"/>
      <c r="NDB1" s="1082"/>
      <c r="NDC1" s="1082"/>
      <c r="NDD1" s="1082"/>
      <c r="NDE1" s="1082"/>
      <c r="NDF1" s="1082"/>
      <c r="NDG1" s="1082"/>
      <c r="NDH1" s="1082"/>
      <c r="NDI1" s="1082"/>
      <c r="NDJ1" s="1082"/>
      <c r="NDK1" s="1082"/>
      <c r="NDL1" s="1082"/>
      <c r="NDM1" s="1082"/>
      <c r="NDN1" s="1082"/>
      <c r="NDO1" s="1082"/>
      <c r="NDP1" s="1082"/>
      <c r="NDQ1" s="1082"/>
      <c r="NDR1" s="1082"/>
      <c r="NDS1" s="1082"/>
      <c r="NDT1" s="1082"/>
      <c r="NDU1" s="1082"/>
      <c r="NDV1" s="1082"/>
      <c r="NDW1" s="1082"/>
      <c r="NDX1" s="1082"/>
      <c r="NDY1" s="1082"/>
      <c r="NDZ1" s="1082"/>
      <c r="NEA1" s="1082"/>
      <c r="NEB1" s="1082"/>
      <c r="NEC1" s="1082"/>
      <c r="NED1" s="1082"/>
      <c r="NEE1" s="1082"/>
      <c r="NEF1" s="1082"/>
      <c r="NEG1" s="1082"/>
      <c r="NEH1" s="1082"/>
      <c r="NEI1" s="1082"/>
      <c r="NEJ1" s="1082"/>
      <c r="NEK1" s="1082"/>
      <c r="NEL1" s="1082"/>
      <c r="NEM1" s="1082"/>
      <c r="NEN1" s="1082"/>
      <c r="NEO1" s="1082"/>
      <c r="NEP1" s="1082"/>
      <c r="NEQ1" s="1082"/>
      <c r="NER1" s="1082"/>
      <c r="NES1" s="1082"/>
      <c r="NET1" s="1082"/>
      <c r="NEU1" s="1082"/>
      <c r="NEV1" s="1082"/>
      <c r="NEW1" s="1082"/>
      <c r="NEX1" s="1082"/>
      <c r="NEY1" s="1082"/>
      <c r="NEZ1" s="1082"/>
      <c r="NFA1" s="1082"/>
      <c r="NFB1" s="1082"/>
      <c r="NFC1" s="1082"/>
      <c r="NFD1" s="1082"/>
      <c r="NFE1" s="1082"/>
      <c r="NFF1" s="1082"/>
      <c r="NFG1" s="1082"/>
      <c r="NFH1" s="1082"/>
      <c r="NFI1" s="1082"/>
      <c r="NFJ1" s="1082"/>
      <c r="NFK1" s="1082"/>
      <c r="NFL1" s="1082"/>
      <c r="NFM1" s="1082"/>
      <c r="NFN1" s="1082"/>
      <c r="NFO1" s="1082"/>
      <c r="NFP1" s="1082"/>
      <c r="NFQ1" s="1082"/>
      <c r="NFR1" s="1082"/>
      <c r="NFS1" s="1082"/>
      <c r="NFT1" s="1082"/>
      <c r="NFU1" s="1082"/>
      <c r="NFV1" s="1082"/>
      <c r="NFW1" s="1082"/>
      <c r="NFX1" s="1082"/>
      <c r="NFY1" s="1082"/>
      <c r="NFZ1" s="1082"/>
      <c r="NGA1" s="1082"/>
      <c r="NGB1" s="1082"/>
      <c r="NGC1" s="1082"/>
      <c r="NGD1" s="1082"/>
      <c r="NGE1" s="1082"/>
      <c r="NGF1" s="1082"/>
      <c r="NGG1" s="1082"/>
      <c r="NGH1" s="1082"/>
      <c r="NGI1" s="1082"/>
      <c r="NGJ1" s="1082"/>
      <c r="NGK1" s="1082"/>
      <c r="NGL1" s="1082"/>
      <c r="NGM1" s="1082"/>
      <c r="NGN1" s="1082"/>
      <c r="NGO1" s="1082"/>
      <c r="NGP1" s="1082"/>
      <c r="NGQ1" s="1082"/>
      <c r="NGR1" s="1082"/>
      <c r="NGS1" s="1082"/>
      <c r="NGT1" s="1082"/>
      <c r="NGU1" s="1082"/>
      <c r="NGV1" s="1082"/>
      <c r="NGW1" s="1082"/>
      <c r="NGX1" s="1082"/>
      <c r="NGY1" s="1082"/>
      <c r="NGZ1" s="1082"/>
      <c r="NHA1" s="1082"/>
      <c r="NHB1" s="1082"/>
      <c r="NHC1" s="1082"/>
      <c r="NHD1" s="1082"/>
      <c r="NHE1" s="1082"/>
      <c r="NHF1" s="1082"/>
      <c r="NHG1" s="1082"/>
      <c r="NHH1" s="1082"/>
      <c r="NHI1" s="1082"/>
      <c r="NHJ1" s="1082"/>
      <c r="NHK1" s="1082"/>
      <c r="NHL1" s="1082"/>
      <c r="NHM1" s="1082"/>
      <c r="NHN1" s="1082"/>
      <c r="NHO1" s="1082"/>
      <c r="NHP1" s="1082"/>
      <c r="NHQ1" s="1082"/>
      <c r="NHR1" s="1082"/>
      <c r="NHS1" s="1082"/>
      <c r="NHT1" s="1082"/>
      <c r="NHU1" s="1082"/>
      <c r="NHV1" s="1082"/>
      <c r="NHW1" s="1082"/>
      <c r="NHX1" s="1082"/>
      <c r="NHY1" s="1082"/>
      <c r="NHZ1" s="1082"/>
      <c r="NIA1" s="1082"/>
      <c r="NIB1" s="1082"/>
      <c r="NIC1" s="1082"/>
      <c r="NID1" s="1082"/>
      <c r="NIE1" s="1082"/>
      <c r="NIF1" s="1082"/>
      <c r="NIG1" s="1082"/>
      <c r="NIH1" s="1082"/>
      <c r="NII1" s="1082"/>
      <c r="NIJ1" s="1082"/>
      <c r="NIK1" s="1082"/>
      <c r="NIL1" s="1082"/>
      <c r="NIM1" s="1082"/>
      <c r="NIN1" s="1082"/>
      <c r="NIO1" s="1082"/>
      <c r="NIP1" s="1082"/>
      <c r="NIQ1" s="1082"/>
      <c r="NIR1" s="1082"/>
      <c r="NIS1" s="1082"/>
      <c r="NIT1" s="1082"/>
      <c r="NIU1" s="1082"/>
      <c r="NIV1" s="1082"/>
      <c r="NIW1" s="1082"/>
      <c r="NIX1" s="1082"/>
      <c r="NIY1" s="1082"/>
      <c r="NIZ1" s="1082"/>
      <c r="NJA1" s="1082"/>
      <c r="NJB1" s="1082"/>
      <c r="NJC1" s="1082"/>
      <c r="NJD1" s="1082"/>
      <c r="NJE1" s="1082"/>
      <c r="NJF1" s="1082"/>
      <c r="NJG1" s="1082"/>
      <c r="NJH1" s="1082"/>
      <c r="NJI1" s="1082"/>
      <c r="NJJ1" s="1082"/>
      <c r="NJK1" s="1082"/>
      <c r="NJL1" s="1082"/>
      <c r="NJM1" s="1082"/>
      <c r="NJN1" s="1082"/>
      <c r="NJO1" s="1082"/>
      <c r="NJP1" s="1082"/>
      <c r="NJQ1" s="1082"/>
      <c r="NJR1" s="1082"/>
      <c r="NJS1" s="1082"/>
      <c r="NJT1" s="1082"/>
      <c r="NJU1" s="1082"/>
      <c r="NJV1" s="1082"/>
      <c r="NJW1" s="1082"/>
      <c r="NJX1" s="1082"/>
      <c r="NJY1" s="1082"/>
      <c r="NJZ1" s="1082"/>
      <c r="NKA1" s="1082"/>
      <c r="NKB1" s="1082"/>
      <c r="NKC1" s="1082"/>
      <c r="NKD1" s="1082"/>
      <c r="NKE1" s="1082"/>
      <c r="NKF1" s="1082"/>
      <c r="NKG1" s="1082"/>
      <c r="NKH1" s="1082"/>
      <c r="NKI1" s="1082"/>
      <c r="NKJ1" s="1082"/>
      <c r="NKK1" s="1082"/>
      <c r="NKL1" s="1082"/>
      <c r="NKM1" s="1082"/>
      <c r="NKN1" s="1082"/>
      <c r="NKO1" s="1082"/>
      <c r="NKP1" s="1082"/>
      <c r="NKQ1" s="1082"/>
      <c r="NKR1" s="1082"/>
      <c r="NKS1" s="1082"/>
      <c r="NKT1" s="1082"/>
      <c r="NKU1" s="1082"/>
      <c r="NKV1" s="1082"/>
      <c r="NKW1" s="1082"/>
      <c r="NKX1" s="1082"/>
      <c r="NKY1" s="1082"/>
      <c r="NKZ1" s="1082"/>
      <c r="NLA1" s="1082"/>
      <c r="NLB1" s="1082"/>
      <c r="NLC1" s="1082"/>
      <c r="NLD1" s="1082"/>
      <c r="NLE1" s="1082"/>
      <c r="NLF1" s="1082"/>
      <c r="NLG1" s="1082"/>
      <c r="NLH1" s="1082"/>
      <c r="NLI1" s="1082"/>
      <c r="NLJ1" s="1082"/>
      <c r="NLK1" s="1082"/>
      <c r="NLL1" s="1082"/>
      <c r="NLM1" s="1082"/>
      <c r="NLN1" s="1082"/>
      <c r="NLO1" s="1082"/>
      <c r="NLP1" s="1082"/>
      <c r="NLQ1" s="1082"/>
      <c r="NLR1" s="1082"/>
      <c r="NLS1" s="1082"/>
      <c r="NLT1" s="1082"/>
      <c r="NLU1" s="1082"/>
      <c r="NLV1" s="1082"/>
      <c r="NLW1" s="1082"/>
      <c r="NLX1" s="1082"/>
      <c r="NLY1" s="1082"/>
      <c r="NLZ1" s="1082"/>
      <c r="NMA1" s="1082"/>
      <c r="NMB1" s="1082"/>
      <c r="NMC1" s="1082"/>
      <c r="NMD1" s="1082"/>
      <c r="NME1" s="1082"/>
      <c r="NMF1" s="1082"/>
      <c r="NMG1" s="1082"/>
      <c r="NMH1" s="1082"/>
      <c r="NMI1" s="1082"/>
      <c r="NMJ1" s="1082"/>
      <c r="NMK1" s="1082"/>
      <c r="NML1" s="1082"/>
      <c r="NMM1" s="1082"/>
      <c r="NMN1" s="1082"/>
      <c r="NMO1" s="1082"/>
      <c r="NMP1" s="1082"/>
      <c r="NMQ1" s="1082"/>
      <c r="NMR1" s="1082"/>
      <c r="NMS1" s="1082"/>
      <c r="NMT1" s="1082"/>
      <c r="NMU1" s="1082"/>
      <c r="NMV1" s="1082"/>
      <c r="NMW1" s="1082"/>
      <c r="NMX1" s="1082"/>
      <c r="NMY1" s="1082"/>
      <c r="NMZ1" s="1082"/>
      <c r="NNA1" s="1082"/>
      <c r="NNB1" s="1082"/>
      <c r="NNC1" s="1082"/>
      <c r="NND1" s="1082"/>
      <c r="NNE1" s="1082"/>
      <c r="NNF1" s="1082"/>
      <c r="NNG1" s="1082"/>
      <c r="NNH1" s="1082"/>
      <c r="NNI1" s="1082"/>
      <c r="NNJ1" s="1082"/>
      <c r="NNK1" s="1082"/>
      <c r="NNL1" s="1082"/>
      <c r="NNM1" s="1082"/>
      <c r="NNN1" s="1082"/>
      <c r="NNO1" s="1082"/>
      <c r="NNP1" s="1082"/>
      <c r="NNQ1" s="1082"/>
      <c r="NNR1" s="1082"/>
      <c r="NNS1" s="1082"/>
      <c r="NNT1" s="1082"/>
      <c r="NNU1" s="1082"/>
      <c r="NNV1" s="1082"/>
      <c r="NNW1" s="1082"/>
      <c r="NNX1" s="1082"/>
      <c r="NNY1" s="1082"/>
      <c r="NNZ1" s="1082"/>
      <c r="NOA1" s="1082"/>
      <c r="NOB1" s="1082"/>
      <c r="NOC1" s="1082"/>
      <c r="NOD1" s="1082"/>
      <c r="NOE1" s="1082"/>
      <c r="NOF1" s="1082"/>
      <c r="NOG1" s="1082"/>
      <c r="NOH1" s="1082"/>
      <c r="NOI1" s="1082"/>
      <c r="NOJ1" s="1082"/>
      <c r="NOK1" s="1082"/>
      <c r="NOL1" s="1082"/>
      <c r="NOM1" s="1082"/>
      <c r="NON1" s="1082"/>
      <c r="NOO1" s="1082"/>
      <c r="NOP1" s="1082"/>
      <c r="NOQ1" s="1082"/>
      <c r="NOR1" s="1082"/>
      <c r="NOS1" s="1082"/>
      <c r="NOT1" s="1082"/>
      <c r="NOU1" s="1082"/>
      <c r="NOV1" s="1082"/>
      <c r="NOW1" s="1082"/>
      <c r="NOX1" s="1082"/>
      <c r="NOY1" s="1082"/>
      <c r="NOZ1" s="1082"/>
      <c r="NPA1" s="1082"/>
      <c r="NPB1" s="1082"/>
      <c r="NPC1" s="1082"/>
      <c r="NPD1" s="1082"/>
      <c r="NPE1" s="1082"/>
      <c r="NPF1" s="1082"/>
      <c r="NPG1" s="1082"/>
      <c r="NPH1" s="1082"/>
      <c r="NPI1" s="1082"/>
      <c r="NPJ1" s="1082"/>
      <c r="NPK1" s="1082"/>
      <c r="NPL1" s="1082"/>
      <c r="NPM1" s="1082"/>
      <c r="NPN1" s="1082"/>
      <c r="NPO1" s="1082"/>
      <c r="NPP1" s="1082"/>
      <c r="NPQ1" s="1082"/>
      <c r="NPR1" s="1082"/>
      <c r="NPS1" s="1082"/>
      <c r="NPT1" s="1082"/>
      <c r="NPU1" s="1082"/>
      <c r="NPV1" s="1082"/>
      <c r="NPW1" s="1082"/>
      <c r="NPX1" s="1082"/>
      <c r="NPY1" s="1082"/>
      <c r="NPZ1" s="1082"/>
      <c r="NQA1" s="1082"/>
      <c r="NQB1" s="1082"/>
      <c r="NQC1" s="1082"/>
      <c r="NQD1" s="1082"/>
      <c r="NQE1" s="1082"/>
      <c r="NQF1" s="1082"/>
      <c r="NQG1" s="1082"/>
      <c r="NQH1" s="1082"/>
      <c r="NQI1" s="1082"/>
      <c r="NQJ1" s="1082"/>
      <c r="NQK1" s="1082"/>
      <c r="NQL1" s="1082"/>
      <c r="NQM1" s="1082"/>
      <c r="NQN1" s="1082"/>
      <c r="NQO1" s="1082"/>
      <c r="NQP1" s="1082"/>
      <c r="NQQ1" s="1082"/>
      <c r="NQR1" s="1082"/>
      <c r="NQS1" s="1082"/>
      <c r="NQT1" s="1082"/>
      <c r="NQU1" s="1082"/>
      <c r="NQV1" s="1082"/>
      <c r="NQW1" s="1082"/>
      <c r="NQX1" s="1082"/>
      <c r="NQY1" s="1082"/>
      <c r="NQZ1" s="1082"/>
      <c r="NRA1" s="1082"/>
      <c r="NRB1" s="1082"/>
      <c r="NRC1" s="1082"/>
      <c r="NRD1" s="1082"/>
      <c r="NRE1" s="1082"/>
      <c r="NRF1" s="1082"/>
      <c r="NRG1" s="1082"/>
      <c r="NRH1" s="1082"/>
      <c r="NRI1" s="1082"/>
      <c r="NRJ1" s="1082"/>
      <c r="NRK1" s="1082"/>
      <c r="NRL1" s="1082"/>
      <c r="NRM1" s="1082"/>
      <c r="NRN1" s="1082"/>
      <c r="NRO1" s="1082"/>
      <c r="NRP1" s="1082"/>
      <c r="NRQ1" s="1082"/>
      <c r="NRR1" s="1082"/>
      <c r="NRS1" s="1082"/>
      <c r="NRT1" s="1082"/>
      <c r="NRU1" s="1082"/>
      <c r="NRV1" s="1082"/>
      <c r="NRW1" s="1082"/>
      <c r="NRX1" s="1082"/>
      <c r="NRY1" s="1082"/>
      <c r="NRZ1" s="1082"/>
      <c r="NSA1" s="1082"/>
      <c r="NSB1" s="1082"/>
      <c r="NSC1" s="1082"/>
      <c r="NSD1" s="1082"/>
      <c r="NSE1" s="1082"/>
      <c r="NSF1" s="1082"/>
      <c r="NSG1" s="1082"/>
      <c r="NSH1" s="1082"/>
      <c r="NSI1" s="1082"/>
      <c r="NSJ1" s="1082"/>
      <c r="NSK1" s="1082"/>
      <c r="NSL1" s="1082"/>
      <c r="NSM1" s="1082"/>
      <c r="NSN1" s="1082"/>
      <c r="NSO1" s="1082"/>
      <c r="NSP1" s="1082"/>
      <c r="NSQ1" s="1082"/>
      <c r="NSR1" s="1082"/>
      <c r="NSS1" s="1082"/>
      <c r="NST1" s="1082"/>
      <c r="NSU1" s="1082"/>
      <c r="NSV1" s="1082"/>
      <c r="NSW1" s="1082"/>
      <c r="NSX1" s="1082"/>
      <c r="NSY1" s="1082"/>
      <c r="NSZ1" s="1082"/>
      <c r="NTA1" s="1082"/>
      <c r="NTB1" s="1082"/>
      <c r="NTC1" s="1082"/>
      <c r="NTD1" s="1082"/>
      <c r="NTE1" s="1082"/>
      <c r="NTF1" s="1082"/>
      <c r="NTG1" s="1082"/>
      <c r="NTH1" s="1082"/>
      <c r="NTI1" s="1082"/>
      <c r="NTJ1" s="1082"/>
      <c r="NTK1" s="1082"/>
      <c r="NTL1" s="1082"/>
      <c r="NTM1" s="1082"/>
      <c r="NTN1" s="1082"/>
      <c r="NTO1" s="1082"/>
      <c r="NTP1" s="1082"/>
      <c r="NTQ1" s="1082"/>
      <c r="NTR1" s="1082"/>
      <c r="NTS1" s="1082"/>
      <c r="NTT1" s="1082"/>
      <c r="NTU1" s="1082"/>
      <c r="NTV1" s="1082"/>
      <c r="NTW1" s="1082"/>
      <c r="NTX1" s="1082"/>
      <c r="NTY1" s="1082"/>
      <c r="NTZ1" s="1082"/>
      <c r="NUA1" s="1082"/>
      <c r="NUB1" s="1082"/>
      <c r="NUC1" s="1082"/>
      <c r="NUD1" s="1082"/>
      <c r="NUE1" s="1082"/>
      <c r="NUF1" s="1082"/>
      <c r="NUG1" s="1082"/>
      <c r="NUH1" s="1082"/>
      <c r="NUI1" s="1082"/>
      <c r="NUJ1" s="1082"/>
      <c r="NUK1" s="1082"/>
      <c r="NUL1" s="1082"/>
      <c r="NUM1" s="1082"/>
      <c r="NUN1" s="1082"/>
      <c r="NUO1" s="1082"/>
      <c r="NUP1" s="1082"/>
      <c r="NUQ1" s="1082"/>
      <c r="NUR1" s="1082"/>
      <c r="NUS1" s="1082"/>
      <c r="NUT1" s="1082"/>
      <c r="NUU1" s="1082"/>
      <c r="NUV1" s="1082"/>
      <c r="NUW1" s="1082"/>
      <c r="NUX1" s="1082"/>
      <c r="NUY1" s="1082"/>
      <c r="NUZ1" s="1082"/>
      <c r="NVA1" s="1082"/>
      <c r="NVB1" s="1082"/>
      <c r="NVC1" s="1082"/>
      <c r="NVD1" s="1082"/>
      <c r="NVE1" s="1082"/>
      <c r="NVF1" s="1082"/>
      <c r="NVG1" s="1082"/>
      <c r="NVH1" s="1082"/>
      <c r="NVI1" s="1082"/>
      <c r="NVJ1" s="1082"/>
      <c r="NVK1" s="1082"/>
      <c r="NVL1" s="1082"/>
      <c r="NVM1" s="1082"/>
      <c r="NVN1" s="1082"/>
      <c r="NVO1" s="1082"/>
      <c r="NVP1" s="1082"/>
      <c r="NVQ1" s="1082"/>
      <c r="NVR1" s="1082"/>
      <c r="NVS1" s="1082"/>
      <c r="NVT1" s="1082"/>
      <c r="NVU1" s="1082"/>
      <c r="NVV1" s="1082"/>
      <c r="NVW1" s="1082"/>
      <c r="NVX1" s="1082"/>
      <c r="NVY1" s="1082"/>
      <c r="NVZ1" s="1082"/>
      <c r="NWA1" s="1082"/>
      <c r="NWB1" s="1082"/>
      <c r="NWC1" s="1082"/>
      <c r="NWD1" s="1082"/>
      <c r="NWE1" s="1082"/>
      <c r="NWF1" s="1082"/>
      <c r="NWG1" s="1082"/>
      <c r="NWH1" s="1082"/>
      <c r="NWI1" s="1082"/>
      <c r="NWJ1" s="1082"/>
      <c r="NWK1" s="1082"/>
      <c r="NWL1" s="1082"/>
      <c r="NWM1" s="1082"/>
      <c r="NWN1" s="1082"/>
      <c r="NWO1" s="1082"/>
      <c r="NWP1" s="1082"/>
      <c r="NWQ1" s="1082"/>
      <c r="NWR1" s="1082"/>
      <c r="NWS1" s="1082"/>
      <c r="NWT1" s="1082"/>
      <c r="NWU1" s="1082"/>
      <c r="NWV1" s="1082"/>
      <c r="NWW1" s="1082"/>
      <c r="NWX1" s="1082"/>
      <c r="NWY1" s="1082"/>
      <c r="NWZ1" s="1082"/>
      <c r="NXA1" s="1082"/>
      <c r="NXB1" s="1082"/>
      <c r="NXC1" s="1082"/>
      <c r="NXD1" s="1082"/>
      <c r="NXE1" s="1082"/>
      <c r="NXF1" s="1082"/>
      <c r="NXG1" s="1082"/>
      <c r="NXH1" s="1082"/>
      <c r="NXI1" s="1082"/>
      <c r="NXJ1" s="1082"/>
      <c r="NXK1" s="1082"/>
      <c r="NXL1" s="1082"/>
      <c r="NXM1" s="1082"/>
      <c r="NXN1" s="1082"/>
      <c r="NXO1" s="1082"/>
      <c r="NXP1" s="1082"/>
      <c r="NXQ1" s="1082"/>
      <c r="NXR1" s="1082"/>
      <c r="NXS1" s="1082"/>
      <c r="NXT1" s="1082"/>
      <c r="NXU1" s="1082"/>
      <c r="NXV1" s="1082"/>
      <c r="NXW1" s="1082"/>
      <c r="NXX1" s="1082"/>
      <c r="NXY1" s="1082"/>
      <c r="NXZ1" s="1082"/>
      <c r="NYA1" s="1082"/>
      <c r="NYB1" s="1082"/>
      <c r="NYC1" s="1082"/>
      <c r="NYD1" s="1082"/>
      <c r="NYE1" s="1082"/>
      <c r="NYF1" s="1082"/>
      <c r="NYG1" s="1082"/>
      <c r="NYH1" s="1082"/>
      <c r="NYI1" s="1082"/>
      <c r="NYJ1" s="1082"/>
      <c r="NYK1" s="1082"/>
      <c r="NYL1" s="1082"/>
      <c r="NYM1" s="1082"/>
      <c r="NYN1" s="1082"/>
      <c r="NYO1" s="1082"/>
      <c r="NYP1" s="1082"/>
      <c r="NYQ1" s="1082"/>
      <c r="NYR1" s="1082"/>
      <c r="NYS1" s="1082"/>
      <c r="NYT1" s="1082"/>
      <c r="NYU1" s="1082"/>
      <c r="NYV1" s="1082"/>
      <c r="NYW1" s="1082"/>
      <c r="NYX1" s="1082"/>
      <c r="NYY1" s="1082"/>
      <c r="NYZ1" s="1082"/>
      <c r="NZA1" s="1082"/>
      <c r="NZB1" s="1082"/>
      <c r="NZC1" s="1082"/>
      <c r="NZD1" s="1082"/>
      <c r="NZE1" s="1082"/>
      <c r="NZF1" s="1082"/>
      <c r="NZG1" s="1082"/>
      <c r="NZH1" s="1082"/>
      <c r="NZI1" s="1082"/>
      <c r="NZJ1" s="1082"/>
      <c r="NZK1" s="1082"/>
      <c r="NZL1" s="1082"/>
      <c r="NZM1" s="1082"/>
      <c r="NZN1" s="1082"/>
      <c r="NZO1" s="1082"/>
      <c r="NZP1" s="1082"/>
      <c r="NZQ1" s="1082"/>
      <c r="NZR1" s="1082"/>
      <c r="NZS1" s="1082"/>
      <c r="NZT1" s="1082"/>
      <c r="NZU1" s="1082"/>
      <c r="NZV1" s="1082"/>
      <c r="NZW1" s="1082"/>
      <c r="NZX1" s="1082"/>
      <c r="NZY1" s="1082"/>
      <c r="NZZ1" s="1082"/>
      <c r="OAA1" s="1082"/>
      <c r="OAB1" s="1082"/>
      <c r="OAC1" s="1082"/>
      <c r="OAD1" s="1082"/>
      <c r="OAE1" s="1082"/>
      <c r="OAF1" s="1082"/>
      <c r="OAG1" s="1082"/>
      <c r="OAH1" s="1082"/>
      <c r="OAI1" s="1082"/>
      <c r="OAJ1" s="1082"/>
      <c r="OAK1" s="1082"/>
      <c r="OAL1" s="1082"/>
      <c r="OAM1" s="1082"/>
      <c r="OAN1" s="1082"/>
      <c r="OAO1" s="1082"/>
      <c r="OAP1" s="1082"/>
      <c r="OAQ1" s="1082"/>
      <c r="OAR1" s="1082"/>
      <c r="OAS1" s="1082"/>
      <c r="OAT1" s="1082"/>
      <c r="OAU1" s="1082"/>
      <c r="OAV1" s="1082"/>
      <c r="OAW1" s="1082"/>
      <c r="OAX1" s="1082"/>
      <c r="OAY1" s="1082"/>
      <c r="OAZ1" s="1082"/>
      <c r="OBA1" s="1082"/>
      <c r="OBB1" s="1082"/>
      <c r="OBC1" s="1082"/>
      <c r="OBD1" s="1082"/>
      <c r="OBE1" s="1082"/>
      <c r="OBF1" s="1082"/>
      <c r="OBG1" s="1082"/>
      <c r="OBH1" s="1082"/>
      <c r="OBI1" s="1082"/>
      <c r="OBJ1" s="1082"/>
      <c r="OBK1" s="1082"/>
      <c r="OBL1" s="1082"/>
      <c r="OBM1" s="1082"/>
      <c r="OBN1" s="1082"/>
      <c r="OBO1" s="1082"/>
      <c r="OBP1" s="1082"/>
      <c r="OBQ1" s="1082"/>
      <c r="OBR1" s="1082"/>
      <c r="OBS1" s="1082"/>
      <c r="OBT1" s="1082"/>
      <c r="OBU1" s="1082"/>
      <c r="OBV1" s="1082"/>
      <c r="OBW1" s="1082"/>
      <c r="OBX1" s="1082"/>
      <c r="OBY1" s="1082"/>
      <c r="OBZ1" s="1082"/>
      <c r="OCA1" s="1082"/>
      <c r="OCB1" s="1082"/>
      <c r="OCC1" s="1082"/>
      <c r="OCD1" s="1082"/>
      <c r="OCE1" s="1082"/>
      <c r="OCF1" s="1082"/>
      <c r="OCG1" s="1082"/>
      <c r="OCH1" s="1082"/>
      <c r="OCI1" s="1082"/>
      <c r="OCJ1" s="1082"/>
      <c r="OCK1" s="1082"/>
      <c r="OCL1" s="1082"/>
      <c r="OCM1" s="1082"/>
      <c r="OCN1" s="1082"/>
      <c r="OCO1" s="1082"/>
      <c r="OCP1" s="1082"/>
      <c r="OCQ1" s="1082"/>
      <c r="OCR1" s="1082"/>
      <c r="OCS1" s="1082"/>
      <c r="OCT1" s="1082"/>
      <c r="OCU1" s="1082"/>
      <c r="OCV1" s="1082"/>
      <c r="OCW1" s="1082"/>
      <c r="OCX1" s="1082"/>
      <c r="OCY1" s="1082"/>
      <c r="OCZ1" s="1082"/>
      <c r="ODA1" s="1082"/>
      <c r="ODB1" s="1082"/>
      <c r="ODC1" s="1082"/>
      <c r="ODD1" s="1082"/>
      <c r="ODE1" s="1082"/>
      <c r="ODF1" s="1082"/>
      <c r="ODG1" s="1082"/>
      <c r="ODH1" s="1082"/>
      <c r="ODI1" s="1082"/>
      <c r="ODJ1" s="1082"/>
      <c r="ODK1" s="1082"/>
      <c r="ODL1" s="1082"/>
      <c r="ODM1" s="1082"/>
      <c r="ODN1" s="1082"/>
      <c r="ODO1" s="1082"/>
      <c r="ODP1" s="1082"/>
      <c r="ODQ1" s="1082"/>
      <c r="ODR1" s="1082"/>
      <c r="ODS1" s="1082"/>
      <c r="ODT1" s="1082"/>
      <c r="ODU1" s="1082"/>
      <c r="ODV1" s="1082"/>
      <c r="ODW1" s="1082"/>
      <c r="ODX1" s="1082"/>
      <c r="ODY1" s="1082"/>
      <c r="ODZ1" s="1082"/>
      <c r="OEA1" s="1082"/>
      <c r="OEB1" s="1082"/>
      <c r="OEC1" s="1082"/>
      <c r="OED1" s="1082"/>
      <c r="OEE1" s="1082"/>
      <c r="OEF1" s="1082"/>
      <c r="OEG1" s="1082"/>
      <c r="OEH1" s="1082"/>
      <c r="OEI1" s="1082"/>
      <c r="OEJ1" s="1082"/>
      <c r="OEK1" s="1082"/>
      <c r="OEL1" s="1082"/>
      <c r="OEM1" s="1082"/>
      <c r="OEN1" s="1082"/>
      <c r="OEO1" s="1082"/>
      <c r="OEP1" s="1082"/>
      <c r="OEQ1" s="1082"/>
      <c r="OER1" s="1082"/>
      <c r="OES1" s="1082"/>
      <c r="OET1" s="1082"/>
      <c r="OEU1" s="1082"/>
      <c r="OEV1" s="1082"/>
      <c r="OEW1" s="1082"/>
      <c r="OEX1" s="1082"/>
      <c r="OEY1" s="1082"/>
      <c r="OEZ1" s="1082"/>
      <c r="OFA1" s="1082"/>
      <c r="OFB1" s="1082"/>
      <c r="OFC1" s="1082"/>
      <c r="OFD1" s="1082"/>
      <c r="OFE1" s="1082"/>
      <c r="OFF1" s="1082"/>
      <c r="OFG1" s="1082"/>
      <c r="OFH1" s="1082"/>
      <c r="OFI1" s="1082"/>
      <c r="OFJ1" s="1082"/>
      <c r="OFK1" s="1082"/>
      <c r="OFL1" s="1082"/>
      <c r="OFM1" s="1082"/>
      <c r="OFN1" s="1082"/>
      <c r="OFO1" s="1082"/>
      <c r="OFP1" s="1082"/>
      <c r="OFQ1" s="1082"/>
      <c r="OFR1" s="1082"/>
      <c r="OFS1" s="1082"/>
      <c r="OFT1" s="1082"/>
      <c r="OFU1" s="1082"/>
      <c r="OFV1" s="1082"/>
      <c r="OFW1" s="1082"/>
      <c r="OFX1" s="1082"/>
      <c r="OFY1" s="1082"/>
      <c r="OFZ1" s="1082"/>
      <c r="OGA1" s="1082"/>
      <c r="OGB1" s="1082"/>
      <c r="OGC1" s="1082"/>
      <c r="OGD1" s="1082"/>
      <c r="OGE1" s="1082"/>
      <c r="OGF1" s="1082"/>
      <c r="OGG1" s="1082"/>
      <c r="OGH1" s="1082"/>
      <c r="OGI1" s="1082"/>
      <c r="OGJ1" s="1082"/>
      <c r="OGK1" s="1082"/>
      <c r="OGL1" s="1082"/>
      <c r="OGM1" s="1082"/>
      <c r="OGN1" s="1082"/>
      <c r="OGO1" s="1082"/>
      <c r="OGP1" s="1082"/>
      <c r="OGQ1" s="1082"/>
      <c r="OGR1" s="1082"/>
      <c r="OGS1" s="1082"/>
      <c r="OGT1" s="1082"/>
      <c r="OGU1" s="1082"/>
      <c r="OGV1" s="1082"/>
      <c r="OGW1" s="1082"/>
      <c r="OGX1" s="1082"/>
      <c r="OGY1" s="1082"/>
      <c r="OGZ1" s="1082"/>
      <c r="OHA1" s="1082"/>
      <c r="OHB1" s="1082"/>
      <c r="OHC1" s="1082"/>
      <c r="OHD1" s="1082"/>
      <c r="OHE1" s="1082"/>
      <c r="OHF1" s="1082"/>
      <c r="OHG1" s="1082"/>
      <c r="OHH1" s="1082"/>
      <c r="OHI1" s="1082"/>
      <c r="OHJ1" s="1082"/>
      <c r="OHK1" s="1082"/>
      <c r="OHL1" s="1082"/>
      <c r="OHM1" s="1082"/>
      <c r="OHN1" s="1082"/>
      <c r="OHO1" s="1082"/>
      <c r="OHP1" s="1082"/>
      <c r="OHQ1" s="1082"/>
      <c r="OHR1" s="1082"/>
      <c r="OHS1" s="1082"/>
      <c r="OHT1" s="1082"/>
      <c r="OHU1" s="1082"/>
      <c r="OHV1" s="1082"/>
      <c r="OHW1" s="1082"/>
      <c r="OHX1" s="1082"/>
      <c r="OHY1" s="1082"/>
      <c r="OHZ1" s="1082"/>
      <c r="OIA1" s="1082"/>
      <c r="OIB1" s="1082"/>
      <c r="OIC1" s="1082"/>
      <c r="OID1" s="1082"/>
      <c r="OIE1" s="1082"/>
      <c r="OIF1" s="1082"/>
      <c r="OIG1" s="1082"/>
      <c r="OIH1" s="1082"/>
      <c r="OII1" s="1082"/>
      <c r="OIJ1" s="1082"/>
      <c r="OIK1" s="1082"/>
      <c r="OIL1" s="1082"/>
      <c r="OIM1" s="1082"/>
      <c r="OIN1" s="1082"/>
      <c r="OIO1" s="1082"/>
      <c r="OIP1" s="1082"/>
      <c r="OIQ1" s="1082"/>
      <c r="OIR1" s="1082"/>
      <c r="OIS1" s="1082"/>
      <c r="OIT1" s="1082"/>
      <c r="OIU1" s="1082"/>
      <c r="OIV1" s="1082"/>
      <c r="OIW1" s="1082"/>
      <c r="OIX1" s="1082"/>
      <c r="OIY1" s="1082"/>
      <c r="OIZ1" s="1082"/>
      <c r="OJA1" s="1082"/>
      <c r="OJB1" s="1082"/>
      <c r="OJC1" s="1082"/>
      <c r="OJD1" s="1082"/>
      <c r="OJE1" s="1082"/>
      <c r="OJF1" s="1082"/>
      <c r="OJG1" s="1082"/>
      <c r="OJH1" s="1082"/>
      <c r="OJI1" s="1082"/>
      <c r="OJJ1" s="1082"/>
      <c r="OJK1" s="1082"/>
      <c r="OJL1" s="1082"/>
      <c r="OJM1" s="1082"/>
      <c r="OJN1" s="1082"/>
      <c r="OJO1" s="1082"/>
      <c r="OJP1" s="1082"/>
      <c r="OJQ1" s="1082"/>
      <c r="OJR1" s="1082"/>
      <c r="OJS1" s="1082"/>
      <c r="OJT1" s="1082"/>
      <c r="OJU1" s="1082"/>
      <c r="OJV1" s="1082"/>
      <c r="OJW1" s="1082"/>
      <c r="OJX1" s="1082"/>
      <c r="OJY1" s="1082"/>
      <c r="OJZ1" s="1082"/>
      <c r="OKA1" s="1082"/>
      <c r="OKB1" s="1082"/>
      <c r="OKC1" s="1082"/>
      <c r="OKD1" s="1082"/>
      <c r="OKE1" s="1082"/>
      <c r="OKF1" s="1082"/>
      <c r="OKG1" s="1082"/>
      <c r="OKH1" s="1082"/>
      <c r="OKI1" s="1082"/>
      <c r="OKJ1" s="1082"/>
      <c r="OKK1" s="1082"/>
      <c r="OKL1" s="1082"/>
      <c r="OKM1" s="1082"/>
      <c r="OKN1" s="1082"/>
      <c r="OKO1" s="1082"/>
      <c r="OKP1" s="1082"/>
      <c r="OKQ1" s="1082"/>
      <c r="OKR1" s="1082"/>
      <c r="OKS1" s="1082"/>
      <c r="OKT1" s="1082"/>
      <c r="OKU1" s="1082"/>
      <c r="OKV1" s="1082"/>
      <c r="OKW1" s="1082"/>
      <c r="OKX1" s="1082"/>
      <c r="OKY1" s="1082"/>
      <c r="OKZ1" s="1082"/>
      <c r="OLA1" s="1082"/>
      <c r="OLB1" s="1082"/>
      <c r="OLC1" s="1082"/>
      <c r="OLD1" s="1082"/>
      <c r="OLE1" s="1082"/>
      <c r="OLF1" s="1082"/>
      <c r="OLG1" s="1082"/>
      <c r="OLH1" s="1082"/>
      <c r="OLI1" s="1082"/>
      <c r="OLJ1" s="1082"/>
      <c r="OLK1" s="1082"/>
      <c r="OLL1" s="1082"/>
      <c r="OLM1" s="1082"/>
      <c r="OLN1" s="1082"/>
      <c r="OLO1" s="1082"/>
      <c r="OLP1" s="1082"/>
      <c r="OLQ1" s="1082"/>
      <c r="OLR1" s="1082"/>
      <c r="OLS1" s="1082"/>
      <c r="OLT1" s="1082"/>
      <c r="OLU1" s="1082"/>
      <c r="OLV1" s="1082"/>
      <c r="OLW1" s="1082"/>
      <c r="OLX1" s="1082"/>
      <c r="OLY1" s="1082"/>
      <c r="OLZ1" s="1082"/>
      <c r="OMA1" s="1082"/>
      <c r="OMB1" s="1082"/>
      <c r="OMC1" s="1082"/>
      <c r="OMD1" s="1082"/>
      <c r="OME1" s="1082"/>
      <c r="OMF1" s="1082"/>
      <c r="OMG1" s="1082"/>
      <c r="OMH1" s="1082"/>
      <c r="OMI1" s="1082"/>
      <c r="OMJ1" s="1082"/>
      <c r="OMK1" s="1082"/>
      <c r="OML1" s="1082"/>
      <c r="OMM1" s="1082"/>
      <c r="OMN1" s="1082"/>
      <c r="OMO1" s="1082"/>
      <c r="OMP1" s="1082"/>
      <c r="OMQ1" s="1082"/>
      <c r="OMR1" s="1082"/>
      <c r="OMS1" s="1082"/>
      <c r="OMT1" s="1082"/>
      <c r="OMU1" s="1082"/>
      <c r="OMV1" s="1082"/>
      <c r="OMW1" s="1082"/>
      <c r="OMX1" s="1082"/>
      <c r="OMY1" s="1082"/>
      <c r="OMZ1" s="1082"/>
      <c r="ONA1" s="1082"/>
      <c r="ONB1" s="1082"/>
      <c r="ONC1" s="1082"/>
      <c r="OND1" s="1082"/>
      <c r="ONE1" s="1082"/>
      <c r="ONF1" s="1082"/>
      <c r="ONG1" s="1082"/>
      <c r="ONH1" s="1082"/>
      <c r="ONI1" s="1082"/>
      <c r="ONJ1" s="1082"/>
      <c r="ONK1" s="1082"/>
      <c r="ONL1" s="1082"/>
      <c r="ONM1" s="1082"/>
      <c r="ONN1" s="1082"/>
      <c r="ONO1" s="1082"/>
      <c r="ONP1" s="1082"/>
      <c r="ONQ1" s="1082"/>
      <c r="ONR1" s="1082"/>
      <c r="ONS1" s="1082"/>
      <c r="ONT1" s="1082"/>
      <c r="ONU1" s="1082"/>
      <c r="ONV1" s="1082"/>
      <c r="ONW1" s="1082"/>
      <c r="ONX1" s="1082"/>
      <c r="ONY1" s="1082"/>
      <c r="ONZ1" s="1082"/>
      <c r="OOA1" s="1082"/>
      <c r="OOB1" s="1082"/>
      <c r="OOC1" s="1082"/>
      <c r="OOD1" s="1082"/>
      <c r="OOE1" s="1082"/>
      <c r="OOF1" s="1082"/>
      <c r="OOG1" s="1082"/>
      <c r="OOH1" s="1082"/>
      <c r="OOI1" s="1082"/>
      <c r="OOJ1" s="1082"/>
      <c r="OOK1" s="1082"/>
      <c r="OOL1" s="1082"/>
      <c r="OOM1" s="1082"/>
      <c r="OON1" s="1082"/>
      <c r="OOO1" s="1082"/>
      <c r="OOP1" s="1082"/>
      <c r="OOQ1" s="1082"/>
      <c r="OOR1" s="1082"/>
      <c r="OOS1" s="1082"/>
      <c r="OOT1" s="1082"/>
      <c r="OOU1" s="1082"/>
      <c r="OOV1" s="1082"/>
      <c r="OOW1" s="1082"/>
      <c r="OOX1" s="1082"/>
      <c r="OOY1" s="1082"/>
      <c r="OOZ1" s="1082"/>
      <c r="OPA1" s="1082"/>
      <c r="OPB1" s="1082"/>
      <c r="OPC1" s="1082"/>
      <c r="OPD1" s="1082"/>
      <c r="OPE1" s="1082"/>
      <c r="OPF1" s="1082"/>
      <c r="OPG1" s="1082"/>
      <c r="OPH1" s="1082"/>
      <c r="OPI1" s="1082"/>
      <c r="OPJ1" s="1082"/>
      <c r="OPK1" s="1082"/>
      <c r="OPL1" s="1082"/>
      <c r="OPM1" s="1082"/>
      <c r="OPN1" s="1082"/>
      <c r="OPO1" s="1082"/>
      <c r="OPP1" s="1082"/>
      <c r="OPQ1" s="1082"/>
      <c r="OPR1" s="1082"/>
      <c r="OPS1" s="1082"/>
      <c r="OPT1" s="1082"/>
      <c r="OPU1" s="1082"/>
      <c r="OPV1" s="1082"/>
      <c r="OPW1" s="1082"/>
      <c r="OPX1" s="1082"/>
      <c r="OPY1" s="1082"/>
      <c r="OPZ1" s="1082"/>
      <c r="OQA1" s="1082"/>
      <c r="OQB1" s="1082"/>
      <c r="OQC1" s="1082"/>
      <c r="OQD1" s="1082"/>
      <c r="OQE1" s="1082"/>
      <c r="OQF1" s="1082"/>
      <c r="OQG1" s="1082"/>
      <c r="OQH1" s="1082"/>
      <c r="OQI1" s="1082"/>
      <c r="OQJ1" s="1082"/>
      <c r="OQK1" s="1082"/>
      <c r="OQL1" s="1082"/>
      <c r="OQM1" s="1082"/>
      <c r="OQN1" s="1082"/>
      <c r="OQO1" s="1082"/>
      <c r="OQP1" s="1082"/>
      <c r="OQQ1" s="1082"/>
      <c r="OQR1" s="1082"/>
      <c r="OQS1" s="1082"/>
      <c r="OQT1" s="1082"/>
      <c r="OQU1" s="1082"/>
      <c r="OQV1" s="1082"/>
      <c r="OQW1" s="1082"/>
      <c r="OQX1" s="1082"/>
      <c r="OQY1" s="1082"/>
      <c r="OQZ1" s="1082"/>
      <c r="ORA1" s="1082"/>
      <c r="ORB1" s="1082"/>
      <c r="ORC1" s="1082"/>
      <c r="ORD1" s="1082"/>
      <c r="ORE1" s="1082"/>
      <c r="ORF1" s="1082"/>
      <c r="ORG1" s="1082"/>
      <c r="ORH1" s="1082"/>
      <c r="ORI1" s="1082"/>
      <c r="ORJ1" s="1082"/>
      <c r="ORK1" s="1082"/>
      <c r="ORL1" s="1082"/>
      <c r="ORM1" s="1082"/>
      <c r="ORN1" s="1082"/>
      <c r="ORO1" s="1082"/>
      <c r="ORP1" s="1082"/>
      <c r="ORQ1" s="1082"/>
      <c r="ORR1" s="1082"/>
      <c r="ORS1" s="1082"/>
      <c r="ORT1" s="1082"/>
      <c r="ORU1" s="1082"/>
      <c r="ORV1" s="1082"/>
      <c r="ORW1" s="1082"/>
      <c r="ORX1" s="1082"/>
      <c r="ORY1" s="1082"/>
      <c r="ORZ1" s="1082"/>
      <c r="OSA1" s="1082"/>
      <c r="OSB1" s="1082"/>
      <c r="OSC1" s="1082"/>
      <c r="OSD1" s="1082"/>
      <c r="OSE1" s="1082"/>
      <c r="OSF1" s="1082"/>
      <c r="OSG1" s="1082"/>
      <c r="OSH1" s="1082"/>
      <c r="OSI1" s="1082"/>
      <c r="OSJ1" s="1082"/>
      <c r="OSK1" s="1082"/>
      <c r="OSL1" s="1082"/>
      <c r="OSM1" s="1082"/>
      <c r="OSN1" s="1082"/>
      <c r="OSO1" s="1082"/>
      <c r="OSP1" s="1082"/>
      <c r="OSQ1" s="1082"/>
      <c r="OSR1" s="1082"/>
      <c r="OSS1" s="1082"/>
      <c r="OST1" s="1082"/>
      <c r="OSU1" s="1082"/>
      <c r="OSV1" s="1082"/>
      <c r="OSW1" s="1082"/>
      <c r="OSX1" s="1082"/>
      <c r="OSY1" s="1082"/>
      <c r="OSZ1" s="1082"/>
      <c r="OTA1" s="1082"/>
      <c r="OTB1" s="1082"/>
      <c r="OTC1" s="1082"/>
      <c r="OTD1" s="1082"/>
      <c r="OTE1" s="1082"/>
      <c r="OTF1" s="1082"/>
      <c r="OTG1" s="1082"/>
      <c r="OTH1" s="1082"/>
      <c r="OTI1" s="1082"/>
      <c r="OTJ1" s="1082"/>
      <c r="OTK1" s="1082"/>
      <c r="OTL1" s="1082"/>
      <c r="OTM1" s="1082"/>
      <c r="OTN1" s="1082"/>
      <c r="OTO1" s="1082"/>
      <c r="OTP1" s="1082"/>
      <c r="OTQ1" s="1082"/>
      <c r="OTR1" s="1082"/>
      <c r="OTS1" s="1082"/>
      <c r="OTT1" s="1082"/>
      <c r="OTU1" s="1082"/>
      <c r="OTV1" s="1082"/>
      <c r="OTW1" s="1082"/>
      <c r="OTX1" s="1082"/>
      <c r="OTY1" s="1082"/>
      <c r="OTZ1" s="1082"/>
      <c r="OUA1" s="1082"/>
      <c r="OUB1" s="1082"/>
      <c r="OUC1" s="1082"/>
      <c r="OUD1" s="1082"/>
      <c r="OUE1" s="1082"/>
      <c r="OUF1" s="1082"/>
      <c r="OUG1" s="1082"/>
      <c r="OUH1" s="1082"/>
      <c r="OUI1" s="1082"/>
      <c r="OUJ1" s="1082"/>
      <c r="OUK1" s="1082"/>
      <c r="OUL1" s="1082"/>
      <c r="OUM1" s="1082"/>
      <c r="OUN1" s="1082"/>
      <c r="OUO1" s="1082"/>
      <c r="OUP1" s="1082"/>
      <c r="OUQ1" s="1082"/>
      <c r="OUR1" s="1082"/>
      <c r="OUS1" s="1082"/>
      <c r="OUT1" s="1082"/>
      <c r="OUU1" s="1082"/>
      <c r="OUV1" s="1082"/>
      <c r="OUW1" s="1082"/>
      <c r="OUX1" s="1082"/>
      <c r="OUY1" s="1082"/>
      <c r="OUZ1" s="1082"/>
      <c r="OVA1" s="1082"/>
      <c r="OVB1" s="1082"/>
      <c r="OVC1" s="1082"/>
      <c r="OVD1" s="1082"/>
      <c r="OVE1" s="1082"/>
      <c r="OVF1" s="1082"/>
      <c r="OVG1" s="1082"/>
      <c r="OVH1" s="1082"/>
      <c r="OVI1" s="1082"/>
      <c r="OVJ1" s="1082"/>
      <c r="OVK1" s="1082"/>
      <c r="OVL1" s="1082"/>
      <c r="OVM1" s="1082"/>
      <c r="OVN1" s="1082"/>
      <c r="OVO1" s="1082"/>
      <c r="OVP1" s="1082"/>
      <c r="OVQ1" s="1082"/>
      <c r="OVR1" s="1082"/>
      <c r="OVS1" s="1082"/>
      <c r="OVT1" s="1082"/>
      <c r="OVU1" s="1082"/>
      <c r="OVV1" s="1082"/>
      <c r="OVW1" s="1082"/>
      <c r="OVX1" s="1082"/>
      <c r="OVY1" s="1082"/>
      <c r="OVZ1" s="1082"/>
      <c r="OWA1" s="1082"/>
      <c r="OWB1" s="1082"/>
      <c r="OWC1" s="1082"/>
      <c r="OWD1" s="1082"/>
      <c r="OWE1" s="1082"/>
      <c r="OWF1" s="1082"/>
      <c r="OWG1" s="1082"/>
      <c r="OWH1" s="1082"/>
      <c r="OWI1" s="1082"/>
      <c r="OWJ1" s="1082"/>
      <c r="OWK1" s="1082"/>
      <c r="OWL1" s="1082"/>
      <c r="OWM1" s="1082"/>
      <c r="OWN1" s="1082"/>
      <c r="OWO1" s="1082"/>
      <c r="OWP1" s="1082"/>
      <c r="OWQ1" s="1082"/>
      <c r="OWR1" s="1082"/>
      <c r="OWS1" s="1082"/>
      <c r="OWT1" s="1082"/>
      <c r="OWU1" s="1082"/>
      <c r="OWV1" s="1082"/>
      <c r="OWW1" s="1082"/>
      <c r="OWX1" s="1082"/>
      <c r="OWY1" s="1082"/>
      <c r="OWZ1" s="1082"/>
      <c r="OXA1" s="1082"/>
      <c r="OXB1" s="1082"/>
      <c r="OXC1" s="1082"/>
      <c r="OXD1" s="1082"/>
      <c r="OXE1" s="1082"/>
      <c r="OXF1" s="1082"/>
      <c r="OXG1" s="1082"/>
      <c r="OXH1" s="1082"/>
      <c r="OXI1" s="1082"/>
      <c r="OXJ1" s="1082"/>
      <c r="OXK1" s="1082"/>
      <c r="OXL1" s="1082"/>
      <c r="OXM1" s="1082"/>
      <c r="OXN1" s="1082"/>
      <c r="OXO1" s="1082"/>
      <c r="OXP1" s="1082"/>
      <c r="OXQ1" s="1082"/>
      <c r="OXR1" s="1082"/>
      <c r="OXS1" s="1082"/>
      <c r="OXT1" s="1082"/>
      <c r="OXU1" s="1082"/>
      <c r="OXV1" s="1082"/>
      <c r="OXW1" s="1082"/>
      <c r="OXX1" s="1082"/>
      <c r="OXY1" s="1082"/>
      <c r="OXZ1" s="1082"/>
      <c r="OYA1" s="1082"/>
      <c r="OYB1" s="1082"/>
      <c r="OYC1" s="1082"/>
      <c r="OYD1" s="1082"/>
      <c r="OYE1" s="1082"/>
      <c r="OYF1" s="1082"/>
      <c r="OYG1" s="1082"/>
      <c r="OYH1" s="1082"/>
      <c r="OYI1" s="1082"/>
      <c r="OYJ1" s="1082"/>
      <c r="OYK1" s="1082"/>
      <c r="OYL1" s="1082"/>
      <c r="OYM1" s="1082"/>
      <c r="OYN1" s="1082"/>
      <c r="OYO1" s="1082"/>
      <c r="OYP1" s="1082"/>
      <c r="OYQ1" s="1082"/>
      <c r="OYR1" s="1082"/>
      <c r="OYS1" s="1082"/>
      <c r="OYT1" s="1082"/>
      <c r="OYU1" s="1082"/>
      <c r="OYV1" s="1082"/>
      <c r="OYW1" s="1082"/>
      <c r="OYX1" s="1082"/>
      <c r="OYY1" s="1082"/>
      <c r="OYZ1" s="1082"/>
      <c r="OZA1" s="1082"/>
      <c r="OZB1" s="1082"/>
      <c r="OZC1" s="1082"/>
      <c r="OZD1" s="1082"/>
      <c r="OZE1" s="1082"/>
      <c r="OZF1" s="1082"/>
      <c r="OZG1" s="1082"/>
      <c r="OZH1" s="1082"/>
      <c r="OZI1" s="1082"/>
      <c r="OZJ1" s="1082"/>
      <c r="OZK1" s="1082"/>
      <c r="OZL1" s="1082"/>
      <c r="OZM1" s="1082"/>
      <c r="OZN1" s="1082"/>
      <c r="OZO1" s="1082"/>
      <c r="OZP1" s="1082"/>
      <c r="OZQ1" s="1082"/>
      <c r="OZR1" s="1082"/>
      <c r="OZS1" s="1082"/>
      <c r="OZT1" s="1082"/>
      <c r="OZU1" s="1082"/>
      <c r="OZV1" s="1082"/>
      <c r="OZW1" s="1082"/>
      <c r="OZX1" s="1082"/>
      <c r="OZY1" s="1082"/>
      <c r="OZZ1" s="1082"/>
      <c r="PAA1" s="1082"/>
      <c r="PAB1" s="1082"/>
      <c r="PAC1" s="1082"/>
      <c r="PAD1" s="1082"/>
      <c r="PAE1" s="1082"/>
      <c r="PAF1" s="1082"/>
      <c r="PAG1" s="1082"/>
      <c r="PAH1" s="1082"/>
      <c r="PAI1" s="1082"/>
      <c r="PAJ1" s="1082"/>
      <c r="PAK1" s="1082"/>
      <c r="PAL1" s="1082"/>
      <c r="PAM1" s="1082"/>
      <c r="PAN1" s="1082"/>
      <c r="PAO1" s="1082"/>
      <c r="PAP1" s="1082"/>
      <c r="PAQ1" s="1082"/>
      <c r="PAR1" s="1082"/>
      <c r="PAS1" s="1082"/>
      <c r="PAT1" s="1082"/>
      <c r="PAU1" s="1082"/>
      <c r="PAV1" s="1082"/>
      <c r="PAW1" s="1082"/>
      <c r="PAX1" s="1082"/>
      <c r="PAY1" s="1082"/>
      <c r="PAZ1" s="1082"/>
      <c r="PBA1" s="1082"/>
      <c r="PBB1" s="1082"/>
      <c r="PBC1" s="1082"/>
      <c r="PBD1" s="1082"/>
      <c r="PBE1" s="1082"/>
      <c r="PBF1" s="1082"/>
      <c r="PBG1" s="1082"/>
      <c r="PBH1" s="1082"/>
      <c r="PBI1" s="1082"/>
      <c r="PBJ1" s="1082"/>
      <c r="PBK1" s="1082"/>
      <c r="PBL1" s="1082"/>
      <c r="PBM1" s="1082"/>
      <c r="PBN1" s="1082"/>
      <c r="PBO1" s="1082"/>
      <c r="PBP1" s="1082"/>
      <c r="PBQ1" s="1082"/>
      <c r="PBR1" s="1082"/>
      <c r="PBS1" s="1082"/>
      <c r="PBT1" s="1082"/>
      <c r="PBU1" s="1082"/>
      <c r="PBV1" s="1082"/>
      <c r="PBW1" s="1082"/>
      <c r="PBX1" s="1082"/>
      <c r="PBY1" s="1082"/>
      <c r="PBZ1" s="1082"/>
      <c r="PCA1" s="1082"/>
      <c r="PCB1" s="1082"/>
      <c r="PCC1" s="1082"/>
      <c r="PCD1" s="1082"/>
      <c r="PCE1" s="1082"/>
      <c r="PCF1" s="1082"/>
      <c r="PCG1" s="1082"/>
      <c r="PCH1" s="1082"/>
      <c r="PCI1" s="1082"/>
      <c r="PCJ1" s="1082"/>
      <c r="PCK1" s="1082"/>
      <c r="PCL1" s="1082"/>
      <c r="PCM1" s="1082"/>
      <c r="PCN1" s="1082"/>
      <c r="PCO1" s="1082"/>
      <c r="PCP1" s="1082"/>
      <c r="PCQ1" s="1082"/>
      <c r="PCR1" s="1082"/>
      <c r="PCS1" s="1082"/>
      <c r="PCT1" s="1082"/>
      <c r="PCU1" s="1082"/>
      <c r="PCV1" s="1082"/>
      <c r="PCW1" s="1082"/>
      <c r="PCX1" s="1082"/>
      <c r="PCY1" s="1082"/>
      <c r="PCZ1" s="1082"/>
      <c r="PDA1" s="1082"/>
      <c r="PDB1" s="1082"/>
      <c r="PDC1" s="1082"/>
      <c r="PDD1" s="1082"/>
      <c r="PDE1" s="1082"/>
      <c r="PDF1" s="1082"/>
      <c r="PDG1" s="1082"/>
      <c r="PDH1" s="1082"/>
      <c r="PDI1" s="1082"/>
      <c r="PDJ1" s="1082"/>
      <c r="PDK1" s="1082"/>
      <c r="PDL1" s="1082"/>
      <c r="PDM1" s="1082"/>
      <c r="PDN1" s="1082"/>
      <c r="PDO1" s="1082"/>
      <c r="PDP1" s="1082"/>
      <c r="PDQ1" s="1082"/>
      <c r="PDR1" s="1082"/>
      <c r="PDS1" s="1082"/>
      <c r="PDT1" s="1082"/>
      <c r="PDU1" s="1082"/>
      <c r="PDV1" s="1082"/>
      <c r="PDW1" s="1082"/>
      <c r="PDX1" s="1082"/>
      <c r="PDY1" s="1082"/>
      <c r="PDZ1" s="1082"/>
      <c r="PEA1" s="1082"/>
      <c r="PEB1" s="1082"/>
      <c r="PEC1" s="1082"/>
      <c r="PED1" s="1082"/>
      <c r="PEE1" s="1082"/>
      <c r="PEF1" s="1082"/>
      <c r="PEG1" s="1082"/>
      <c r="PEH1" s="1082"/>
      <c r="PEI1" s="1082"/>
      <c r="PEJ1" s="1082"/>
      <c r="PEK1" s="1082"/>
      <c r="PEL1" s="1082"/>
      <c r="PEM1" s="1082"/>
      <c r="PEN1" s="1082"/>
      <c r="PEO1" s="1082"/>
      <c r="PEP1" s="1082"/>
      <c r="PEQ1" s="1082"/>
      <c r="PER1" s="1082"/>
      <c r="PES1" s="1082"/>
      <c r="PET1" s="1082"/>
      <c r="PEU1" s="1082"/>
      <c r="PEV1" s="1082"/>
      <c r="PEW1" s="1082"/>
      <c r="PEX1" s="1082"/>
      <c r="PEY1" s="1082"/>
      <c r="PEZ1" s="1082"/>
      <c r="PFA1" s="1082"/>
      <c r="PFB1" s="1082"/>
      <c r="PFC1" s="1082"/>
      <c r="PFD1" s="1082"/>
      <c r="PFE1" s="1082"/>
      <c r="PFF1" s="1082"/>
      <c r="PFG1" s="1082"/>
      <c r="PFH1" s="1082"/>
      <c r="PFI1" s="1082"/>
      <c r="PFJ1" s="1082"/>
      <c r="PFK1" s="1082"/>
      <c r="PFL1" s="1082"/>
      <c r="PFM1" s="1082"/>
      <c r="PFN1" s="1082"/>
      <c r="PFO1" s="1082"/>
      <c r="PFP1" s="1082"/>
      <c r="PFQ1" s="1082"/>
      <c r="PFR1" s="1082"/>
      <c r="PFS1" s="1082"/>
      <c r="PFT1" s="1082"/>
      <c r="PFU1" s="1082"/>
      <c r="PFV1" s="1082"/>
      <c r="PFW1" s="1082"/>
      <c r="PFX1" s="1082"/>
      <c r="PFY1" s="1082"/>
      <c r="PFZ1" s="1082"/>
      <c r="PGA1" s="1082"/>
      <c r="PGB1" s="1082"/>
      <c r="PGC1" s="1082"/>
      <c r="PGD1" s="1082"/>
      <c r="PGE1" s="1082"/>
      <c r="PGF1" s="1082"/>
      <c r="PGG1" s="1082"/>
      <c r="PGH1" s="1082"/>
      <c r="PGI1" s="1082"/>
      <c r="PGJ1" s="1082"/>
      <c r="PGK1" s="1082"/>
      <c r="PGL1" s="1082"/>
      <c r="PGM1" s="1082"/>
      <c r="PGN1" s="1082"/>
      <c r="PGO1" s="1082"/>
      <c r="PGP1" s="1082"/>
      <c r="PGQ1" s="1082"/>
      <c r="PGR1" s="1082"/>
      <c r="PGS1" s="1082"/>
      <c r="PGT1" s="1082"/>
      <c r="PGU1" s="1082"/>
      <c r="PGV1" s="1082"/>
      <c r="PGW1" s="1082"/>
      <c r="PGX1" s="1082"/>
      <c r="PGY1" s="1082"/>
      <c r="PGZ1" s="1082"/>
      <c r="PHA1" s="1082"/>
      <c r="PHB1" s="1082"/>
      <c r="PHC1" s="1082"/>
      <c r="PHD1" s="1082"/>
      <c r="PHE1" s="1082"/>
      <c r="PHF1" s="1082"/>
      <c r="PHG1" s="1082"/>
      <c r="PHH1" s="1082"/>
      <c r="PHI1" s="1082"/>
      <c r="PHJ1" s="1082"/>
      <c r="PHK1" s="1082"/>
      <c r="PHL1" s="1082"/>
      <c r="PHM1" s="1082"/>
      <c r="PHN1" s="1082"/>
      <c r="PHO1" s="1082"/>
      <c r="PHP1" s="1082"/>
      <c r="PHQ1" s="1082"/>
      <c r="PHR1" s="1082"/>
      <c r="PHS1" s="1082"/>
      <c r="PHT1" s="1082"/>
      <c r="PHU1" s="1082"/>
      <c r="PHV1" s="1082"/>
      <c r="PHW1" s="1082"/>
      <c r="PHX1" s="1082"/>
      <c r="PHY1" s="1082"/>
      <c r="PHZ1" s="1082"/>
      <c r="PIA1" s="1082"/>
      <c r="PIB1" s="1082"/>
      <c r="PIC1" s="1082"/>
      <c r="PID1" s="1082"/>
      <c r="PIE1" s="1082"/>
      <c r="PIF1" s="1082"/>
      <c r="PIG1" s="1082"/>
      <c r="PIH1" s="1082"/>
      <c r="PII1" s="1082"/>
      <c r="PIJ1" s="1082"/>
      <c r="PIK1" s="1082"/>
      <c r="PIL1" s="1082"/>
      <c r="PIM1" s="1082"/>
      <c r="PIN1" s="1082"/>
      <c r="PIO1" s="1082"/>
      <c r="PIP1" s="1082"/>
      <c r="PIQ1" s="1082"/>
      <c r="PIR1" s="1082"/>
      <c r="PIS1" s="1082"/>
      <c r="PIT1" s="1082"/>
      <c r="PIU1" s="1082"/>
      <c r="PIV1" s="1082"/>
      <c r="PIW1" s="1082"/>
      <c r="PIX1" s="1082"/>
      <c r="PIY1" s="1082"/>
      <c r="PIZ1" s="1082"/>
      <c r="PJA1" s="1082"/>
      <c r="PJB1" s="1082"/>
      <c r="PJC1" s="1082"/>
      <c r="PJD1" s="1082"/>
      <c r="PJE1" s="1082"/>
      <c r="PJF1" s="1082"/>
      <c r="PJG1" s="1082"/>
      <c r="PJH1" s="1082"/>
      <c r="PJI1" s="1082"/>
      <c r="PJJ1" s="1082"/>
      <c r="PJK1" s="1082"/>
      <c r="PJL1" s="1082"/>
      <c r="PJM1" s="1082"/>
      <c r="PJN1" s="1082"/>
      <c r="PJO1" s="1082"/>
      <c r="PJP1" s="1082"/>
      <c r="PJQ1" s="1082"/>
      <c r="PJR1" s="1082"/>
      <c r="PJS1" s="1082"/>
      <c r="PJT1" s="1082"/>
      <c r="PJU1" s="1082"/>
      <c r="PJV1" s="1082"/>
      <c r="PJW1" s="1082"/>
      <c r="PJX1" s="1082"/>
      <c r="PJY1" s="1082"/>
      <c r="PJZ1" s="1082"/>
      <c r="PKA1" s="1082"/>
      <c r="PKB1" s="1082"/>
      <c r="PKC1" s="1082"/>
      <c r="PKD1" s="1082"/>
      <c r="PKE1" s="1082"/>
      <c r="PKF1" s="1082"/>
      <c r="PKG1" s="1082"/>
      <c r="PKH1" s="1082"/>
      <c r="PKI1" s="1082"/>
      <c r="PKJ1" s="1082"/>
      <c r="PKK1" s="1082"/>
      <c r="PKL1" s="1082"/>
      <c r="PKM1" s="1082"/>
      <c r="PKN1" s="1082"/>
      <c r="PKO1" s="1082"/>
      <c r="PKP1" s="1082"/>
      <c r="PKQ1" s="1082"/>
      <c r="PKR1" s="1082"/>
      <c r="PKS1" s="1082"/>
      <c r="PKT1" s="1082"/>
      <c r="PKU1" s="1082"/>
      <c r="PKV1" s="1082"/>
      <c r="PKW1" s="1082"/>
      <c r="PKX1" s="1082"/>
      <c r="PKY1" s="1082"/>
      <c r="PKZ1" s="1082"/>
      <c r="PLA1" s="1082"/>
      <c r="PLB1" s="1082"/>
      <c r="PLC1" s="1082"/>
      <c r="PLD1" s="1082"/>
      <c r="PLE1" s="1082"/>
      <c r="PLF1" s="1082"/>
      <c r="PLG1" s="1082"/>
      <c r="PLH1" s="1082"/>
      <c r="PLI1" s="1082"/>
      <c r="PLJ1" s="1082"/>
      <c r="PLK1" s="1082"/>
      <c r="PLL1" s="1082"/>
      <c r="PLM1" s="1082"/>
      <c r="PLN1" s="1082"/>
      <c r="PLO1" s="1082"/>
      <c r="PLP1" s="1082"/>
      <c r="PLQ1" s="1082"/>
      <c r="PLR1" s="1082"/>
      <c r="PLS1" s="1082"/>
      <c r="PLT1" s="1082"/>
      <c r="PLU1" s="1082"/>
      <c r="PLV1" s="1082"/>
      <c r="PLW1" s="1082"/>
      <c r="PLX1" s="1082"/>
      <c r="PLY1" s="1082"/>
      <c r="PLZ1" s="1082"/>
      <c r="PMA1" s="1082"/>
      <c r="PMB1" s="1082"/>
      <c r="PMC1" s="1082"/>
      <c r="PMD1" s="1082"/>
      <c r="PME1" s="1082"/>
      <c r="PMF1" s="1082"/>
      <c r="PMG1" s="1082"/>
      <c r="PMH1" s="1082"/>
      <c r="PMI1" s="1082"/>
      <c r="PMJ1" s="1082"/>
      <c r="PMK1" s="1082"/>
      <c r="PML1" s="1082"/>
      <c r="PMM1" s="1082"/>
      <c r="PMN1" s="1082"/>
      <c r="PMO1" s="1082"/>
      <c r="PMP1" s="1082"/>
      <c r="PMQ1" s="1082"/>
      <c r="PMR1" s="1082"/>
      <c r="PMS1" s="1082"/>
      <c r="PMT1" s="1082"/>
      <c r="PMU1" s="1082"/>
      <c r="PMV1" s="1082"/>
      <c r="PMW1" s="1082"/>
      <c r="PMX1" s="1082"/>
      <c r="PMY1" s="1082"/>
      <c r="PMZ1" s="1082"/>
      <c r="PNA1" s="1082"/>
      <c r="PNB1" s="1082"/>
      <c r="PNC1" s="1082"/>
      <c r="PND1" s="1082"/>
      <c r="PNE1" s="1082"/>
      <c r="PNF1" s="1082"/>
      <c r="PNG1" s="1082"/>
      <c r="PNH1" s="1082"/>
      <c r="PNI1" s="1082"/>
      <c r="PNJ1" s="1082"/>
      <c r="PNK1" s="1082"/>
      <c r="PNL1" s="1082"/>
      <c r="PNM1" s="1082"/>
      <c r="PNN1" s="1082"/>
      <c r="PNO1" s="1082"/>
      <c r="PNP1" s="1082"/>
      <c r="PNQ1" s="1082"/>
      <c r="PNR1" s="1082"/>
      <c r="PNS1" s="1082"/>
      <c r="PNT1" s="1082"/>
      <c r="PNU1" s="1082"/>
      <c r="PNV1" s="1082"/>
      <c r="PNW1" s="1082"/>
      <c r="PNX1" s="1082"/>
      <c r="PNY1" s="1082"/>
      <c r="PNZ1" s="1082"/>
      <c r="POA1" s="1082"/>
      <c r="POB1" s="1082"/>
      <c r="POC1" s="1082"/>
      <c r="POD1" s="1082"/>
      <c r="POE1" s="1082"/>
      <c r="POF1" s="1082"/>
      <c r="POG1" s="1082"/>
      <c r="POH1" s="1082"/>
      <c r="POI1" s="1082"/>
      <c r="POJ1" s="1082"/>
      <c r="POK1" s="1082"/>
      <c r="POL1" s="1082"/>
      <c r="POM1" s="1082"/>
      <c r="PON1" s="1082"/>
      <c r="POO1" s="1082"/>
      <c r="POP1" s="1082"/>
      <c r="POQ1" s="1082"/>
      <c r="POR1" s="1082"/>
      <c r="POS1" s="1082"/>
      <c r="POT1" s="1082"/>
      <c r="POU1" s="1082"/>
      <c r="POV1" s="1082"/>
      <c r="POW1" s="1082"/>
      <c r="POX1" s="1082"/>
      <c r="POY1" s="1082"/>
      <c r="POZ1" s="1082"/>
      <c r="PPA1" s="1082"/>
      <c r="PPB1" s="1082"/>
      <c r="PPC1" s="1082"/>
      <c r="PPD1" s="1082"/>
      <c r="PPE1" s="1082"/>
      <c r="PPF1" s="1082"/>
      <c r="PPG1" s="1082"/>
      <c r="PPH1" s="1082"/>
      <c r="PPI1" s="1082"/>
      <c r="PPJ1" s="1082"/>
      <c r="PPK1" s="1082"/>
      <c r="PPL1" s="1082"/>
      <c r="PPM1" s="1082"/>
      <c r="PPN1" s="1082"/>
      <c r="PPO1" s="1082"/>
      <c r="PPP1" s="1082"/>
      <c r="PPQ1" s="1082"/>
      <c r="PPR1" s="1082"/>
      <c r="PPS1" s="1082"/>
      <c r="PPT1" s="1082"/>
      <c r="PPU1" s="1082"/>
      <c r="PPV1" s="1082"/>
      <c r="PPW1" s="1082"/>
      <c r="PPX1" s="1082"/>
      <c r="PPY1" s="1082"/>
      <c r="PPZ1" s="1082"/>
      <c r="PQA1" s="1082"/>
      <c r="PQB1" s="1082"/>
      <c r="PQC1" s="1082"/>
      <c r="PQD1" s="1082"/>
      <c r="PQE1" s="1082"/>
      <c r="PQF1" s="1082"/>
      <c r="PQG1" s="1082"/>
      <c r="PQH1" s="1082"/>
      <c r="PQI1" s="1082"/>
      <c r="PQJ1" s="1082"/>
      <c r="PQK1" s="1082"/>
      <c r="PQL1" s="1082"/>
      <c r="PQM1" s="1082"/>
      <c r="PQN1" s="1082"/>
      <c r="PQO1" s="1082"/>
      <c r="PQP1" s="1082"/>
      <c r="PQQ1" s="1082"/>
      <c r="PQR1" s="1082"/>
      <c r="PQS1" s="1082"/>
      <c r="PQT1" s="1082"/>
      <c r="PQU1" s="1082"/>
      <c r="PQV1" s="1082"/>
      <c r="PQW1" s="1082"/>
      <c r="PQX1" s="1082"/>
      <c r="PQY1" s="1082"/>
      <c r="PQZ1" s="1082"/>
      <c r="PRA1" s="1082"/>
      <c r="PRB1" s="1082"/>
      <c r="PRC1" s="1082"/>
      <c r="PRD1" s="1082"/>
      <c r="PRE1" s="1082"/>
      <c r="PRF1" s="1082"/>
      <c r="PRG1" s="1082"/>
      <c r="PRH1" s="1082"/>
      <c r="PRI1" s="1082"/>
      <c r="PRJ1" s="1082"/>
      <c r="PRK1" s="1082"/>
      <c r="PRL1" s="1082"/>
      <c r="PRM1" s="1082"/>
      <c r="PRN1" s="1082"/>
      <c r="PRO1" s="1082"/>
      <c r="PRP1" s="1082"/>
      <c r="PRQ1" s="1082"/>
      <c r="PRR1" s="1082"/>
      <c r="PRS1" s="1082"/>
      <c r="PRT1" s="1082"/>
      <c r="PRU1" s="1082"/>
      <c r="PRV1" s="1082"/>
      <c r="PRW1" s="1082"/>
      <c r="PRX1" s="1082"/>
      <c r="PRY1" s="1082"/>
      <c r="PRZ1" s="1082"/>
      <c r="PSA1" s="1082"/>
      <c r="PSB1" s="1082"/>
      <c r="PSC1" s="1082"/>
      <c r="PSD1" s="1082"/>
      <c r="PSE1" s="1082"/>
      <c r="PSF1" s="1082"/>
      <c r="PSG1" s="1082"/>
      <c r="PSH1" s="1082"/>
      <c r="PSI1" s="1082"/>
      <c r="PSJ1" s="1082"/>
      <c r="PSK1" s="1082"/>
      <c r="PSL1" s="1082"/>
      <c r="PSM1" s="1082"/>
      <c r="PSN1" s="1082"/>
      <c r="PSO1" s="1082"/>
      <c r="PSP1" s="1082"/>
      <c r="PSQ1" s="1082"/>
      <c r="PSR1" s="1082"/>
      <c r="PSS1" s="1082"/>
      <c r="PST1" s="1082"/>
      <c r="PSU1" s="1082"/>
      <c r="PSV1" s="1082"/>
      <c r="PSW1" s="1082"/>
      <c r="PSX1" s="1082"/>
      <c r="PSY1" s="1082"/>
      <c r="PSZ1" s="1082"/>
      <c r="PTA1" s="1082"/>
      <c r="PTB1" s="1082"/>
      <c r="PTC1" s="1082"/>
      <c r="PTD1" s="1082"/>
      <c r="PTE1" s="1082"/>
      <c r="PTF1" s="1082"/>
      <c r="PTG1" s="1082"/>
      <c r="PTH1" s="1082"/>
      <c r="PTI1" s="1082"/>
      <c r="PTJ1" s="1082"/>
      <c r="PTK1" s="1082"/>
      <c r="PTL1" s="1082"/>
      <c r="PTM1" s="1082"/>
      <c r="PTN1" s="1082"/>
      <c r="PTO1" s="1082"/>
      <c r="PTP1" s="1082"/>
      <c r="PTQ1" s="1082"/>
      <c r="PTR1" s="1082"/>
      <c r="PTS1" s="1082"/>
      <c r="PTT1" s="1082"/>
      <c r="PTU1" s="1082"/>
      <c r="PTV1" s="1082"/>
      <c r="PTW1" s="1082"/>
      <c r="PTX1" s="1082"/>
      <c r="PTY1" s="1082"/>
      <c r="PTZ1" s="1082"/>
      <c r="PUA1" s="1082"/>
      <c r="PUB1" s="1082"/>
      <c r="PUC1" s="1082"/>
      <c r="PUD1" s="1082"/>
      <c r="PUE1" s="1082"/>
      <c r="PUF1" s="1082"/>
      <c r="PUG1" s="1082"/>
      <c r="PUH1" s="1082"/>
      <c r="PUI1" s="1082"/>
      <c r="PUJ1" s="1082"/>
      <c r="PUK1" s="1082"/>
      <c r="PUL1" s="1082"/>
      <c r="PUM1" s="1082"/>
      <c r="PUN1" s="1082"/>
      <c r="PUO1" s="1082"/>
      <c r="PUP1" s="1082"/>
      <c r="PUQ1" s="1082"/>
      <c r="PUR1" s="1082"/>
      <c r="PUS1" s="1082"/>
      <c r="PUT1" s="1082"/>
      <c r="PUU1" s="1082"/>
      <c r="PUV1" s="1082"/>
      <c r="PUW1" s="1082"/>
      <c r="PUX1" s="1082"/>
      <c r="PUY1" s="1082"/>
      <c r="PUZ1" s="1082"/>
      <c r="PVA1" s="1082"/>
      <c r="PVB1" s="1082"/>
      <c r="PVC1" s="1082"/>
      <c r="PVD1" s="1082"/>
      <c r="PVE1" s="1082"/>
      <c r="PVF1" s="1082"/>
      <c r="PVG1" s="1082"/>
      <c r="PVH1" s="1082"/>
      <c r="PVI1" s="1082"/>
      <c r="PVJ1" s="1082"/>
      <c r="PVK1" s="1082"/>
      <c r="PVL1" s="1082"/>
      <c r="PVM1" s="1082"/>
      <c r="PVN1" s="1082"/>
      <c r="PVO1" s="1082"/>
      <c r="PVP1" s="1082"/>
      <c r="PVQ1" s="1082"/>
      <c r="PVR1" s="1082"/>
      <c r="PVS1" s="1082"/>
      <c r="PVT1" s="1082"/>
      <c r="PVU1" s="1082"/>
      <c r="PVV1" s="1082"/>
      <c r="PVW1" s="1082"/>
      <c r="PVX1" s="1082"/>
      <c r="PVY1" s="1082"/>
      <c r="PVZ1" s="1082"/>
      <c r="PWA1" s="1082"/>
      <c r="PWB1" s="1082"/>
      <c r="PWC1" s="1082"/>
      <c r="PWD1" s="1082"/>
      <c r="PWE1" s="1082"/>
      <c r="PWF1" s="1082"/>
      <c r="PWG1" s="1082"/>
      <c r="PWH1" s="1082"/>
      <c r="PWI1" s="1082"/>
      <c r="PWJ1" s="1082"/>
      <c r="PWK1" s="1082"/>
      <c r="PWL1" s="1082"/>
      <c r="PWM1" s="1082"/>
      <c r="PWN1" s="1082"/>
      <c r="PWO1" s="1082"/>
      <c r="PWP1" s="1082"/>
      <c r="PWQ1" s="1082"/>
      <c r="PWR1" s="1082"/>
      <c r="PWS1" s="1082"/>
      <c r="PWT1" s="1082"/>
      <c r="PWU1" s="1082"/>
      <c r="PWV1" s="1082"/>
      <c r="PWW1" s="1082"/>
      <c r="PWX1" s="1082"/>
      <c r="PWY1" s="1082"/>
      <c r="PWZ1" s="1082"/>
      <c r="PXA1" s="1082"/>
      <c r="PXB1" s="1082"/>
      <c r="PXC1" s="1082"/>
      <c r="PXD1" s="1082"/>
      <c r="PXE1" s="1082"/>
      <c r="PXF1" s="1082"/>
      <c r="PXG1" s="1082"/>
      <c r="PXH1" s="1082"/>
      <c r="PXI1" s="1082"/>
      <c r="PXJ1" s="1082"/>
      <c r="PXK1" s="1082"/>
      <c r="PXL1" s="1082"/>
      <c r="PXM1" s="1082"/>
      <c r="PXN1" s="1082"/>
      <c r="PXO1" s="1082"/>
      <c r="PXP1" s="1082"/>
      <c r="PXQ1" s="1082"/>
      <c r="PXR1" s="1082"/>
      <c r="PXS1" s="1082"/>
      <c r="PXT1" s="1082"/>
      <c r="PXU1" s="1082"/>
      <c r="PXV1" s="1082"/>
      <c r="PXW1" s="1082"/>
      <c r="PXX1" s="1082"/>
      <c r="PXY1" s="1082"/>
      <c r="PXZ1" s="1082"/>
      <c r="PYA1" s="1082"/>
      <c r="PYB1" s="1082"/>
      <c r="PYC1" s="1082"/>
      <c r="PYD1" s="1082"/>
      <c r="PYE1" s="1082"/>
      <c r="PYF1" s="1082"/>
      <c r="PYG1" s="1082"/>
      <c r="PYH1" s="1082"/>
      <c r="PYI1" s="1082"/>
      <c r="PYJ1" s="1082"/>
      <c r="PYK1" s="1082"/>
      <c r="PYL1" s="1082"/>
      <c r="PYM1" s="1082"/>
      <c r="PYN1" s="1082"/>
      <c r="PYO1" s="1082"/>
      <c r="PYP1" s="1082"/>
      <c r="PYQ1" s="1082"/>
      <c r="PYR1" s="1082"/>
      <c r="PYS1" s="1082"/>
      <c r="PYT1" s="1082"/>
      <c r="PYU1" s="1082"/>
      <c r="PYV1" s="1082"/>
      <c r="PYW1" s="1082"/>
      <c r="PYX1" s="1082"/>
      <c r="PYY1" s="1082"/>
      <c r="PYZ1" s="1082"/>
      <c r="PZA1" s="1082"/>
      <c r="PZB1" s="1082"/>
      <c r="PZC1" s="1082"/>
      <c r="PZD1" s="1082"/>
      <c r="PZE1" s="1082"/>
      <c r="PZF1" s="1082"/>
      <c r="PZG1" s="1082"/>
      <c r="PZH1" s="1082"/>
      <c r="PZI1" s="1082"/>
      <c r="PZJ1" s="1082"/>
      <c r="PZK1" s="1082"/>
      <c r="PZL1" s="1082"/>
      <c r="PZM1" s="1082"/>
      <c r="PZN1" s="1082"/>
      <c r="PZO1" s="1082"/>
      <c r="PZP1" s="1082"/>
      <c r="PZQ1" s="1082"/>
      <c r="PZR1" s="1082"/>
      <c r="PZS1" s="1082"/>
      <c r="PZT1" s="1082"/>
      <c r="PZU1" s="1082"/>
      <c r="PZV1" s="1082"/>
      <c r="PZW1" s="1082"/>
      <c r="PZX1" s="1082"/>
      <c r="PZY1" s="1082"/>
      <c r="PZZ1" s="1082"/>
      <c r="QAA1" s="1082"/>
      <c r="QAB1" s="1082"/>
      <c r="QAC1" s="1082"/>
      <c r="QAD1" s="1082"/>
      <c r="QAE1" s="1082"/>
      <c r="QAF1" s="1082"/>
      <c r="QAG1" s="1082"/>
      <c r="QAH1" s="1082"/>
      <c r="QAI1" s="1082"/>
      <c r="QAJ1" s="1082"/>
      <c r="QAK1" s="1082"/>
      <c r="QAL1" s="1082"/>
      <c r="QAM1" s="1082"/>
      <c r="QAN1" s="1082"/>
      <c r="QAO1" s="1082"/>
      <c r="QAP1" s="1082"/>
      <c r="QAQ1" s="1082"/>
      <c r="QAR1" s="1082"/>
      <c r="QAS1" s="1082"/>
      <c r="QAT1" s="1082"/>
      <c r="QAU1" s="1082"/>
      <c r="QAV1" s="1082"/>
      <c r="QAW1" s="1082"/>
      <c r="QAX1" s="1082"/>
      <c r="QAY1" s="1082"/>
      <c r="QAZ1" s="1082"/>
      <c r="QBA1" s="1082"/>
      <c r="QBB1" s="1082"/>
      <c r="QBC1" s="1082"/>
      <c r="QBD1" s="1082"/>
      <c r="QBE1" s="1082"/>
      <c r="QBF1" s="1082"/>
      <c r="QBG1" s="1082"/>
      <c r="QBH1" s="1082"/>
      <c r="QBI1" s="1082"/>
      <c r="QBJ1" s="1082"/>
      <c r="QBK1" s="1082"/>
      <c r="QBL1" s="1082"/>
      <c r="QBM1" s="1082"/>
      <c r="QBN1" s="1082"/>
      <c r="QBO1" s="1082"/>
      <c r="QBP1" s="1082"/>
      <c r="QBQ1" s="1082"/>
      <c r="QBR1" s="1082"/>
      <c r="QBS1" s="1082"/>
      <c r="QBT1" s="1082"/>
      <c r="QBU1" s="1082"/>
      <c r="QBV1" s="1082"/>
      <c r="QBW1" s="1082"/>
      <c r="QBX1" s="1082"/>
      <c r="QBY1" s="1082"/>
      <c r="QBZ1" s="1082"/>
      <c r="QCA1" s="1082"/>
      <c r="QCB1" s="1082"/>
      <c r="QCC1" s="1082"/>
      <c r="QCD1" s="1082"/>
      <c r="QCE1" s="1082"/>
      <c r="QCF1" s="1082"/>
      <c r="QCG1" s="1082"/>
      <c r="QCH1" s="1082"/>
      <c r="QCI1" s="1082"/>
      <c r="QCJ1" s="1082"/>
      <c r="QCK1" s="1082"/>
      <c r="QCL1" s="1082"/>
      <c r="QCM1" s="1082"/>
      <c r="QCN1" s="1082"/>
      <c r="QCO1" s="1082"/>
      <c r="QCP1" s="1082"/>
      <c r="QCQ1" s="1082"/>
      <c r="QCR1" s="1082"/>
      <c r="QCS1" s="1082"/>
      <c r="QCT1" s="1082"/>
      <c r="QCU1" s="1082"/>
      <c r="QCV1" s="1082"/>
      <c r="QCW1" s="1082"/>
      <c r="QCX1" s="1082"/>
      <c r="QCY1" s="1082"/>
      <c r="QCZ1" s="1082"/>
      <c r="QDA1" s="1082"/>
      <c r="QDB1" s="1082"/>
      <c r="QDC1" s="1082"/>
      <c r="QDD1" s="1082"/>
      <c r="QDE1" s="1082"/>
      <c r="QDF1" s="1082"/>
      <c r="QDG1" s="1082"/>
      <c r="QDH1" s="1082"/>
      <c r="QDI1" s="1082"/>
      <c r="QDJ1" s="1082"/>
      <c r="QDK1" s="1082"/>
      <c r="QDL1" s="1082"/>
      <c r="QDM1" s="1082"/>
      <c r="QDN1" s="1082"/>
      <c r="QDO1" s="1082"/>
      <c r="QDP1" s="1082"/>
      <c r="QDQ1" s="1082"/>
      <c r="QDR1" s="1082"/>
      <c r="QDS1" s="1082"/>
      <c r="QDT1" s="1082"/>
      <c r="QDU1" s="1082"/>
      <c r="QDV1" s="1082"/>
      <c r="QDW1" s="1082"/>
      <c r="QDX1" s="1082"/>
      <c r="QDY1" s="1082"/>
      <c r="QDZ1" s="1082"/>
      <c r="QEA1" s="1082"/>
      <c r="QEB1" s="1082"/>
      <c r="QEC1" s="1082"/>
      <c r="QED1" s="1082"/>
      <c r="QEE1" s="1082"/>
      <c r="QEF1" s="1082"/>
      <c r="QEG1" s="1082"/>
      <c r="QEH1" s="1082"/>
      <c r="QEI1" s="1082"/>
      <c r="QEJ1" s="1082"/>
      <c r="QEK1" s="1082"/>
      <c r="QEL1" s="1082"/>
      <c r="QEM1" s="1082"/>
      <c r="QEN1" s="1082"/>
      <c r="QEO1" s="1082"/>
      <c r="QEP1" s="1082"/>
      <c r="QEQ1" s="1082"/>
      <c r="QER1" s="1082"/>
      <c r="QES1" s="1082"/>
      <c r="QET1" s="1082"/>
      <c r="QEU1" s="1082"/>
      <c r="QEV1" s="1082"/>
      <c r="QEW1" s="1082"/>
      <c r="QEX1" s="1082"/>
      <c r="QEY1" s="1082"/>
      <c r="QEZ1" s="1082"/>
      <c r="QFA1" s="1082"/>
      <c r="QFB1" s="1082"/>
      <c r="QFC1" s="1082"/>
      <c r="QFD1" s="1082"/>
      <c r="QFE1" s="1082"/>
      <c r="QFF1" s="1082"/>
      <c r="QFG1" s="1082"/>
      <c r="QFH1" s="1082"/>
      <c r="QFI1" s="1082"/>
      <c r="QFJ1" s="1082"/>
      <c r="QFK1" s="1082"/>
      <c r="QFL1" s="1082"/>
      <c r="QFM1" s="1082"/>
      <c r="QFN1" s="1082"/>
      <c r="QFO1" s="1082"/>
      <c r="QFP1" s="1082"/>
      <c r="QFQ1" s="1082"/>
      <c r="QFR1" s="1082"/>
      <c r="QFS1" s="1082"/>
      <c r="QFT1" s="1082"/>
      <c r="QFU1" s="1082"/>
      <c r="QFV1" s="1082"/>
      <c r="QFW1" s="1082"/>
      <c r="QFX1" s="1082"/>
      <c r="QFY1" s="1082"/>
      <c r="QFZ1" s="1082"/>
      <c r="QGA1" s="1082"/>
      <c r="QGB1" s="1082"/>
      <c r="QGC1" s="1082"/>
      <c r="QGD1" s="1082"/>
      <c r="QGE1" s="1082"/>
      <c r="QGF1" s="1082"/>
      <c r="QGG1" s="1082"/>
      <c r="QGH1" s="1082"/>
      <c r="QGI1" s="1082"/>
      <c r="QGJ1" s="1082"/>
      <c r="QGK1" s="1082"/>
      <c r="QGL1" s="1082"/>
      <c r="QGM1" s="1082"/>
      <c r="QGN1" s="1082"/>
      <c r="QGO1" s="1082"/>
      <c r="QGP1" s="1082"/>
      <c r="QGQ1" s="1082"/>
      <c r="QGR1" s="1082"/>
      <c r="QGS1" s="1082"/>
      <c r="QGT1" s="1082"/>
      <c r="QGU1" s="1082"/>
      <c r="QGV1" s="1082"/>
      <c r="QGW1" s="1082"/>
      <c r="QGX1" s="1082"/>
      <c r="QGY1" s="1082"/>
      <c r="QGZ1" s="1082"/>
      <c r="QHA1" s="1082"/>
      <c r="QHB1" s="1082"/>
      <c r="QHC1" s="1082"/>
      <c r="QHD1" s="1082"/>
      <c r="QHE1" s="1082"/>
      <c r="QHF1" s="1082"/>
      <c r="QHG1" s="1082"/>
      <c r="QHH1" s="1082"/>
      <c r="QHI1" s="1082"/>
      <c r="QHJ1" s="1082"/>
      <c r="QHK1" s="1082"/>
      <c r="QHL1" s="1082"/>
      <c r="QHM1" s="1082"/>
      <c r="QHN1" s="1082"/>
      <c r="QHO1" s="1082"/>
      <c r="QHP1" s="1082"/>
      <c r="QHQ1" s="1082"/>
      <c r="QHR1" s="1082"/>
      <c r="QHS1" s="1082"/>
      <c r="QHT1" s="1082"/>
      <c r="QHU1" s="1082"/>
      <c r="QHV1" s="1082"/>
      <c r="QHW1" s="1082"/>
      <c r="QHX1" s="1082"/>
      <c r="QHY1" s="1082"/>
      <c r="QHZ1" s="1082"/>
      <c r="QIA1" s="1082"/>
      <c r="QIB1" s="1082"/>
      <c r="QIC1" s="1082"/>
      <c r="QID1" s="1082"/>
      <c r="QIE1" s="1082"/>
      <c r="QIF1" s="1082"/>
      <c r="QIG1" s="1082"/>
      <c r="QIH1" s="1082"/>
      <c r="QII1" s="1082"/>
      <c r="QIJ1" s="1082"/>
      <c r="QIK1" s="1082"/>
      <c r="QIL1" s="1082"/>
      <c r="QIM1" s="1082"/>
      <c r="QIN1" s="1082"/>
      <c r="QIO1" s="1082"/>
      <c r="QIP1" s="1082"/>
      <c r="QIQ1" s="1082"/>
      <c r="QIR1" s="1082"/>
      <c r="QIS1" s="1082"/>
      <c r="QIT1" s="1082"/>
      <c r="QIU1" s="1082"/>
      <c r="QIV1" s="1082"/>
      <c r="QIW1" s="1082"/>
      <c r="QIX1" s="1082"/>
      <c r="QIY1" s="1082"/>
      <c r="QIZ1" s="1082"/>
      <c r="QJA1" s="1082"/>
      <c r="QJB1" s="1082"/>
      <c r="QJC1" s="1082"/>
      <c r="QJD1" s="1082"/>
      <c r="QJE1" s="1082"/>
      <c r="QJF1" s="1082"/>
      <c r="QJG1" s="1082"/>
      <c r="QJH1" s="1082"/>
      <c r="QJI1" s="1082"/>
      <c r="QJJ1" s="1082"/>
      <c r="QJK1" s="1082"/>
      <c r="QJL1" s="1082"/>
      <c r="QJM1" s="1082"/>
      <c r="QJN1" s="1082"/>
      <c r="QJO1" s="1082"/>
      <c r="QJP1" s="1082"/>
      <c r="QJQ1" s="1082"/>
      <c r="QJR1" s="1082"/>
      <c r="QJS1" s="1082"/>
      <c r="QJT1" s="1082"/>
      <c r="QJU1" s="1082"/>
      <c r="QJV1" s="1082"/>
      <c r="QJW1" s="1082"/>
      <c r="QJX1" s="1082"/>
      <c r="QJY1" s="1082"/>
      <c r="QJZ1" s="1082"/>
      <c r="QKA1" s="1082"/>
      <c r="QKB1" s="1082"/>
      <c r="QKC1" s="1082"/>
      <c r="QKD1" s="1082"/>
      <c r="QKE1" s="1082"/>
      <c r="QKF1" s="1082"/>
      <c r="QKG1" s="1082"/>
      <c r="QKH1" s="1082"/>
      <c r="QKI1" s="1082"/>
      <c r="QKJ1" s="1082"/>
      <c r="QKK1" s="1082"/>
      <c r="QKL1" s="1082"/>
      <c r="QKM1" s="1082"/>
      <c r="QKN1" s="1082"/>
      <c r="QKO1" s="1082"/>
      <c r="QKP1" s="1082"/>
      <c r="QKQ1" s="1082"/>
      <c r="QKR1" s="1082"/>
      <c r="QKS1" s="1082"/>
      <c r="QKT1" s="1082"/>
      <c r="QKU1" s="1082"/>
      <c r="QKV1" s="1082"/>
      <c r="QKW1" s="1082"/>
      <c r="QKX1" s="1082"/>
      <c r="QKY1" s="1082"/>
      <c r="QKZ1" s="1082"/>
      <c r="QLA1" s="1082"/>
      <c r="QLB1" s="1082"/>
      <c r="QLC1" s="1082"/>
      <c r="QLD1" s="1082"/>
      <c r="QLE1" s="1082"/>
      <c r="QLF1" s="1082"/>
      <c r="QLG1" s="1082"/>
      <c r="QLH1" s="1082"/>
      <c r="QLI1" s="1082"/>
      <c r="QLJ1" s="1082"/>
      <c r="QLK1" s="1082"/>
      <c r="QLL1" s="1082"/>
      <c r="QLM1" s="1082"/>
      <c r="QLN1" s="1082"/>
      <c r="QLO1" s="1082"/>
      <c r="QLP1" s="1082"/>
      <c r="QLQ1" s="1082"/>
      <c r="QLR1" s="1082"/>
      <c r="QLS1" s="1082"/>
      <c r="QLT1" s="1082"/>
      <c r="QLU1" s="1082"/>
      <c r="QLV1" s="1082"/>
      <c r="QLW1" s="1082"/>
      <c r="QLX1" s="1082"/>
      <c r="QLY1" s="1082"/>
      <c r="QLZ1" s="1082"/>
      <c r="QMA1" s="1082"/>
      <c r="QMB1" s="1082"/>
      <c r="QMC1" s="1082"/>
      <c r="QMD1" s="1082"/>
      <c r="QME1" s="1082"/>
      <c r="QMF1" s="1082"/>
      <c r="QMG1" s="1082"/>
      <c r="QMH1" s="1082"/>
      <c r="QMI1" s="1082"/>
      <c r="QMJ1" s="1082"/>
      <c r="QMK1" s="1082"/>
      <c r="QML1" s="1082"/>
      <c r="QMM1" s="1082"/>
      <c r="QMN1" s="1082"/>
      <c r="QMO1" s="1082"/>
      <c r="QMP1" s="1082"/>
      <c r="QMQ1" s="1082"/>
      <c r="QMR1" s="1082"/>
      <c r="QMS1" s="1082"/>
      <c r="QMT1" s="1082"/>
      <c r="QMU1" s="1082"/>
      <c r="QMV1" s="1082"/>
      <c r="QMW1" s="1082"/>
      <c r="QMX1" s="1082"/>
      <c r="QMY1" s="1082"/>
      <c r="QMZ1" s="1082"/>
      <c r="QNA1" s="1082"/>
      <c r="QNB1" s="1082"/>
      <c r="QNC1" s="1082"/>
      <c r="QND1" s="1082"/>
      <c r="QNE1" s="1082"/>
      <c r="QNF1" s="1082"/>
      <c r="QNG1" s="1082"/>
      <c r="QNH1" s="1082"/>
      <c r="QNI1" s="1082"/>
      <c r="QNJ1" s="1082"/>
      <c r="QNK1" s="1082"/>
      <c r="QNL1" s="1082"/>
      <c r="QNM1" s="1082"/>
      <c r="QNN1" s="1082"/>
      <c r="QNO1" s="1082"/>
      <c r="QNP1" s="1082"/>
      <c r="QNQ1" s="1082"/>
      <c r="QNR1" s="1082"/>
      <c r="QNS1" s="1082"/>
      <c r="QNT1" s="1082"/>
      <c r="QNU1" s="1082"/>
      <c r="QNV1" s="1082"/>
      <c r="QNW1" s="1082"/>
      <c r="QNX1" s="1082"/>
      <c r="QNY1" s="1082"/>
      <c r="QNZ1" s="1082"/>
      <c r="QOA1" s="1082"/>
      <c r="QOB1" s="1082"/>
      <c r="QOC1" s="1082"/>
      <c r="QOD1" s="1082"/>
      <c r="QOE1" s="1082"/>
      <c r="QOF1" s="1082"/>
      <c r="QOG1" s="1082"/>
      <c r="QOH1" s="1082"/>
      <c r="QOI1" s="1082"/>
      <c r="QOJ1" s="1082"/>
      <c r="QOK1" s="1082"/>
      <c r="QOL1" s="1082"/>
      <c r="QOM1" s="1082"/>
      <c r="QON1" s="1082"/>
      <c r="QOO1" s="1082"/>
      <c r="QOP1" s="1082"/>
      <c r="QOQ1" s="1082"/>
      <c r="QOR1" s="1082"/>
      <c r="QOS1" s="1082"/>
      <c r="QOT1" s="1082"/>
      <c r="QOU1" s="1082"/>
      <c r="QOV1" s="1082"/>
      <c r="QOW1" s="1082"/>
      <c r="QOX1" s="1082"/>
      <c r="QOY1" s="1082"/>
      <c r="QOZ1" s="1082"/>
      <c r="QPA1" s="1082"/>
      <c r="QPB1" s="1082"/>
      <c r="QPC1" s="1082"/>
      <c r="QPD1" s="1082"/>
      <c r="QPE1" s="1082"/>
      <c r="QPF1" s="1082"/>
      <c r="QPG1" s="1082"/>
      <c r="QPH1" s="1082"/>
      <c r="QPI1" s="1082"/>
      <c r="QPJ1" s="1082"/>
      <c r="QPK1" s="1082"/>
      <c r="QPL1" s="1082"/>
      <c r="QPM1" s="1082"/>
      <c r="QPN1" s="1082"/>
      <c r="QPO1" s="1082"/>
      <c r="QPP1" s="1082"/>
      <c r="QPQ1" s="1082"/>
      <c r="QPR1" s="1082"/>
      <c r="QPS1" s="1082"/>
      <c r="QPT1" s="1082"/>
      <c r="QPU1" s="1082"/>
      <c r="QPV1" s="1082"/>
      <c r="QPW1" s="1082"/>
      <c r="QPX1" s="1082"/>
      <c r="QPY1" s="1082"/>
      <c r="QPZ1" s="1082"/>
      <c r="QQA1" s="1082"/>
      <c r="QQB1" s="1082"/>
      <c r="QQC1" s="1082"/>
      <c r="QQD1" s="1082"/>
      <c r="QQE1" s="1082"/>
      <c r="QQF1" s="1082"/>
      <c r="QQG1" s="1082"/>
      <c r="QQH1" s="1082"/>
      <c r="QQI1" s="1082"/>
      <c r="QQJ1" s="1082"/>
      <c r="QQK1" s="1082"/>
      <c r="QQL1" s="1082"/>
      <c r="QQM1" s="1082"/>
      <c r="QQN1" s="1082"/>
      <c r="QQO1" s="1082"/>
      <c r="QQP1" s="1082"/>
      <c r="QQQ1" s="1082"/>
      <c r="QQR1" s="1082"/>
      <c r="QQS1" s="1082"/>
      <c r="QQT1" s="1082"/>
      <c r="QQU1" s="1082"/>
      <c r="QQV1" s="1082"/>
      <c r="QQW1" s="1082"/>
      <c r="QQX1" s="1082"/>
      <c r="QQY1" s="1082"/>
      <c r="QQZ1" s="1082"/>
      <c r="QRA1" s="1082"/>
      <c r="QRB1" s="1082"/>
      <c r="QRC1" s="1082"/>
      <c r="QRD1" s="1082"/>
      <c r="QRE1" s="1082"/>
      <c r="QRF1" s="1082"/>
      <c r="QRG1" s="1082"/>
      <c r="QRH1" s="1082"/>
      <c r="QRI1" s="1082"/>
      <c r="QRJ1" s="1082"/>
      <c r="QRK1" s="1082"/>
      <c r="QRL1" s="1082"/>
      <c r="QRM1" s="1082"/>
      <c r="QRN1" s="1082"/>
      <c r="QRO1" s="1082"/>
      <c r="QRP1" s="1082"/>
      <c r="QRQ1" s="1082"/>
      <c r="QRR1" s="1082"/>
      <c r="QRS1" s="1082"/>
      <c r="QRT1" s="1082"/>
      <c r="QRU1" s="1082"/>
      <c r="QRV1" s="1082"/>
      <c r="QRW1" s="1082"/>
      <c r="QRX1" s="1082"/>
      <c r="QRY1" s="1082"/>
      <c r="QRZ1" s="1082"/>
      <c r="QSA1" s="1082"/>
      <c r="QSB1" s="1082"/>
      <c r="QSC1" s="1082"/>
      <c r="QSD1" s="1082"/>
      <c r="QSE1" s="1082"/>
      <c r="QSF1" s="1082"/>
      <c r="QSG1" s="1082"/>
      <c r="QSH1" s="1082"/>
      <c r="QSI1" s="1082"/>
      <c r="QSJ1" s="1082"/>
      <c r="QSK1" s="1082"/>
      <c r="QSL1" s="1082"/>
      <c r="QSM1" s="1082"/>
      <c r="QSN1" s="1082"/>
      <c r="QSO1" s="1082"/>
      <c r="QSP1" s="1082"/>
      <c r="QSQ1" s="1082"/>
      <c r="QSR1" s="1082"/>
      <c r="QSS1" s="1082"/>
      <c r="QST1" s="1082"/>
      <c r="QSU1" s="1082"/>
      <c r="QSV1" s="1082"/>
      <c r="QSW1" s="1082"/>
      <c r="QSX1" s="1082"/>
      <c r="QSY1" s="1082"/>
      <c r="QSZ1" s="1082"/>
      <c r="QTA1" s="1082"/>
      <c r="QTB1" s="1082"/>
      <c r="QTC1" s="1082"/>
      <c r="QTD1" s="1082"/>
      <c r="QTE1" s="1082"/>
      <c r="QTF1" s="1082"/>
      <c r="QTG1" s="1082"/>
      <c r="QTH1" s="1082"/>
      <c r="QTI1" s="1082"/>
      <c r="QTJ1" s="1082"/>
      <c r="QTK1" s="1082"/>
      <c r="QTL1" s="1082"/>
      <c r="QTM1" s="1082"/>
      <c r="QTN1" s="1082"/>
      <c r="QTO1" s="1082"/>
      <c r="QTP1" s="1082"/>
      <c r="QTQ1" s="1082"/>
      <c r="QTR1" s="1082"/>
      <c r="QTS1" s="1082"/>
      <c r="QTT1" s="1082"/>
      <c r="QTU1" s="1082"/>
      <c r="QTV1" s="1082"/>
      <c r="QTW1" s="1082"/>
      <c r="QTX1" s="1082"/>
      <c r="QTY1" s="1082"/>
      <c r="QTZ1" s="1082"/>
      <c r="QUA1" s="1082"/>
      <c r="QUB1" s="1082"/>
      <c r="QUC1" s="1082"/>
      <c r="QUD1" s="1082"/>
      <c r="QUE1" s="1082"/>
      <c r="QUF1" s="1082"/>
      <c r="QUG1" s="1082"/>
      <c r="QUH1" s="1082"/>
      <c r="QUI1" s="1082"/>
      <c r="QUJ1" s="1082"/>
      <c r="QUK1" s="1082"/>
      <c r="QUL1" s="1082"/>
      <c r="QUM1" s="1082"/>
      <c r="QUN1" s="1082"/>
      <c r="QUO1" s="1082"/>
      <c r="QUP1" s="1082"/>
      <c r="QUQ1" s="1082"/>
      <c r="QUR1" s="1082"/>
      <c r="QUS1" s="1082"/>
      <c r="QUT1" s="1082"/>
      <c r="QUU1" s="1082"/>
      <c r="QUV1" s="1082"/>
      <c r="QUW1" s="1082"/>
      <c r="QUX1" s="1082"/>
      <c r="QUY1" s="1082"/>
      <c r="QUZ1" s="1082"/>
      <c r="QVA1" s="1082"/>
      <c r="QVB1" s="1082"/>
      <c r="QVC1" s="1082"/>
      <c r="QVD1" s="1082"/>
      <c r="QVE1" s="1082"/>
      <c r="QVF1" s="1082"/>
      <c r="QVG1" s="1082"/>
      <c r="QVH1" s="1082"/>
      <c r="QVI1" s="1082"/>
      <c r="QVJ1" s="1082"/>
      <c r="QVK1" s="1082"/>
      <c r="QVL1" s="1082"/>
      <c r="QVM1" s="1082"/>
      <c r="QVN1" s="1082"/>
      <c r="QVO1" s="1082"/>
      <c r="QVP1" s="1082"/>
      <c r="QVQ1" s="1082"/>
      <c r="QVR1" s="1082"/>
      <c r="QVS1" s="1082"/>
      <c r="QVT1" s="1082"/>
      <c r="QVU1" s="1082"/>
      <c r="QVV1" s="1082"/>
      <c r="QVW1" s="1082"/>
      <c r="QVX1" s="1082"/>
      <c r="QVY1" s="1082"/>
      <c r="QVZ1" s="1082"/>
      <c r="QWA1" s="1082"/>
      <c r="QWB1" s="1082"/>
      <c r="QWC1" s="1082"/>
      <c r="QWD1" s="1082"/>
      <c r="QWE1" s="1082"/>
      <c r="QWF1" s="1082"/>
      <c r="QWG1" s="1082"/>
      <c r="QWH1" s="1082"/>
      <c r="QWI1" s="1082"/>
      <c r="QWJ1" s="1082"/>
      <c r="QWK1" s="1082"/>
      <c r="QWL1" s="1082"/>
      <c r="QWM1" s="1082"/>
      <c r="QWN1" s="1082"/>
      <c r="QWO1" s="1082"/>
      <c r="QWP1" s="1082"/>
      <c r="QWQ1" s="1082"/>
      <c r="QWR1" s="1082"/>
      <c r="QWS1" s="1082"/>
      <c r="QWT1" s="1082"/>
      <c r="QWU1" s="1082"/>
      <c r="QWV1" s="1082"/>
      <c r="QWW1" s="1082"/>
      <c r="QWX1" s="1082"/>
      <c r="QWY1" s="1082"/>
      <c r="QWZ1" s="1082"/>
      <c r="QXA1" s="1082"/>
      <c r="QXB1" s="1082"/>
      <c r="QXC1" s="1082"/>
      <c r="QXD1" s="1082"/>
      <c r="QXE1" s="1082"/>
      <c r="QXF1" s="1082"/>
      <c r="QXG1" s="1082"/>
      <c r="QXH1" s="1082"/>
      <c r="QXI1" s="1082"/>
      <c r="QXJ1" s="1082"/>
      <c r="QXK1" s="1082"/>
      <c r="QXL1" s="1082"/>
      <c r="QXM1" s="1082"/>
      <c r="QXN1" s="1082"/>
      <c r="QXO1" s="1082"/>
      <c r="QXP1" s="1082"/>
      <c r="QXQ1" s="1082"/>
      <c r="QXR1" s="1082"/>
      <c r="QXS1" s="1082"/>
      <c r="QXT1" s="1082"/>
      <c r="QXU1" s="1082"/>
      <c r="QXV1" s="1082"/>
      <c r="QXW1" s="1082"/>
      <c r="QXX1" s="1082"/>
      <c r="QXY1" s="1082"/>
      <c r="QXZ1" s="1082"/>
      <c r="QYA1" s="1082"/>
      <c r="QYB1" s="1082"/>
      <c r="QYC1" s="1082"/>
      <c r="QYD1" s="1082"/>
      <c r="QYE1" s="1082"/>
      <c r="QYF1" s="1082"/>
      <c r="QYG1" s="1082"/>
      <c r="QYH1" s="1082"/>
      <c r="QYI1" s="1082"/>
      <c r="QYJ1" s="1082"/>
      <c r="QYK1" s="1082"/>
      <c r="QYL1" s="1082"/>
      <c r="QYM1" s="1082"/>
      <c r="QYN1" s="1082"/>
      <c r="QYO1" s="1082"/>
      <c r="QYP1" s="1082"/>
      <c r="QYQ1" s="1082"/>
      <c r="QYR1" s="1082"/>
      <c r="QYS1" s="1082"/>
      <c r="QYT1" s="1082"/>
      <c r="QYU1" s="1082"/>
      <c r="QYV1" s="1082"/>
      <c r="QYW1" s="1082"/>
      <c r="QYX1" s="1082"/>
      <c r="QYY1" s="1082"/>
      <c r="QYZ1" s="1082"/>
      <c r="QZA1" s="1082"/>
      <c r="QZB1" s="1082"/>
      <c r="QZC1" s="1082"/>
      <c r="QZD1" s="1082"/>
      <c r="QZE1" s="1082"/>
      <c r="QZF1" s="1082"/>
      <c r="QZG1" s="1082"/>
      <c r="QZH1" s="1082"/>
      <c r="QZI1" s="1082"/>
      <c r="QZJ1" s="1082"/>
      <c r="QZK1" s="1082"/>
      <c r="QZL1" s="1082"/>
      <c r="QZM1" s="1082"/>
      <c r="QZN1" s="1082"/>
      <c r="QZO1" s="1082"/>
      <c r="QZP1" s="1082"/>
      <c r="QZQ1" s="1082"/>
      <c r="QZR1" s="1082"/>
      <c r="QZS1" s="1082"/>
      <c r="QZT1" s="1082"/>
      <c r="QZU1" s="1082"/>
      <c r="QZV1" s="1082"/>
      <c r="QZW1" s="1082"/>
      <c r="QZX1" s="1082"/>
      <c r="QZY1" s="1082"/>
      <c r="QZZ1" s="1082"/>
      <c r="RAA1" s="1082"/>
      <c r="RAB1" s="1082"/>
      <c r="RAC1" s="1082"/>
      <c r="RAD1" s="1082"/>
      <c r="RAE1" s="1082"/>
      <c r="RAF1" s="1082"/>
      <c r="RAG1" s="1082"/>
      <c r="RAH1" s="1082"/>
      <c r="RAI1" s="1082"/>
      <c r="RAJ1" s="1082"/>
      <c r="RAK1" s="1082"/>
      <c r="RAL1" s="1082"/>
      <c r="RAM1" s="1082"/>
      <c r="RAN1" s="1082"/>
      <c r="RAO1" s="1082"/>
      <c r="RAP1" s="1082"/>
      <c r="RAQ1" s="1082"/>
      <c r="RAR1" s="1082"/>
      <c r="RAS1" s="1082"/>
      <c r="RAT1" s="1082"/>
      <c r="RAU1" s="1082"/>
      <c r="RAV1" s="1082"/>
      <c r="RAW1" s="1082"/>
      <c r="RAX1" s="1082"/>
      <c r="RAY1" s="1082"/>
      <c r="RAZ1" s="1082"/>
      <c r="RBA1" s="1082"/>
      <c r="RBB1" s="1082"/>
      <c r="RBC1" s="1082"/>
      <c r="RBD1" s="1082"/>
      <c r="RBE1" s="1082"/>
      <c r="RBF1" s="1082"/>
      <c r="RBG1" s="1082"/>
      <c r="RBH1" s="1082"/>
      <c r="RBI1" s="1082"/>
      <c r="RBJ1" s="1082"/>
      <c r="RBK1" s="1082"/>
      <c r="RBL1" s="1082"/>
      <c r="RBM1" s="1082"/>
      <c r="RBN1" s="1082"/>
      <c r="RBO1" s="1082"/>
      <c r="RBP1" s="1082"/>
      <c r="RBQ1" s="1082"/>
      <c r="RBR1" s="1082"/>
      <c r="RBS1" s="1082"/>
      <c r="RBT1" s="1082"/>
      <c r="RBU1" s="1082"/>
      <c r="RBV1" s="1082"/>
      <c r="RBW1" s="1082"/>
      <c r="RBX1" s="1082"/>
      <c r="RBY1" s="1082"/>
      <c r="RBZ1" s="1082"/>
      <c r="RCA1" s="1082"/>
      <c r="RCB1" s="1082"/>
      <c r="RCC1" s="1082"/>
      <c r="RCD1" s="1082"/>
      <c r="RCE1" s="1082"/>
      <c r="RCF1" s="1082"/>
      <c r="RCG1" s="1082"/>
      <c r="RCH1" s="1082"/>
      <c r="RCI1" s="1082"/>
      <c r="RCJ1" s="1082"/>
      <c r="RCK1" s="1082"/>
      <c r="RCL1" s="1082"/>
      <c r="RCM1" s="1082"/>
      <c r="RCN1" s="1082"/>
      <c r="RCO1" s="1082"/>
      <c r="RCP1" s="1082"/>
      <c r="RCQ1" s="1082"/>
      <c r="RCR1" s="1082"/>
      <c r="RCS1" s="1082"/>
      <c r="RCT1" s="1082"/>
      <c r="RCU1" s="1082"/>
      <c r="RCV1" s="1082"/>
      <c r="RCW1" s="1082"/>
      <c r="RCX1" s="1082"/>
      <c r="RCY1" s="1082"/>
      <c r="RCZ1" s="1082"/>
      <c r="RDA1" s="1082"/>
      <c r="RDB1" s="1082"/>
      <c r="RDC1" s="1082"/>
      <c r="RDD1" s="1082"/>
      <c r="RDE1" s="1082"/>
      <c r="RDF1" s="1082"/>
      <c r="RDG1" s="1082"/>
      <c r="RDH1" s="1082"/>
      <c r="RDI1" s="1082"/>
      <c r="RDJ1" s="1082"/>
      <c r="RDK1" s="1082"/>
      <c r="RDL1" s="1082"/>
      <c r="RDM1" s="1082"/>
      <c r="RDN1" s="1082"/>
      <c r="RDO1" s="1082"/>
      <c r="RDP1" s="1082"/>
      <c r="RDQ1" s="1082"/>
      <c r="RDR1" s="1082"/>
      <c r="RDS1" s="1082"/>
      <c r="RDT1" s="1082"/>
      <c r="RDU1" s="1082"/>
      <c r="RDV1" s="1082"/>
      <c r="RDW1" s="1082"/>
      <c r="RDX1" s="1082"/>
      <c r="RDY1" s="1082"/>
      <c r="RDZ1" s="1082"/>
      <c r="REA1" s="1082"/>
      <c r="REB1" s="1082"/>
      <c r="REC1" s="1082"/>
      <c r="RED1" s="1082"/>
      <c r="REE1" s="1082"/>
      <c r="REF1" s="1082"/>
      <c r="REG1" s="1082"/>
      <c r="REH1" s="1082"/>
      <c r="REI1" s="1082"/>
      <c r="REJ1" s="1082"/>
      <c r="REK1" s="1082"/>
      <c r="REL1" s="1082"/>
      <c r="REM1" s="1082"/>
      <c r="REN1" s="1082"/>
      <c r="REO1" s="1082"/>
      <c r="REP1" s="1082"/>
      <c r="REQ1" s="1082"/>
      <c r="RER1" s="1082"/>
      <c r="RES1" s="1082"/>
      <c r="RET1" s="1082"/>
      <c r="REU1" s="1082"/>
      <c r="REV1" s="1082"/>
      <c r="REW1" s="1082"/>
      <c r="REX1" s="1082"/>
      <c r="REY1" s="1082"/>
      <c r="REZ1" s="1082"/>
      <c r="RFA1" s="1082"/>
      <c r="RFB1" s="1082"/>
      <c r="RFC1" s="1082"/>
      <c r="RFD1" s="1082"/>
      <c r="RFE1" s="1082"/>
      <c r="RFF1" s="1082"/>
      <c r="RFG1" s="1082"/>
      <c r="RFH1" s="1082"/>
      <c r="RFI1" s="1082"/>
      <c r="RFJ1" s="1082"/>
      <c r="RFK1" s="1082"/>
      <c r="RFL1" s="1082"/>
      <c r="RFM1" s="1082"/>
      <c r="RFN1" s="1082"/>
      <c r="RFO1" s="1082"/>
      <c r="RFP1" s="1082"/>
      <c r="RFQ1" s="1082"/>
      <c r="RFR1" s="1082"/>
      <c r="RFS1" s="1082"/>
      <c r="RFT1" s="1082"/>
      <c r="RFU1" s="1082"/>
      <c r="RFV1" s="1082"/>
      <c r="RFW1" s="1082"/>
      <c r="RFX1" s="1082"/>
      <c r="RFY1" s="1082"/>
      <c r="RFZ1" s="1082"/>
      <c r="RGA1" s="1082"/>
      <c r="RGB1" s="1082"/>
      <c r="RGC1" s="1082"/>
      <c r="RGD1" s="1082"/>
      <c r="RGE1" s="1082"/>
      <c r="RGF1" s="1082"/>
      <c r="RGG1" s="1082"/>
      <c r="RGH1" s="1082"/>
      <c r="RGI1" s="1082"/>
      <c r="RGJ1" s="1082"/>
      <c r="RGK1" s="1082"/>
      <c r="RGL1" s="1082"/>
      <c r="RGM1" s="1082"/>
      <c r="RGN1" s="1082"/>
      <c r="RGO1" s="1082"/>
      <c r="RGP1" s="1082"/>
      <c r="RGQ1" s="1082"/>
      <c r="RGR1" s="1082"/>
      <c r="RGS1" s="1082"/>
      <c r="RGT1" s="1082"/>
      <c r="RGU1" s="1082"/>
      <c r="RGV1" s="1082"/>
      <c r="RGW1" s="1082"/>
      <c r="RGX1" s="1082"/>
      <c r="RGY1" s="1082"/>
      <c r="RGZ1" s="1082"/>
      <c r="RHA1" s="1082"/>
      <c r="RHB1" s="1082"/>
      <c r="RHC1" s="1082"/>
      <c r="RHD1" s="1082"/>
      <c r="RHE1" s="1082"/>
      <c r="RHF1" s="1082"/>
      <c r="RHG1" s="1082"/>
      <c r="RHH1" s="1082"/>
      <c r="RHI1" s="1082"/>
      <c r="RHJ1" s="1082"/>
      <c r="RHK1" s="1082"/>
      <c r="RHL1" s="1082"/>
      <c r="RHM1" s="1082"/>
      <c r="RHN1" s="1082"/>
      <c r="RHO1" s="1082"/>
      <c r="RHP1" s="1082"/>
      <c r="RHQ1" s="1082"/>
      <c r="RHR1" s="1082"/>
      <c r="RHS1" s="1082"/>
      <c r="RHT1" s="1082"/>
      <c r="RHU1" s="1082"/>
      <c r="RHV1" s="1082"/>
      <c r="RHW1" s="1082"/>
      <c r="RHX1" s="1082"/>
      <c r="RHY1" s="1082"/>
      <c r="RHZ1" s="1082"/>
      <c r="RIA1" s="1082"/>
      <c r="RIB1" s="1082"/>
      <c r="RIC1" s="1082"/>
      <c r="RID1" s="1082"/>
      <c r="RIE1" s="1082"/>
      <c r="RIF1" s="1082"/>
      <c r="RIG1" s="1082"/>
      <c r="RIH1" s="1082"/>
      <c r="RII1" s="1082"/>
      <c r="RIJ1" s="1082"/>
      <c r="RIK1" s="1082"/>
      <c r="RIL1" s="1082"/>
      <c r="RIM1" s="1082"/>
      <c r="RIN1" s="1082"/>
      <c r="RIO1" s="1082"/>
      <c r="RIP1" s="1082"/>
      <c r="RIQ1" s="1082"/>
      <c r="RIR1" s="1082"/>
      <c r="RIS1" s="1082"/>
      <c r="RIT1" s="1082"/>
      <c r="RIU1" s="1082"/>
      <c r="RIV1" s="1082"/>
      <c r="RIW1" s="1082"/>
      <c r="RIX1" s="1082"/>
      <c r="RIY1" s="1082"/>
      <c r="RIZ1" s="1082"/>
      <c r="RJA1" s="1082"/>
      <c r="RJB1" s="1082"/>
      <c r="RJC1" s="1082"/>
      <c r="RJD1" s="1082"/>
      <c r="RJE1" s="1082"/>
      <c r="RJF1" s="1082"/>
      <c r="RJG1" s="1082"/>
      <c r="RJH1" s="1082"/>
      <c r="RJI1" s="1082"/>
      <c r="RJJ1" s="1082"/>
      <c r="RJK1" s="1082"/>
      <c r="RJL1" s="1082"/>
      <c r="RJM1" s="1082"/>
      <c r="RJN1" s="1082"/>
      <c r="RJO1" s="1082"/>
      <c r="RJP1" s="1082"/>
      <c r="RJQ1" s="1082"/>
      <c r="RJR1" s="1082"/>
      <c r="RJS1" s="1082"/>
      <c r="RJT1" s="1082"/>
      <c r="RJU1" s="1082"/>
      <c r="RJV1" s="1082"/>
      <c r="RJW1" s="1082"/>
      <c r="RJX1" s="1082"/>
      <c r="RJY1" s="1082"/>
      <c r="RJZ1" s="1082"/>
      <c r="RKA1" s="1082"/>
      <c r="RKB1" s="1082"/>
      <c r="RKC1" s="1082"/>
      <c r="RKD1" s="1082"/>
      <c r="RKE1" s="1082"/>
      <c r="RKF1" s="1082"/>
      <c r="RKG1" s="1082"/>
      <c r="RKH1" s="1082"/>
      <c r="RKI1" s="1082"/>
      <c r="RKJ1" s="1082"/>
      <c r="RKK1" s="1082"/>
      <c r="RKL1" s="1082"/>
      <c r="RKM1" s="1082"/>
      <c r="RKN1" s="1082"/>
      <c r="RKO1" s="1082"/>
      <c r="RKP1" s="1082"/>
      <c r="RKQ1" s="1082"/>
      <c r="RKR1" s="1082"/>
      <c r="RKS1" s="1082"/>
      <c r="RKT1" s="1082"/>
      <c r="RKU1" s="1082"/>
      <c r="RKV1" s="1082"/>
      <c r="RKW1" s="1082"/>
      <c r="RKX1" s="1082"/>
      <c r="RKY1" s="1082"/>
      <c r="RKZ1" s="1082"/>
      <c r="RLA1" s="1082"/>
      <c r="RLB1" s="1082"/>
      <c r="RLC1" s="1082"/>
      <c r="RLD1" s="1082"/>
      <c r="RLE1" s="1082"/>
      <c r="RLF1" s="1082"/>
      <c r="RLG1" s="1082"/>
      <c r="RLH1" s="1082"/>
      <c r="RLI1" s="1082"/>
      <c r="RLJ1" s="1082"/>
      <c r="RLK1" s="1082"/>
      <c r="RLL1" s="1082"/>
      <c r="RLM1" s="1082"/>
      <c r="RLN1" s="1082"/>
      <c r="RLO1" s="1082"/>
      <c r="RLP1" s="1082"/>
      <c r="RLQ1" s="1082"/>
      <c r="RLR1" s="1082"/>
      <c r="RLS1" s="1082"/>
      <c r="RLT1" s="1082"/>
      <c r="RLU1" s="1082"/>
      <c r="RLV1" s="1082"/>
      <c r="RLW1" s="1082"/>
      <c r="RLX1" s="1082"/>
      <c r="RLY1" s="1082"/>
      <c r="RLZ1" s="1082"/>
      <c r="RMA1" s="1082"/>
      <c r="RMB1" s="1082"/>
      <c r="RMC1" s="1082"/>
      <c r="RMD1" s="1082"/>
      <c r="RME1" s="1082"/>
      <c r="RMF1" s="1082"/>
      <c r="RMG1" s="1082"/>
      <c r="RMH1" s="1082"/>
      <c r="RMI1" s="1082"/>
      <c r="RMJ1" s="1082"/>
      <c r="RMK1" s="1082"/>
      <c r="RML1" s="1082"/>
      <c r="RMM1" s="1082"/>
      <c r="RMN1" s="1082"/>
      <c r="RMO1" s="1082"/>
      <c r="RMP1" s="1082"/>
      <c r="RMQ1" s="1082"/>
      <c r="RMR1" s="1082"/>
      <c r="RMS1" s="1082"/>
      <c r="RMT1" s="1082"/>
      <c r="RMU1" s="1082"/>
      <c r="RMV1" s="1082"/>
      <c r="RMW1" s="1082"/>
      <c r="RMX1" s="1082"/>
      <c r="RMY1" s="1082"/>
      <c r="RMZ1" s="1082"/>
      <c r="RNA1" s="1082"/>
      <c r="RNB1" s="1082"/>
      <c r="RNC1" s="1082"/>
      <c r="RND1" s="1082"/>
      <c r="RNE1" s="1082"/>
      <c r="RNF1" s="1082"/>
      <c r="RNG1" s="1082"/>
      <c r="RNH1" s="1082"/>
      <c r="RNI1" s="1082"/>
      <c r="RNJ1" s="1082"/>
      <c r="RNK1" s="1082"/>
      <c r="RNL1" s="1082"/>
      <c r="RNM1" s="1082"/>
      <c r="RNN1" s="1082"/>
      <c r="RNO1" s="1082"/>
      <c r="RNP1" s="1082"/>
      <c r="RNQ1" s="1082"/>
      <c r="RNR1" s="1082"/>
      <c r="RNS1" s="1082"/>
      <c r="RNT1" s="1082"/>
      <c r="RNU1" s="1082"/>
      <c r="RNV1" s="1082"/>
      <c r="RNW1" s="1082"/>
      <c r="RNX1" s="1082"/>
      <c r="RNY1" s="1082"/>
      <c r="RNZ1" s="1082"/>
      <c r="ROA1" s="1082"/>
      <c r="ROB1" s="1082"/>
      <c r="ROC1" s="1082"/>
      <c r="ROD1" s="1082"/>
      <c r="ROE1" s="1082"/>
      <c r="ROF1" s="1082"/>
      <c r="ROG1" s="1082"/>
      <c r="ROH1" s="1082"/>
      <c r="ROI1" s="1082"/>
      <c r="ROJ1" s="1082"/>
      <c r="ROK1" s="1082"/>
      <c r="ROL1" s="1082"/>
      <c r="ROM1" s="1082"/>
      <c r="RON1" s="1082"/>
      <c r="ROO1" s="1082"/>
      <c r="ROP1" s="1082"/>
      <c r="ROQ1" s="1082"/>
      <c r="ROR1" s="1082"/>
      <c r="ROS1" s="1082"/>
      <c r="ROT1" s="1082"/>
      <c r="ROU1" s="1082"/>
      <c r="ROV1" s="1082"/>
      <c r="ROW1" s="1082"/>
      <c r="ROX1" s="1082"/>
      <c r="ROY1" s="1082"/>
      <c r="ROZ1" s="1082"/>
      <c r="RPA1" s="1082"/>
      <c r="RPB1" s="1082"/>
      <c r="RPC1" s="1082"/>
      <c r="RPD1" s="1082"/>
      <c r="RPE1" s="1082"/>
      <c r="RPF1" s="1082"/>
      <c r="RPG1" s="1082"/>
      <c r="RPH1" s="1082"/>
      <c r="RPI1" s="1082"/>
      <c r="RPJ1" s="1082"/>
      <c r="RPK1" s="1082"/>
      <c r="RPL1" s="1082"/>
      <c r="RPM1" s="1082"/>
      <c r="RPN1" s="1082"/>
      <c r="RPO1" s="1082"/>
      <c r="RPP1" s="1082"/>
      <c r="RPQ1" s="1082"/>
      <c r="RPR1" s="1082"/>
      <c r="RPS1" s="1082"/>
      <c r="RPT1" s="1082"/>
      <c r="RPU1" s="1082"/>
      <c r="RPV1" s="1082"/>
      <c r="RPW1" s="1082"/>
      <c r="RPX1" s="1082"/>
      <c r="RPY1" s="1082"/>
      <c r="RPZ1" s="1082"/>
      <c r="RQA1" s="1082"/>
      <c r="RQB1" s="1082"/>
      <c r="RQC1" s="1082"/>
      <c r="RQD1" s="1082"/>
      <c r="RQE1" s="1082"/>
      <c r="RQF1" s="1082"/>
      <c r="RQG1" s="1082"/>
      <c r="RQH1" s="1082"/>
      <c r="RQI1" s="1082"/>
      <c r="RQJ1" s="1082"/>
      <c r="RQK1" s="1082"/>
      <c r="RQL1" s="1082"/>
      <c r="RQM1" s="1082"/>
      <c r="RQN1" s="1082"/>
      <c r="RQO1" s="1082"/>
      <c r="RQP1" s="1082"/>
      <c r="RQQ1" s="1082"/>
      <c r="RQR1" s="1082"/>
      <c r="RQS1" s="1082"/>
      <c r="RQT1" s="1082"/>
      <c r="RQU1" s="1082"/>
      <c r="RQV1" s="1082"/>
      <c r="RQW1" s="1082"/>
      <c r="RQX1" s="1082"/>
      <c r="RQY1" s="1082"/>
      <c r="RQZ1" s="1082"/>
      <c r="RRA1" s="1082"/>
      <c r="RRB1" s="1082"/>
      <c r="RRC1" s="1082"/>
      <c r="RRD1" s="1082"/>
      <c r="RRE1" s="1082"/>
      <c r="RRF1" s="1082"/>
      <c r="RRG1" s="1082"/>
      <c r="RRH1" s="1082"/>
      <c r="RRI1" s="1082"/>
      <c r="RRJ1" s="1082"/>
      <c r="RRK1" s="1082"/>
      <c r="RRL1" s="1082"/>
      <c r="RRM1" s="1082"/>
      <c r="RRN1" s="1082"/>
      <c r="RRO1" s="1082"/>
      <c r="RRP1" s="1082"/>
      <c r="RRQ1" s="1082"/>
      <c r="RRR1" s="1082"/>
      <c r="RRS1" s="1082"/>
      <c r="RRT1" s="1082"/>
      <c r="RRU1" s="1082"/>
      <c r="RRV1" s="1082"/>
      <c r="RRW1" s="1082"/>
      <c r="RRX1" s="1082"/>
      <c r="RRY1" s="1082"/>
      <c r="RRZ1" s="1082"/>
      <c r="RSA1" s="1082"/>
      <c r="RSB1" s="1082"/>
      <c r="RSC1" s="1082"/>
      <c r="RSD1" s="1082"/>
      <c r="RSE1" s="1082"/>
      <c r="RSF1" s="1082"/>
      <c r="RSG1" s="1082"/>
      <c r="RSH1" s="1082"/>
      <c r="RSI1" s="1082"/>
      <c r="RSJ1" s="1082"/>
      <c r="RSK1" s="1082"/>
      <c r="RSL1" s="1082"/>
      <c r="RSM1" s="1082"/>
      <c r="RSN1" s="1082"/>
      <c r="RSO1" s="1082"/>
      <c r="RSP1" s="1082"/>
      <c r="RSQ1" s="1082"/>
      <c r="RSR1" s="1082"/>
      <c r="RSS1" s="1082"/>
      <c r="RST1" s="1082"/>
      <c r="RSU1" s="1082"/>
      <c r="RSV1" s="1082"/>
      <c r="RSW1" s="1082"/>
      <c r="RSX1" s="1082"/>
      <c r="RSY1" s="1082"/>
      <c r="RSZ1" s="1082"/>
      <c r="RTA1" s="1082"/>
      <c r="RTB1" s="1082"/>
      <c r="RTC1" s="1082"/>
      <c r="RTD1" s="1082"/>
      <c r="RTE1" s="1082"/>
      <c r="RTF1" s="1082"/>
      <c r="RTG1" s="1082"/>
      <c r="RTH1" s="1082"/>
      <c r="RTI1" s="1082"/>
      <c r="RTJ1" s="1082"/>
      <c r="RTK1" s="1082"/>
      <c r="RTL1" s="1082"/>
      <c r="RTM1" s="1082"/>
      <c r="RTN1" s="1082"/>
      <c r="RTO1" s="1082"/>
      <c r="RTP1" s="1082"/>
      <c r="RTQ1" s="1082"/>
      <c r="RTR1" s="1082"/>
      <c r="RTS1" s="1082"/>
      <c r="RTT1" s="1082"/>
      <c r="RTU1" s="1082"/>
      <c r="RTV1" s="1082"/>
      <c r="RTW1" s="1082"/>
      <c r="RTX1" s="1082"/>
      <c r="RTY1" s="1082"/>
      <c r="RTZ1" s="1082"/>
      <c r="RUA1" s="1082"/>
      <c r="RUB1" s="1082"/>
      <c r="RUC1" s="1082"/>
      <c r="RUD1" s="1082"/>
      <c r="RUE1" s="1082"/>
      <c r="RUF1" s="1082"/>
      <c r="RUG1" s="1082"/>
      <c r="RUH1" s="1082"/>
      <c r="RUI1" s="1082"/>
      <c r="RUJ1" s="1082"/>
      <c r="RUK1" s="1082"/>
      <c r="RUL1" s="1082"/>
      <c r="RUM1" s="1082"/>
      <c r="RUN1" s="1082"/>
      <c r="RUO1" s="1082"/>
      <c r="RUP1" s="1082"/>
      <c r="RUQ1" s="1082"/>
      <c r="RUR1" s="1082"/>
      <c r="RUS1" s="1082"/>
      <c r="RUT1" s="1082"/>
      <c r="RUU1" s="1082"/>
      <c r="RUV1" s="1082"/>
      <c r="RUW1" s="1082"/>
      <c r="RUX1" s="1082"/>
      <c r="RUY1" s="1082"/>
      <c r="RUZ1" s="1082"/>
      <c r="RVA1" s="1082"/>
      <c r="RVB1" s="1082"/>
      <c r="RVC1" s="1082"/>
      <c r="RVD1" s="1082"/>
      <c r="RVE1" s="1082"/>
      <c r="RVF1" s="1082"/>
      <c r="RVG1" s="1082"/>
      <c r="RVH1" s="1082"/>
      <c r="RVI1" s="1082"/>
      <c r="RVJ1" s="1082"/>
      <c r="RVK1" s="1082"/>
      <c r="RVL1" s="1082"/>
      <c r="RVM1" s="1082"/>
      <c r="RVN1" s="1082"/>
      <c r="RVO1" s="1082"/>
      <c r="RVP1" s="1082"/>
      <c r="RVQ1" s="1082"/>
      <c r="RVR1" s="1082"/>
      <c r="RVS1" s="1082"/>
      <c r="RVT1" s="1082"/>
      <c r="RVU1" s="1082"/>
      <c r="RVV1" s="1082"/>
      <c r="RVW1" s="1082"/>
      <c r="RVX1" s="1082"/>
      <c r="RVY1" s="1082"/>
      <c r="RVZ1" s="1082"/>
      <c r="RWA1" s="1082"/>
      <c r="RWB1" s="1082"/>
      <c r="RWC1" s="1082"/>
      <c r="RWD1" s="1082"/>
      <c r="RWE1" s="1082"/>
      <c r="RWF1" s="1082"/>
      <c r="RWG1" s="1082"/>
      <c r="RWH1" s="1082"/>
      <c r="RWI1" s="1082"/>
      <c r="RWJ1" s="1082"/>
      <c r="RWK1" s="1082"/>
      <c r="RWL1" s="1082"/>
      <c r="RWM1" s="1082"/>
      <c r="RWN1" s="1082"/>
      <c r="RWO1" s="1082"/>
      <c r="RWP1" s="1082"/>
      <c r="RWQ1" s="1082"/>
      <c r="RWR1" s="1082"/>
      <c r="RWS1" s="1082"/>
      <c r="RWT1" s="1082"/>
      <c r="RWU1" s="1082"/>
      <c r="RWV1" s="1082"/>
      <c r="RWW1" s="1082"/>
      <c r="RWX1" s="1082"/>
      <c r="RWY1" s="1082"/>
      <c r="RWZ1" s="1082"/>
      <c r="RXA1" s="1082"/>
      <c r="RXB1" s="1082"/>
      <c r="RXC1" s="1082"/>
      <c r="RXD1" s="1082"/>
      <c r="RXE1" s="1082"/>
      <c r="RXF1" s="1082"/>
      <c r="RXG1" s="1082"/>
      <c r="RXH1" s="1082"/>
      <c r="RXI1" s="1082"/>
      <c r="RXJ1" s="1082"/>
      <c r="RXK1" s="1082"/>
      <c r="RXL1" s="1082"/>
      <c r="RXM1" s="1082"/>
      <c r="RXN1" s="1082"/>
      <c r="RXO1" s="1082"/>
      <c r="RXP1" s="1082"/>
      <c r="RXQ1" s="1082"/>
      <c r="RXR1" s="1082"/>
      <c r="RXS1" s="1082"/>
      <c r="RXT1" s="1082"/>
      <c r="RXU1" s="1082"/>
      <c r="RXV1" s="1082"/>
      <c r="RXW1" s="1082"/>
      <c r="RXX1" s="1082"/>
      <c r="RXY1" s="1082"/>
      <c r="RXZ1" s="1082"/>
      <c r="RYA1" s="1082"/>
      <c r="RYB1" s="1082"/>
      <c r="RYC1" s="1082"/>
      <c r="RYD1" s="1082"/>
      <c r="RYE1" s="1082"/>
      <c r="RYF1" s="1082"/>
      <c r="RYG1" s="1082"/>
      <c r="RYH1" s="1082"/>
      <c r="RYI1" s="1082"/>
      <c r="RYJ1" s="1082"/>
      <c r="RYK1" s="1082"/>
      <c r="RYL1" s="1082"/>
      <c r="RYM1" s="1082"/>
      <c r="RYN1" s="1082"/>
      <c r="RYO1" s="1082"/>
      <c r="RYP1" s="1082"/>
      <c r="RYQ1" s="1082"/>
      <c r="RYR1" s="1082"/>
      <c r="RYS1" s="1082"/>
      <c r="RYT1" s="1082"/>
      <c r="RYU1" s="1082"/>
      <c r="RYV1" s="1082"/>
      <c r="RYW1" s="1082"/>
      <c r="RYX1" s="1082"/>
      <c r="RYY1" s="1082"/>
      <c r="RYZ1" s="1082"/>
      <c r="RZA1" s="1082"/>
      <c r="RZB1" s="1082"/>
      <c r="RZC1" s="1082"/>
      <c r="RZD1" s="1082"/>
      <c r="RZE1" s="1082"/>
      <c r="RZF1" s="1082"/>
      <c r="RZG1" s="1082"/>
      <c r="RZH1" s="1082"/>
      <c r="RZI1" s="1082"/>
      <c r="RZJ1" s="1082"/>
      <c r="RZK1" s="1082"/>
      <c r="RZL1" s="1082"/>
      <c r="RZM1" s="1082"/>
      <c r="RZN1" s="1082"/>
      <c r="RZO1" s="1082"/>
      <c r="RZP1" s="1082"/>
      <c r="RZQ1" s="1082"/>
      <c r="RZR1" s="1082"/>
      <c r="RZS1" s="1082"/>
      <c r="RZT1" s="1082"/>
      <c r="RZU1" s="1082"/>
      <c r="RZV1" s="1082"/>
      <c r="RZW1" s="1082"/>
      <c r="RZX1" s="1082"/>
      <c r="RZY1" s="1082"/>
      <c r="RZZ1" s="1082"/>
      <c r="SAA1" s="1082"/>
      <c r="SAB1" s="1082"/>
      <c r="SAC1" s="1082"/>
      <c r="SAD1" s="1082"/>
      <c r="SAE1" s="1082"/>
      <c r="SAF1" s="1082"/>
      <c r="SAG1" s="1082"/>
      <c r="SAH1" s="1082"/>
      <c r="SAI1" s="1082"/>
      <c r="SAJ1" s="1082"/>
      <c r="SAK1" s="1082"/>
      <c r="SAL1" s="1082"/>
      <c r="SAM1" s="1082"/>
      <c r="SAN1" s="1082"/>
      <c r="SAO1" s="1082"/>
      <c r="SAP1" s="1082"/>
      <c r="SAQ1" s="1082"/>
      <c r="SAR1" s="1082"/>
      <c r="SAS1" s="1082"/>
      <c r="SAT1" s="1082"/>
      <c r="SAU1" s="1082"/>
      <c r="SAV1" s="1082"/>
      <c r="SAW1" s="1082"/>
      <c r="SAX1" s="1082"/>
      <c r="SAY1" s="1082"/>
      <c r="SAZ1" s="1082"/>
      <c r="SBA1" s="1082"/>
      <c r="SBB1" s="1082"/>
      <c r="SBC1" s="1082"/>
      <c r="SBD1" s="1082"/>
      <c r="SBE1" s="1082"/>
      <c r="SBF1" s="1082"/>
      <c r="SBG1" s="1082"/>
      <c r="SBH1" s="1082"/>
      <c r="SBI1" s="1082"/>
      <c r="SBJ1" s="1082"/>
      <c r="SBK1" s="1082"/>
      <c r="SBL1" s="1082"/>
      <c r="SBM1" s="1082"/>
      <c r="SBN1" s="1082"/>
      <c r="SBO1" s="1082"/>
      <c r="SBP1" s="1082"/>
      <c r="SBQ1" s="1082"/>
      <c r="SBR1" s="1082"/>
      <c r="SBS1" s="1082"/>
      <c r="SBT1" s="1082"/>
      <c r="SBU1" s="1082"/>
      <c r="SBV1" s="1082"/>
      <c r="SBW1" s="1082"/>
      <c r="SBX1" s="1082"/>
      <c r="SBY1" s="1082"/>
      <c r="SBZ1" s="1082"/>
      <c r="SCA1" s="1082"/>
      <c r="SCB1" s="1082"/>
      <c r="SCC1" s="1082"/>
      <c r="SCD1" s="1082"/>
      <c r="SCE1" s="1082"/>
      <c r="SCF1" s="1082"/>
      <c r="SCG1" s="1082"/>
      <c r="SCH1" s="1082"/>
      <c r="SCI1" s="1082"/>
      <c r="SCJ1" s="1082"/>
      <c r="SCK1" s="1082"/>
      <c r="SCL1" s="1082"/>
      <c r="SCM1" s="1082"/>
      <c r="SCN1" s="1082"/>
      <c r="SCO1" s="1082"/>
      <c r="SCP1" s="1082"/>
      <c r="SCQ1" s="1082"/>
      <c r="SCR1" s="1082"/>
      <c r="SCS1" s="1082"/>
      <c r="SCT1" s="1082"/>
      <c r="SCU1" s="1082"/>
      <c r="SCV1" s="1082"/>
      <c r="SCW1" s="1082"/>
      <c r="SCX1" s="1082"/>
      <c r="SCY1" s="1082"/>
      <c r="SCZ1" s="1082"/>
      <c r="SDA1" s="1082"/>
      <c r="SDB1" s="1082"/>
      <c r="SDC1" s="1082"/>
      <c r="SDD1" s="1082"/>
      <c r="SDE1" s="1082"/>
      <c r="SDF1" s="1082"/>
      <c r="SDG1" s="1082"/>
      <c r="SDH1" s="1082"/>
      <c r="SDI1" s="1082"/>
      <c r="SDJ1" s="1082"/>
      <c r="SDK1" s="1082"/>
      <c r="SDL1" s="1082"/>
      <c r="SDM1" s="1082"/>
      <c r="SDN1" s="1082"/>
      <c r="SDO1" s="1082"/>
      <c r="SDP1" s="1082"/>
      <c r="SDQ1" s="1082"/>
      <c r="SDR1" s="1082"/>
      <c r="SDS1" s="1082"/>
      <c r="SDT1" s="1082"/>
      <c r="SDU1" s="1082"/>
      <c r="SDV1" s="1082"/>
      <c r="SDW1" s="1082"/>
      <c r="SDX1" s="1082"/>
      <c r="SDY1" s="1082"/>
      <c r="SDZ1" s="1082"/>
      <c r="SEA1" s="1082"/>
      <c r="SEB1" s="1082"/>
      <c r="SEC1" s="1082"/>
      <c r="SED1" s="1082"/>
      <c r="SEE1" s="1082"/>
      <c r="SEF1" s="1082"/>
      <c r="SEG1" s="1082"/>
      <c r="SEH1" s="1082"/>
      <c r="SEI1" s="1082"/>
      <c r="SEJ1" s="1082"/>
      <c r="SEK1" s="1082"/>
      <c r="SEL1" s="1082"/>
      <c r="SEM1" s="1082"/>
      <c r="SEN1" s="1082"/>
      <c r="SEO1" s="1082"/>
      <c r="SEP1" s="1082"/>
      <c r="SEQ1" s="1082"/>
      <c r="SER1" s="1082"/>
      <c r="SES1" s="1082"/>
      <c r="SET1" s="1082"/>
      <c r="SEU1" s="1082"/>
      <c r="SEV1" s="1082"/>
      <c r="SEW1" s="1082"/>
      <c r="SEX1" s="1082"/>
      <c r="SEY1" s="1082"/>
      <c r="SEZ1" s="1082"/>
      <c r="SFA1" s="1082"/>
      <c r="SFB1" s="1082"/>
      <c r="SFC1" s="1082"/>
      <c r="SFD1" s="1082"/>
      <c r="SFE1" s="1082"/>
      <c r="SFF1" s="1082"/>
      <c r="SFG1" s="1082"/>
      <c r="SFH1" s="1082"/>
      <c r="SFI1" s="1082"/>
      <c r="SFJ1" s="1082"/>
      <c r="SFK1" s="1082"/>
      <c r="SFL1" s="1082"/>
      <c r="SFM1" s="1082"/>
      <c r="SFN1" s="1082"/>
      <c r="SFO1" s="1082"/>
      <c r="SFP1" s="1082"/>
      <c r="SFQ1" s="1082"/>
      <c r="SFR1" s="1082"/>
      <c r="SFS1" s="1082"/>
      <c r="SFT1" s="1082"/>
      <c r="SFU1" s="1082"/>
      <c r="SFV1" s="1082"/>
      <c r="SFW1" s="1082"/>
      <c r="SFX1" s="1082"/>
      <c r="SFY1" s="1082"/>
      <c r="SFZ1" s="1082"/>
      <c r="SGA1" s="1082"/>
      <c r="SGB1" s="1082"/>
      <c r="SGC1" s="1082"/>
      <c r="SGD1" s="1082"/>
      <c r="SGE1" s="1082"/>
      <c r="SGF1" s="1082"/>
      <c r="SGG1" s="1082"/>
      <c r="SGH1" s="1082"/>
      <c r="SGI1" s="1082"/>
      <c r="SGJ1" s="1082"/>
      <c r="SGK1" s="1082"/>
      <c r="SGL1" s="1082"/>
      <c r="SGM1" s="1082"/>
      <c r="SGN1" s="1082"/>
      <c r="SGO1" s="1082"/>
      <c r="SGP1" s="1082"/>
      <c r="SGQ1" s="1082"/>
      <c r="SGR1" s="1082"/>
      <c r="SGS1" s="1082"/>
      <c r="SGT1" s="1082"/>
      <c r="SGU1" s="1082"/>
      <c r="SGV1" s="1082"/>
      <c r="SGW1" s="1082"/>
      <c r="SGX1" s="1082"/>
      <c r="SGY1" s="1082"/>
      <c r="SGZ1" s="1082"/>
      <c r="SHA1" s="1082"/>
      <c r="SHB1" s="1082"/>
      <c r="SHC1" s="1082"/>
      <c r="SHD1" s="1082"/>
      <c r="SHE1" s="1082"/>
      <c r="SHF1" s="1082"/>
      <c r="SHG1" s="1082"/>
      <c r="SHH1" s="1082"/>
      <c r="SHI1" s="1082"/>
      <c r="SHJ1" s="1082"/>
      <c r="SHK1" s="1082"/>
      <c r="SHL1" s="1082"/>
      <c r="SHM1" s="1082"/>
      <c r="SHN1" s="1082"/>
      <c r="SHO1" s="1082"/>
      <c r="SHP1" s="1082"/>
      <c r="SHQ1" s="1082"/>
      <c r="SHR1" s="1082"/>
      <c r="SHS1" s="1082"/>
      <c r="SHT1" s="1082"/>
      <c r="SHU1" s="1082"/>
      <c r="SHV1" s="1082"/>
      <c r="SHW1" s="1082"/>
      <c r="SHX1" s="1082"/>
      <c r="SHY1" s="1082"/>
      <c r="SHZ1" s="1082"/>
      <c r="SIA1" s="1082"/>
      <c r="SIB1" s="1082"/>
      <c r="SIC1" s="1082"/>
      <c r="SID1" s="1082"/>
      <c r="SIE1" s="1082"/>
      <c r="SIF1" s="1082"/>
      <c r="SIG1" s="1082"/>
      <c r="SIH1" s="1082"/>
      <c r="SII1" s="1082"/>
      <c r="SIJ1" s="1082"/>
      <c r="SIK1" s="1082"/>
      <c r="SIL1" s="1082"/>
      <c r="SIM1" s="1082"/>
      <c r="SIN1" s="1082"/>
      <c r="SIO1" s="1082"/>
      <c r="SIP1" s="1082"/>
      <c r="SIQ1" s="1082"/>
      <c r="SIR1" s="1082"/>
      <c r="SIS1" s="1082"/>
      <c r="SIT1" s="1082"/>
      <c r="SIU1" s="1082"/>
      <c r="SIV1" s="1082"/>
      <c r="SIW1" s="1082"/>
      <c r="SIX1" s="1082"/>
      <c r="SIY1" s="1082"/>
      <c r="SIZ1" s="1082"/>
      <c r="SJA1" s="1082"/>
      <c r="SJB1" s="1082"/>
      <c r="SJC1" s="1082"/>
      <c r="SJD1" s="1082"/>
      <c r="SJE1" s="1082"/>
      <c r="SJF1" s="1082"/>
      <c r="SJG1" s="1082"/>
      <c r="SJH1" s="1082"/>
      <c r="SJI1" s="1082"/>
      <c r="SJJ1" s="1082"/>
      <c r="SJK1" s="1082"/>
      <c r="SJL1" s="1082"/>
      <c r="SJM1" s="1082"/>
      <c r="SJN1" s="1082"/>
      <c r="SJO1" s="1082"/>
      <c r="SJP1" s="1082"/>
      <c r="SJQ1" s="1082"/>
      <c r="SJR1" s="1082"/>
      <c r="SJS1" s="1082"/>
      <c r="SJT1" s="1082"/>
      <c r="SJU1" s="1082"/>
      <c r="SJV1" s="1082"/>
      <c r="SJW1" s="1082"/>
      <c r="SJX1" s="1082"/>
      <c r="SJY1" s="1082"/>
      <c r="SJZ1" s="1082"/>
      <c r="SKA1" s="1082"/>
      <c r="SKB1" s="1082"/>
      <c r="SKC1" s="1082"/>
      <c r="SKD1" s="1082"/>
      <c r="SKE1" s="1082"/>
      <c r="SKF1" s="1082"/>
      <c r="SKG1" s="1082"/>
      <c r="SKH1" s="1082"/>
      <c r="SKI1" s="1082"/>
      <c r="SKJ1" s="1082"/>
      <c r="SKK1" s="1082"/>
      <c r="SKL1" s="1082"/>
      <c r="SKM1" s="1082"/>
      <c r="SKN1" s="1082"/>
      <c r="SKO1" s="1082"/>
      <c r="SKP1" s="1082"/>
      <c r="SKQ1" s="1082"/>
      <c r="SKR1" s="1082"/>
      <c r="SKS1" s="1082"/>
      <c r="SKT1" s="1082"/>
      <c r="SKU1" s="1082"/>
      <c r="SKV1" s="1082"/>
      <c r="SKW1" s="1082"/>
      <c r="SKX1" s="1082"/>
      <c r="SKY1" s="1082"/>
      <c r="SKZ1" s="1082"/>
      <c r="SLA1" s="1082"/>
      <c r="SLB1" s="1082"/>
      <c r="SLC1" s="1082"/>
      <c r="SLD1" s="1082"/>
      <c r="SLE1" s="1082"/>
      <c r="SLF1" s="1082"/>
      <c r="SLG1" s="1082"/>
      <c r="SLH1" s="1082"/>
      <c r="SLI1" s="1082"/>
      <c r="SLJ1" s="1082"/>
      <c r="SLK1" s="1082"/>
      <c r="SLL1" s="1082"/>
      <c r="SLM1" s="1082"/>
      <c r="SLN1" s="1082"/>
      <c r="SLO1" s="1082"/>
      <c r="SLP1" s="1082"/>
      <c r="SLQ1" s="1082"/>
      <c r="SLR1" s="1082"/>
      <c r="SLS1" s="1082"/>
      <c r="SLT1" s="1082"/>
      <c r="SLU1" s="1082"/>
      <c r="SLV1" s="1082"/>
      <c r="SLW1" s="1082"/>
      <c r="SLX1" s="1082"/>
      <c r="SLY1" s="1082"/>
      <c r="SLZ1" s="1082"/>
      <c r="SMA1" s="1082"/>
      <c r="SMB1" s="1082"/>
      <c r="SMC1" s="1082"/>
      <c r="SMD1" s="1082"/>
      <c r="SME1" s="1082"/>
      <c r="SMF1" s="1082"/>
      <c r="SMG1" s="1082"/>
      <c r="SMH1" s="1082"/>
      <c r="SMI1" s="1082"/>
      <c r="SMJ1" s="1082"/>
      <c r="SMK1" s="1082"/>
      <c r="SML1" s="1082"/>
      <c r="SMM1" s="1082"/>
      <c r="SMN1" s="1082"/>
      <c r="SMO1" s="1082"/>
      <c r="SMP1" s="1082"/>
      <c r="SMQ1" s="1082"/>
      <c r="SMR1" s="1082"/>
      <c r="SMS1" s="1082"/>
      <c r="SMT1" s="1082"/>
      <c r="SMU1" s="1082"/>
      <c r="SMV1" s="1082"/>
      <c r="SMW1" s="1082"/>
      <c r="SMX1" s="1082"/>
      <c r="SMY1" s="1082"/>
      <c r="SMZ1" s="1082"/>
      <c r="SNA1" s="1082"/>
      <c r="SNB1" s="1082"/>
      <c r="SNC1" s="1082"/>
      <c r="SND1" s="1082"/>
      <c r="SNE1" s="1082"/>
      <c r="SNF1" s="1082"/>
      <c r="SNG1" s="1082"/>
      <c r="SNH1" s="1082"/>
      <c r="SNI1" s="1082"/>
      <c r="SNJ1" s="1082"/>
      <c r="SNK1" s="1082"/>
      <c r="SNL1" s="1082"/>
      <c r="SNM1" s="1082"/>
      <c r="SNN1" s="1082"/>
      <c r="SNO1" s="1082"/>
      <c r="SNP1" s="1082"/>
      <c r="SNQ1" s="1082"/>
      <c r="SNR1" s="1082"/>
      <c r="SNS1" s="1082"/>
      <c r="SNT1" s="1082"/>
      <c r="SNU1" s="1082"/>
      <c r="SNV1" s="1082"/>
      <c r="SNW1" s="1082"/>
      <c r="SNX1" s="1082"/>
      <c r="SNY1" s="1082"/>
      <c r="SNZ1" s="1082"/>
      <c r="SOA1" s="1082"/>
      <c r="SOB1" s="1082"/>
      <c r="SOC1" s="1082"/>
      <c r="SOD1" s="1082"/>
      <c r="SOE1" s="1082"/>
      <c r="SOF1" s="1082"/>
      <c r="SOG1" s="1082"/>
      <c r="SOH1" s="1082"/>
      <c r="SOI1" s="1082"/>
      <c r="SOJ1" s="1082"/>
      <c r="SOK1" s="1082"/>
      <c r="SOL1" s="1082"/>
      <c r="SOM1" s="1082"/>
      <c r="SON1" s="1082"/>
      <c r="SOO1" s="1082"/>
      <c r="SOP1" s="1082"/>
      <c r="SOQ1" s="1082"/>
      <c r="SOR1" s="1082"/>
      <c r="SOS1" s="1082"/>
      <c r="SOT1" s="1082"/>
      <c r="SOU1" s="1082"/>
      <c r="SOV1" s="1082"/>
      <c r="SOW1" s="1082"/>
      <c r="SOX1" s="1082"/>
      <c r="SOY1" s="1082"/>
      <c r="SOZ1" s="1082"/>
      <c r="SPA1" s="1082"/>
      <c r="SPB1" s="1082"/>
      <c r="SPC1" s="1082"/>
      <c r="SPD1" s="1082"/>
      <c r="SPE1" s="1082"/>
      <c r="SPF1" s="1082"/>
      <c r="SPG1" s="1082"/>
      <c r="SPH1" s="1082"/>
      <c r="SPI1" s="1082"/>
      <c r="SPJ1" s="1082"/>
      <c r="SPK1" s="1082"/>
      <c r="SPL1" s="1082"/>
      <c r="SPM1" s="1082"/>
      <c r="SPN1" s="1082"/>
      <c r="SPO1" s="1082"/>
      <c r="SPP1" s="1082"/>
      <c r="SPQ1" s="1082"/>
      <c r="SPR1" s="1082"/>
      <c r="SPS1" s="1082"/>
      <c r="SPT1" s="1082"/>
      <c r="SPU1" s="1082"/>
      <c r="SPV1" s="1082"/>
      <c r="SPW1" s="1082"/>
      <c r="SPX1" s="1082"/>
      <c r="SPY1" s="1082"/>
      <c r="SPZ1" s="1082"/>
      <c r="SQA1" s="1082"/>
      <c r="SQB1" s="1082"/>
      <c r="SQC1" s="1082"/>
      <c r="SQD1" s="1082"/>
      <c r="SQE1" s="1082"/>
      <c r="SQF1" s="1082"/>
      <c r="SQG1" s="1082"/>
      <c r="SQH1" s="1082"/>
      <c r="SQI1" s="1082"/>
      <c r="SQJ1" s="1082"/>
      <c r="SQK1" s="1082"/>
      <c r="SQL1" s="1082"/>
      <c r="SQM1" s="1082"/>
      <c r="SQN1" s="1082"/>
      <c r="SQO1" s="1082"/>
      <c r="SQP1" s="1082"/>
      <c r="SQQ1" s="1082"/>
      <c r="SQR1" s="1082"/>
      <c r="SQS1" s="1082"/>
      <c r="SQT1" s="1082"/>
      <c r="SQU1" s="1082"/>
      <c r="SQV1" s="1082"/>
      <c r="SQW1" s="1082"/>
      <c r="SQX1" s="1082"/>
      <c r="SQY1" s="1082"/>
      <c r="SQZ1" s="1082"/>
      <c r="SRA1" s="1082"/>
      <c r="SRB1" s="1082"/>
      <c r="SRC1" s="1082"/>
      <c r="SRD1" s="1082"/>
      <c r="SRE1" s="1082"/>
      <c r="SRF1" s="1082"/>
      <c r="SRG1" s="1082"/>
      <c r="SRH1" s="1082"/>
      <c r="SRI1" s="1082"/>
      <c r="SRJ1" s="1082"/>
      <c r="SRK1" s="1082"/>
      <c r="SRL1" s="1082"/>
      <c r="SRM1" s="1082"/>
      <c r="SRN1" s="1082"/>
      <c r="SRO1" s="1082"/>
      <c r="SRP1" s="1082"/>
      <c r="SRQ1" s="1082"/>
      <c r="SRR1" s="1082"/>
      <c r="SRS1" s="1082"/>
      <c r="SRT1" s="1082"/>
      <c r="SRU1" s="1082"/>
      <c r="SRV1" s="1082"/>
      <c r="SRW1" s="1082"/>
      <c r="SRX1" s="1082"/>
      <c r="SRY1" s="1082"/>
      <c r="SRZ1" s="1082"/>
      <c r="SSA1" s="1082"/>
      <c r="SSB1" s="1082"/>
      <c r="SSC1" s="1082"/>
      <c r="SSD1" s="1082"/>
      <c r="SSE1" s="1082"/>
      <c r="SSF1" s="1082"/>
      <c r="SSG1" s="1082"/>
      <c r="SSH1" s="1082"/>
      <c r="SSI1" s="1082"/>
      <c r="SSJ1" s="1082"/>
      <c r="SSK1" s="1082"/>
      <c r="SSL1" s="1082"/>
      <c r="SSM1" s="1082"/>
      <c r="SSN1" s="1082"/>
      <c r="SSO1" s="1082"/>
      <c r="SSP1" s="1082"/>
      <c r="SSQ1" s="1082"/>
      <c r="SSR1" s="1082"/>
      <c r="SSS1" s="1082"/>
      <c r="SST1" s="1082"/>
      <c r="SSU1" s="1082"/>
      <c r="SSV1" s="1082"/>
      <c r="SSW1" s="1082"/>
      <c r="SSX1" s="1082"/>
      <c r="SSY1" s="1082"/>
      <c r="SSZ1" s="1082"/>
      <c r="STA1" s="1082"/>
      <c r="STB1" s="1082"/>
      <c r="STC1" s="1082"/>
      <c r="STD1" s="1082"/>
      <c r="STE1" s="1082"/>
      <c r="STF1" s="1082"/>
      <c r="STG1" s="1082"/>
      <c r="STH1" s="1082"/>
      <c r="STI1" s="1082"/>
      <c r="STJ1" s="1082"/>
      <c r="STK1" s="1082"/>
      <c r="STL1" s="1082"/>
      <c r="STM1" s="1082"/>
      <c r="STN1" s="1082"/>
      <c r="STO1" s="1082"/>
      <c r="STP1" s="1082"/>
      <c r="STQ1" s="1082"/>
      <c r="STR1" s="1082"/>
      <c r="STS1" s="1082"/>
      <c r="STT1" s="1082"/>
      <c r="STU1" s="1082"/>
      <c r="STV1" s="1082"/>
      <c r="STW1" s="1082"/>
      <c r="STX1" s="1082"/>
      <c r="STY1" s="1082"/>
      <c r="STZ1" s="1082"/>
      <c r="SUA1" s="1082"/>
      <c r="SUB1" s="1082"/>
      <c r="SUC1" s="1082"/>
      <c r="SUD1" s="1082"/>
      <c r="SUE1" s="1082"/>
      <c r="SUF1" s="1082"/>
      <c r="SUG1" s="1082"/>
      <c r="SUH1" s="1082"/>
      <c r="SUI1" s="1082"/>
      <c r="SUJ1" s="1082"/>
      <c r="SUK1" s="1082"/>
      <c r="SUL1" s="1082"/>
      <c r="SUM1" s="1082"/>
      <c r="SUN1" s="1082"/>
      <c r="SUO1" s="1082"/>
      <c r="SUP1" s="1082"/>
      <c r="SUQ1" s="1082"/>
      <c r="SUR1" s="1082"/>
      <c r="SUS1" s="1082"/>
      <c r="SUT1" s="1082"/>
      <c r="SUU1" s="1082"/>
      <c r="SUV1" s="1082"/>
      <c r="SUW1" s="1082"/>
      <c r="SUX1" s="1082"/>
      <c r="SUY1" s="1082"/>
      <c r="SUZ1" s="1082"/>
      <c r="SVA1" s="1082"/>
      <c r="SVB1" s="1082"/>
      <c r="SVC1" s="1082"/>
      <c r="SVD1" s="1082"/>
      <c r="SVE1" s="1082"/>
      <c r="SVF1" s="1082"/>
      <c r="SVG1" s="1082"/>
      <c r="SVH1" s="1082"/>
      <c r="SVI1" s="1082"/>
      <c r="SVJ1" s="1082"/>
      <c r="SVK1" s="1082"/>
      <c r="SVL1" s="1082"/>
      <c r="SVM1" s="1082"/>
      <c r="SVN1" s="1082"/>
      <c r="SVO1" s="1082"/>
      <c r="SVP1" s="1082"/>
      <c r="SVQ1" s="1082"/>
      <c r="SVR1" s="1082"/>
      <c r="SVS1" s="1082"/>
      <c r="SVT1" s="1082"/>
      <c r="SVU1" s="1082"/>
      <c r="SVV1" s="1082"/>
      <c r="SVW1" s="1082"/>
      <c r="SVX1" s="1082"/>
      <c r="SVY1" s="1082"/>
      <c r="SVZ1" s="1082"/>
      <c r="SWA1" s="1082"/>
      <c r="SWB1" s="1082"/>
      <c r="SWC1" s="1082"/>
      <c r="SWD1" s="1082"/>
      <c r="SWE1" s="1082"/>
      <c r="SWF1" s="1082"/>
      <c r="SWG1" s="1082"/>
      <c r="SWH1" s="1082"/>
      <c r="SWI1" s="1082"/>
      <c r="SWJ1" s="1082"/>
      <c r="SWK1" s="1082"/>
      <c r="SWL1" s="1082"/>
      <c r="SWM1" s="1082"/>
      <c r="SWN1" s="1082"/>
      <c r="SWO1" s="1082"/>
      <c r="SWP1" s="1082"/>
      <c r="SWQ1" s="1082"/>
      <c r="SWR1" s="1082"/>
      <c r="SWS1" s="1082"/>
      <c r="SWT1" s="1082"/>
      <c r="SWU1" s="1082"/>
      <c r="SWV1" s="1082"/>
      <c r="SWW1" s="1082"/>
      <c r="SWX1" s="1082"/>
      <c r="SWY1" s="1082"/>
      <c r="SWZ1" s="1082"/>
      <c r="SXA1" s="1082"/>
      <c r="SXB1" s="1082"/>
      <c r="SXC1" s="1082"/>
      <c r="SXD1" s="1082"/>
      <c r="SXE1" s="1082"/>
      <c r="SXF1" s="1082"/>
      <c r="SXG1" s="1082"/>
      <c r="SXH1" s="1082"/>
      <c r="SXI1" s="1082"/>
      <c r="SXJ1" s="1082"/>
      <c r="SXK1" s="1082"/>
      <c r="SXL1" s="1082"/>
      <c r="SXM1" s="1082"/>
      <c r="SXN1" s="1082"/>
      <c r="SXO1" s="1082"/>
      <c r="SXP1" s="1082"/>
      <c r="SXQ1" s="1082"/>
      <c r="SXR1" s="1082"/>
      <c r="SXS1" s="1082"/>
      <c r="SXT1" s="1082"/>
      <c r="SXU1" s="1082"/>
      <c r="SXV1" s="1082"/>
      <c r="SXW1" s="1082"/>
      <c r="SXX1" s="1082"/>
      <c r="SXY1" s="1082"/>
      <c r="SXZ1" s="1082"/>
      <c r="SYA1" s="1082"/>
      <c r="SYB1" s="1082"/>
      <c r="SYC1" s="1082"/>
      <c r="SYD1" s="1082"/>
      <c r="SYE1" s="1082"/>
      <c r="SYF1" s="1082"/>
      <c r="SYG1" s="1082"/>
      <c r="SYH1" s="1082"/>
      <c r="SYI1" s="1082"/>
      <c r="SYJ1" s="1082"/>
      <c r="SYK1" s="1082"/>
      <c r="SYL1" s="1082"/>
      <c r="SYM1" s="1082"/>
      <c r="SYN1" s="1082"/>
      <c r="SYO1" s="1082"/>
      <c r="SYP1" s="1082"/>
      <c r="SYQ1" s="1082"/>
      <c r="SYR1" s="1082"/>
      <c r="SYS1" s="1082"/>
      <c r="SYT1" s="1082"/>
      <c r="SYU1" s="1082"/>
      <c r="SYV1" s="1082"/>
      <c r="SYW1" s="1082"/>
      <c r="SYX1" s="1082"/>
      <c r="SYY1" s="1082"/>
      <c r="SYZ1" s="1082"/>
      <c r="SZA1" s="1082"/>
      <c r="SZB1" s="1082"/>
      <c r="SZC1" s="1082"/>
      <c r="SZD1" s="1082"/>
      <c r="SZE1" s="1082"/>
      <c r="SZF1" s="1082"/>
      <c r="SZG1" s="1082"/>
      <c r="SZH1" s="1082"/>
      <c r="SZI1" s="1082"/>
      <c r="SZJ1" s="1082"/>
      <c r="SZK1" s="1082"/>
      <c r="SZL1" s="1082"/>
      <c r="SZM1" s="1082"/>
      <c r="SZN1" s="1082"/>
      <c r="SZO1" s="1082"/>
      <c r="SZP1" s="1082"/>
      <c r="SZQ1" s="1082"/>
      <c r="SZR1" s="1082"/>
      <c r="SZS1" s="1082"/>
      <c r="SZT1" s="1082"/>
      <c r="SZU1" s="1082"/>
      <c r="SZV1" s="1082"/>
      <c r="SZW1" s="1082"/>
      <c r="SZX1" s="1082"/>
      <c r="SZY1" s="1082"/>
      <c r="SZZ1" s="1082"/>
      <c r="TAA1" s="1082"/>
      <c r="TAB1" s="1082"/>
      <c r="TAC1" s="1082"/>
      <c r="TAD1" s="1082"/>
      <c r="TAE1" s="1082"/>
      <c r="TAF1" s="1082"/>
      <c r="TAG1" s="1082"/>
      <c r="TAH1" s="1082"/>
      <c r="TAI1" s="1082"/>
      <c r="TAJ1" s="1082"/>
      <c r="TAK1" s="1082"/>
      <c r="TAL1" s="1082"/>
      <c r="TAM1" s="1082"/>
      <c r="TAN1" s="1082"/>
      <c r="TAO1" s="1082"/>
      <c r="TAP1" s="1082"/>
      <c r="TAQ1" s="1082"/>
      <c r="TAR1" s="1082"/>
      <c r="TAS1" s="1082"/>
      <c r="TAT1" s="1082"/>
      <c r="TAU1" s="1082"/>
      <c r="TAV1" s="1082"/>
      <c r="TAW1" s="1082"/>
      <c r="TAX1" s="1082"/>
      <c r="TAY1" s="1082"/>
      <c r="TAZ1" s="1082"/>
      <c r="TBA1" s="1082"/>
      <c r="TBB1" s="1082"/>
      <c r="TBC1" s="1082"/>
      <c r="TBD1" s="1082"/>
      <c r="TBE1" s="1082"/>
      <c r="TBF1" s="1082"/>
      <c r="TBG1" s="1082"/>
      <c r="TBH1" s="1082"/>
      <c r="TBI1" s="1082"/>
      <c r="TBJ1" s="1082"/>
      <c r="TBK1" s="1082"/>
      <c r="TBL1" s="1082"/>
      <c r="TBM1" s="1082"/>
      <c r="TBN1" s="1082"/>
      <c r="TBO1" s="1082"/>
      <c r="TBP1" s="1082"/>
      <c r="TBQ1" s="1082"/>
      <c r="TBR1" s="1082"/>
      <c r="TBS1" s="1082"/>
      <c r="TBT1" s="1082"/>
      <c r="TBU1" s="1082"/>
      <c r="TBV1" s="1082"/>
      <c r="TBW1" s="1082"/>
      <c r="TBX1" s="1082"/>
      <c r="TBY1" s="1082"/>
      <c r="TBZ1" s="1082"/>
      <c r="TCA1" s="1082"/>
      <c r="TCB1" s="1082"/>
      <c r="TCC1" s="1082"/>
      <c r="TCD1" s="1082"/>
      <c r="TCE1" s="1082"/>
      <c r="TCF1" s="1082"/>
      <c r="TCG1" s="1082"/>
      <c r="TCH1" s="1082"/>
      <c r="TCI1" s="1082"/>
      <c r="TCJ1" s="1082"/>
      <c r="TCK1" s="1082"/>
      <c r="TCL1" s="1082"/>
      <c r="TCM1" s="1082"/>
      <c r="TCN1" s="1082"/>
      <c r="TCO1" s="1082"/>
      <c r="TCP1" s="1082"/>
      <c r="TCQ1" s="1082"/>
      <c r="TCR1" s="1082"/>
      <c r="TCS1" s="1082"/>
      <c r="TCT1" s="1082"/>
      <c r="TCU1" s="1082"/>
      <c r="TCV1" s="1082"/>
      <c r="TCW1" s="1082"/>
      <c r="TCX1" s="1082"/>
      <c r="TCY1" s="1082"/>
      <c r="TCZ1" s="1082"/>
      <c r="TDA1" s="1082"/>
      <c r="TDB1" s="1082"/>
      <c r="TDC1" s="1082"/>
      <c r="TDD1" s="1082"/>
      <c r="TDE1" s="1082"/>
      <c r="TDF1" s="1082"/>
      <c r="TDG1" s="1082"/>
      <c r="TDH1" s="1082"/>
      <c r="TDI1" s="1082"/>
      <c r="TDJ1" s="1082"/>
      <c r="TDK1" s="1082"/>
      <c r="TDL1" s="1082"/>
      <c r="TDM1" s="1082"/>
      <c r="TDN1" s="1082"/>
      <c r="TDO1" s="1082"/>
      <c r="TDP1" s="1082"/>
      <c r="TDQ1" s="1082"/>
      <c r="TDR1" s="1082"/>
      <c r="TDS1" s="1082"/>
      <c r="TDT1" s="1082"/>
      <c r="TDU1" s="1082"/>
      <c r="TDV1" s="1082"/>
      <c r="TDW1" s="1082"/>
      <c r="TDX1" s="1082"/>
      <c r="TDY1" s="1082"/>
      <c r="TDZ1" s="1082"/>
      <c r="TEA1" s="1082"/>
      <c r="TEB1" s="1082"/>
      <c r="TEC1" s="1082"/>
      <c r="TED1" s="1082"/>
      <c r="TEE1" s="1082"/>
      <c r="TEF1" s="1082"/>
      <c r="TEG1" s="1082"/>
      <c r="TEH1" s="1082"/>
      <c r="TEI1" s="1082"/>
      <c r="TEJ1" s="1082"/>
      <c r="TEK1" s="1082"/>
      <c r="TEL1" s="1082"/>
      <c r="TEM1" s="1082"/>
      <c r="TEN1" s="1082"/>
      <c r="TEO1" s="1082"/>
      <c r="TEP1" s="1082"/>
      <c r="TEQ1" s="1082"/>
      <c r="TER1" s="1082"/>
      <c r="TES1" s="1082"/>
      <c r="TET1" s="1082"/>
      <c r="TEU1" s="1082"/>
      <c r="TEV1" s="1082"/>
      <c r="TEW1" s="1082"/>
      <c r="TEX1" s="1082"/>
      <c r="TEY1" s="1082"/>
      <c r="TEZ1" s="1082"/>
      <c r="TFA1" s="1082"/>
      <c r="TFB1" s="1082"/>
      <c r="TFC1" s="1082"/>
      <c r="TFD1" s="1082"/>
      <c r="TFE1" s="1082"/>
      <c r="TFF1" s="1082"/>
      <c r="TFG1" s="1082"/>
      <c r="TFH1" s="1082"/>
      <c r="TFI1" s="1082"/>
      <c r="TFJ1" s="1082"/>
      <c r="TFK1" s="1082"/>
      <c r="TFL1" s="1082"/>
      <c r="TFM1" s="1082"/>
      <c r="TFN1" s="1082"/>
      <c r="TFO1" s="1082"/>
      <c r="TFP1" s="1082"/>
      <c r="TFQ1" s="1082"/>
      <c r="TFR1" s="1082"/>
      <c r="TFS1" s="1082"/>
      <c r="TFT1" s="1082"/>
      <c r="TFU1" s="1082"/>
      <c r="TFV1" s="1082"/>
      <c r="TFW1" s="1082"/>
      <c r="TFX1" s="1082"/>
      <c r="TFY1" s="1082"/>
      <c r="TFZ1" s="1082"/>
      <c r="TGA1" s="1082"/>
      <c r="TGB1" s="1082"/>
      <c r="TGC1" s="1082"/>
      <c r="TGD1" s="1082"/>
      <c r="TGE1" s="1082"/>
      <c r="TGF1" s="1082"/>
      <c r="TGG1" s="1082"/>
      <c r="TGH1" s="1082"/>
      <c r="TGI1" s="1082"/>
      <c r="TGJ1" s="1082"/>
      <c r="TGK1" s="1082"/>
      <c r="TGL1" s="1082"/>
      <c r="TGM1" s="1082"/>
      <c r="TGN1" s="1082"/>
      <c r="TGO1" s="1082"/>
      <c r="TGP1" s="1082"/>
      <c r="TGQ1" s="1082"/>
      <c r="TGR1" s="1082"/>
      <c r="TGS1" s="1082"/>
      <c r="TGT1" s="1082"/>
      <c r="TGU1" s="1082"/>
      <c r="TGV1" s="1082"/>
      <c r="TGW1" s="1082"/>
      <c r="TGX1" s="1082"/>
      <c r="TGY1" s="1082"/>
      <c r="TGZ1" s="1082"/>
      <c r="THA1" s="1082"/>
      <c r="THB1" s="1082"/>
      <c r="THC1" s="1082"/>
      <c r="THD1" s="1082"/>
      <c r="THE1" s="1082"/>
      <c r="THF1" s="1082"/>
      <c r="THG1" s="1082"/>
      <c r="THH1" s="1082"/>
      <c r="THI1" s="1082"/>
      <c r="THJ1" s="1082"/>
      <c r="THK1" s="1082"/>
      <c r="THL1" s="1082"/>
      <c r="THM1" s="1082"/>
      <c r="THN1" s="1082"/>
      <c r="THO1" s="1082"/>
      <c r="THP1" s="1082"/>
      <c r="THQ1" s="1082"/>
      <c r="THR1" s="1082"/>
      <c r="THS1" s="1082"/>
      <c r="THT1" s="1082"/>
      <c r="THU1" s="1082"/>
      <c r="THV1" s="1082"/>
      <c r="THW1" s="1082"/>
      <c r="THX1" s="1082"/>
      <c r="THY1" s="1082"/>
      <c r="THZ1" s="1082"/>
      <c r="TIA1" s="1082"/>
      <c r="TIB1" s="1082"/>
      <c r="TIC1" s="1082"/>
      <c r="TID1" s="1082"/>
      <c r="TIE1" s="1082"/>
      <c r="TIF1" s="1082"/>
      <c r="TIG1" s="1082"/>
      <c r="TIH1" s="1082"/>
      <c r="TII1" s="1082"/>
      <c r="TIJ1" s="1082"/>
      <c r="TIK1" s="1082"/>
      <c r="TIL1" s="1082"/>
      <c r="TIM1" s="1082"/>
      <c r="TIN1" s="1082"/>
      <c r="TIO1" s="1082"/>
      <c r="TIP1" s="1082"/>
      <c r="TIQ1" s="1082"/>
      <c r="TIR1" s="1082"/>
      <c r="TIS1" s="1082"/>
      <c r="TIT1" s="1082"/>
      <c r="TIU1" s="1082"/>
      <c r="TIV1" s="1082"/>
      <c r="TIW1" s="1082"/>
      <c r="TIX1" s="1082"/>
      <c r="TIY1" s="1082"/>
      <c r="TIZ1" s="1082"/>
      <c r="TJA1" s="1082"/>
      <c r="TJB1" s="1082"/>
      <c r="TJC1" s="1082"/>
      <c r="TJD1" s="1082"/>
      <c r="TJE1" s="1082"/>
      <c r="TJF1" s="1082"/>
      <c r="TJG1" s="1082"/>
      <c r="TJH1" s="1082"/>
      <c r="TJI1" s="1082"/>
      <c r="TJJ1" s="1082"/>
      <c r="TJK1" s="1082"/>
      <c r="TJL1" s="1082"/>
      <c r="TJM1" s="1082"/>
      <c r="TJN1" s="1082"/>
      <c r="TJO1" s="1082"/>
      <c r="TJP1" s="1082"/>
      <c r="TJQ1" s="1082"/>
      <c r="TJR1" s="1082"/>
      <c r="TJS1" s="1082"/>
      <c r="TJT1" s="1082"/>
      <c r="TJU1" s="1082"/>
      <c r="TJV1" s="1082"/>
      <c r="TJW1" s="1082"/>
      <c r="TJX1" s="1082"/>
      <c r="TJY1" s="1082"/>
      <c r="TJZ1" s="1082"/>
      <c r="TKA1" s="1082"/>
      <c r="TKB1" s="1082"/>
      <c r="TKC1" s="1082"/>
      <c r="TKD1" s="1082"/>
      <c r="TKE1" s="1082"/>
      <c r="TKF1" s="1082"/>
      <c r="TKG1" s="1082"/>
      <c r="TKH1" s="1082"/>
      <c r="TKI1" s="1082"/>
      <c r="TKJ1" s="1082"/>
      <c r="TKK1" s="1082"/>
      <c r="TKL1" s="1082"/>
      <c r="TKM1" s="1082"/>
      <c r="TKN1" s="1082"/>
      <c r="TKO1" s="1082"/>
      <c r="TKP1" s="1082"/>
      <c r="TKQ1" s="1082"/>
      <c r="TKR1" s="1082"/>
      <c r="TKS1" s="1082"/>
      <c r="TKT1" s="1082"/>
      <c r="TKU1" s="1082"/>
      <c r="TKV1" s="1082"/>
      <c r="TKW1" s="1082"/>
      <c r="TKX1" s="1082"/>
      <c r="TKY1" s="1082"/>
      <c r="TKZ1" s="1082"/>
      <c r="TLA1" s="1082"/>
      <c r="TLB1" s="1082"/>
      <c r="TLC1" s="1082"/>
      <c r="TLD1" s="1082"/>
      <c r="TLE1" s="1082"/>
      <c r="TLF1" s="1082"/>
      <c r="TLG1" s="1082"/>
      <c r="TLH1" s="1082"/>
      <c r="TLI1" s="1082"/>
      <c r="TLJ1" s="1082"/>
      <c r="TLK1" s="1082"/>
      <c r="TLL1" s="1082"/>
      <c r="TLM1" s="1082"/>
      <c r="TLN1" s="1082"/>
      <c r="TLO1" s="1082"/>
      <c r="TLP1" s="1082"/>
      <c r="TLQ1" s="1082"/>
      <c r="TLR1" s="1082"/>
      <c r="TLS1" s="1082"/>
      <c r="TLT1" s="1082"/>
      <c r="TLU1" s="1082"/>
      <c r="TLV1" s="1082"/>
      <c r="TLW1" s="1082"/>
      <c r="TLX1" s="1082"/>
      <c r="TLY1" s="1082"/>
      <c r="TLZ1" s="1082"/>
      <c r="TMA1" s="1082"/>
      <c r="TMB1" s="1082"/>
      <c r="TMC1" s="1082"/>
      <c r="TMD1" s="1082"/>
      <c r="TME1" s="1082"/>
      <c r="TMF1" s="1082"/>
      <c r="TMG1" s="1082"/>
      <c r="TMH1" s="1082"/>
      <c r="TMI1" s="1082"/>
      <c r="TMJ1" s="1082"/>
      <c r="TMK1" s="1082"/>
      <c r="TML1" s="1082"/>
      <c r="TMM1" s="1082"/>
      <c r="TMN1" s="1082"/>
      <c r="TMO1" s="1082"/>
      <c r="TMP1" s="1082"/>
      <c r="TMQ1" s="1082"/>
      <c r="TMR1" s="1082"/>
      <c r="TMS1" s="1082"/>
      <c r="TMT1" s="1082"/>
      <c r="TMU1" s="1082"/>
      <c r="TMV1" s="1082"/>
      <c r="TMW1" s="1082"/>
      <c r="TMX1" s="1082"/>
      <c r="TMY1" s="1082"/>
      <c r="TMZ1" s="1082"/>
      <c r="TNA1" s="1082"/>
      <c r="TNB1" s="1082"/>
      <c r="TNC1" s="1082"/>
      <c r="TND1" s="1082"/>
      <c r="TNE1" s="1082"/>
      <c r="TNF1" s="1082"/>
      <c r="TNG1" s="1082"/>
      <c r="TNH1" s="1082"/>
      <c r="TNI1" s="1082"/>
      <c r="TNJ1" s="1082"/>
      <c r="TNK1" s="1082"/>
      <c r="TNL1" s="1082"/>
      <c r="TNM1" s="1082"/>
      <c r="TNN1" s="1082"/>
      <c r="TNO1" s="1082"/>
      <c r="TNP1" s="1082"/>
      <c r="TNQ1" s="1082"/>
      <c r="TNR1" s="1082"/>
      <c r="TNS1" s="1082"/>
      <c r="TNT1" s="1082"/>
      <c r="TNU1" s="1082"/>
      <c r="TNV1" s="1082"/>
      <c r="TNW1" s="1082"/>
      <c r="TNX1" s="1082"/>
      <c r="TNY1" s="1082"/>
      <c r="TNZ1" s="1082"/>
      <c r="TOA1" s="1082"/>
      <c r="TOB1" s="1082"/>
      <c r="TOC1" s="1082"/>
      <c r="TOD1" s="1082"/>
      <c r="TOE1" s="1082"/>
      <c r="TOF1" s="1082"/>
      <c r="TOG1" s="1082"/>
      <c r="TOH1" s="1082"/>
      <c r="TOI1" s="1082"/>
      <c r="TOJ1" s="1082"/>
      <c r="TOK1" s="1082"/>
      <c r="TOL1" s="1082"/>
      <c r="TOM1" s="1082"/>
      <c r="TON1" s="1082"/>
      <c r="TOO1" s="1082"/>
      <c r="TOP1" s="1082"/>
      <c r="TOQ1" s="1082"/>
      <c r="TOR1" s="1082"/>
      <c r="TOS1" s="1082"/>
      <c r="TOT1" s="1082"/>
      <c r="TOU1" s="1082"/>
      <c r="TOV1" s="1082"/>
      <c r="TOW1" s="1082"/>
      <c r="TOX1" s="1082"/>
      <c r="TOY1" s="1082"/>
      <c r="TOZ1" s="1082"/>
      <c r="TPA1" s="1082"/>
      <c r="TPB1" s="1082"/>
      <c r="TPC1" s="1082"/>
      <c r="TPD1" s="1082"/>
      <c r="TPE1" s="1082"/>
      <c r="TPF1" s="1082"/>
      <c r="TPG1" s="1082"/>
      <c r="TPH1" s="1082"/>
      <c r="TPI1" s="1082"/>
      <c r="TPJ1" s="1082"/>
      <c r="TPK1" s="1082"/>
      <c r="TPL1" s="1082"/>
      <c r="TPM1" s="1082"/>
      <c r="TPN1" s="1082"/>
      <c r="TPO1" s="1082"/>
      <c r="TPP1" s="1082"/>
      <c r="TPQ1" s="1082"/>
      <c r="TPR1" s="1082"/>
      <c r="TPS1" s="1082"/>
      <c r="TPT1" s="1082"/>
      <c r="TPU1" s="1082"/>
      <c r="TPV1" s="1082"/>
      <c r="TPW1" s="1082"/>
      <c r="TPX1" s="1082"/>
      <c r="TPY1" s="1082"/>
      <c r="TPZ1" s="1082"/>
      <c r="TQA1" s="1082"/>
      <c r="TQB1" s="1082"/>
      <c r="TQC1" s="1082"/>
      <c r="TQD1" s="1082"/>
      <c r="TQE1" s="1082"/>
      <c r="TQF1" s="1082"/>
      <c r="TQG1" s="1082"/>
      <c r="TQH1" s="1082"/>
      <c r="TQI1" s="1082"/>
      <c r="TQJ1" s="1082"/>
      <c r="TQK1" s="1082"/>
      <c r="TQL1" s="1082"/>
      <c r="TQM1" s="1082"/>
      <c r="TQN1" s="1082"/>
      <c r="TQO1" s="1082"/>
      <c r="TQP1" s="1082"/>
      <c r="TQQ1" s="1082"/>
      <c r="TQR1" s="1082"/>
      <c r="TQS1" s="1082"/>
      <c r="TQT1" s="1082"/>
      <c r="TQU1" s="1082"/>
      <c r="TQV1" s="1082"/>
      <c r="TQW1" s="1082"/>
      <c r="TQX1" s="1082"/>
      <c r="TQY1" s="1082"/>
      <c r="TQZ1" s="1082"/>
      <c r="TRA1" s="1082"/>
      <c r="TRB1" s="1082"/>
      <c r="TRC1" s="1082"/>
      <c r="TRD1" s="1082"/>
      <c r="TRE1" s="1082"/>
      <c r="TRF1" s="1082"/>
      <c r="TRG1" s="1082"/>
      <c r="TRH1" s="1082"/>
      <c r="TRI1" s="1082"/>
      <c r="TRJ1" s="1082"/>
      <c r="TRK1" s="1082"/>
      <c r="TRL1" s="1082"/>
      <c r="TRM1" s="1082"/>
      <c r="TRN1" s="1082"/>
      <c r="TRO1" s="1082"/>
      <c r="TRP1" s="1082"/>
      <c r="TRQ1" s="1082"/>
      <c r="TRR1" s="1082"/>
      <c r="TRS1" s="1082"/>
      <c r="TRT1" s="1082"/>
      <c r="TRU1" s="1082"/>
      <c r="TRV1" s="1082"/>
      <c r="TRW1" s="1082"/>
      <c r="TRX1" s="1082"/>
      <c r="TRY1" s="1082"/>
      <c r="TRZ1" s="1082"/>
      <c r="TSA1" s="1082"/>
      <c r="TSB1" s="1082"/>
      <c r="TSC1" s="1082"/>
      <c r="TSD1" s="1082"/>
      <c r="TSE1" s="1082"/>
      <c r="TSF1" s="1082"/>
      <c r="TSG1" s="1082"/>
      <c r="TSH1" s="1082"/>
      <c r="TSI1" s="1082"/>
      <c r="TSJ1" s="1082"/>
      <c r="TSK1" s="1082"/>
      <c r="TSL1" s="1082"/>
      <c r="TSM1" s="1082"/>
      <c r="TSN1" s="1082"/>
      <c r="TSO1" s="1082"/>
      <c r="TSP1" s="1082"/>
      <c r="TSQ1" s="1082"/>
      <c r="TSR1" s="1082"/>
      <c r="TSS1" s="1082"/>
      <c r="TST1" s="1082"/>
      <c r="TSU1" s="1082"/>
      <c r="TSV1" s="1082"/>
      <c r="TSW1" s="1082"/>
      <c r="TSX1" s="1082"/>
      <c r="TSY1" s="1082"/>
      <c r="TSZ1" s="1082"/>
      <c r="TTA1" s="1082"/>
      <c r="TTB1" s="1082"/>
      <c r="TTC1" s="1082"/>
      <c r="TTD1" s="1082"/>
      <c r="TTE1" s="1082"/>
      <c r="TTF1" s="1082"/>
      <c r="TTG1" s="1082"/>
      <c r="TTH1" s="1082"/>
      <c r="TTI1" s="1082"/>
      <c r="TTJ1" s="1082"/>
      <c r="TTK1" s="1082"/>
      <c r="TTL1" s="1082"/>
      <c r="TTM1" s="1082"/>
      <c r="TTN1" s="1082"/>
      <c r="TTO1" s="1082"/>
      <c r="TTP1" s="1082"/>
      <c r="TTQ1" s="1082"/>
      <c r="TTR1" s="1082"/>
      <c r="TTS1" s="1082"/>
      <c r="TTT1" s="1082"/>
      <c r="TTU1" s="1082"/>
      <c r="TTV1" s="1082"/>
      <c r="TTW1" s="1082"/>
      <c r="TTX1" s="1082"/>
      <c r="TTY1" s="1082"/>
      <c r="TTZ1" s="1082"/>
      <c r="TUA1" s="1082"/>
      <c r="TUB1" s="1082"/>
      <c r="TUC1" s="1082"/>
      <c r="TUD1" s="1082"/>
      <c r="TUE1" s="1082"/>
      <c r="TUF1" s="1082"/>
      <c r="TUG1" s="1082"/>
      <c r="TUH1" s="1082"/>
      <c r="TUI1" s="1082"/>
      <c r="TUJ1" s="1082"/>
      <c r="TUK1" s="1082"/>
      <c r="TUL1" s="1082"/>
      <c r="TUM1" s="1082"/>
      <c r="TUN1" s="1082"/>
      <c r="TUO1" s="1082"/>
      <c r="TUP1" s="1082"/>
      <c r="TUQ1" s="1082"/>
      <c r="TUR1" s="1082"/>
      <c r="TUS1" s="1082"/>
      <c r="TUT1" s="1082"/>
      <c r="TUU1" s="1082"/>
      <c r="TUV1" s="1082"/>
      <c r="TUW1" s="1082"/>
      <c r="TUX1" s="1082"/>
      <c r="TUY1" s="1082"/>
      <c r="TUZ1" s="1082"/>
      <c r="TVA1" s="1082"/>
      <c r="TVB1" s="1082"/>
      <c r="TVC1" s="1082"/>
      <c r="TVD1" s="1082"/>
      <c r="TVE1" s="1082"/>
      <c r="TVF1" s="1082"/>
      <c r="TVG1" s="1082"/>
      <c r="TVH1" s="1082"/>
      <c r="TVI1" s="1082"/>
      <c r="TVJ1" s="1082"/>
      <c r="TVK1" s="1082"/>
      <c r="TVL1" s="1082"/>
      <c r="TVM1" s="1082"/>
      <c r="TVN1" s="1082"/>
      <c r="TVO1" s="1082"/>
      <c r="TVP1" s="1082"/>
      <c r="TVQ1" s="1082"/>
      <c r="TVR1" s="1082"/>
      <c r="TVS1" s="1082"/>
      <c r="TVT1" s="1082"/>
      <c r="TVU1" s="1082"/>
      <c r="TVV1" s="1082"/>
      <c r="TVW1" s="1082"/>
      <c r="TVX1" s="1082"/>
      <c r="TVY1" s="1082"/>
      <c r="TVZ1" s="1082"/>
      <c r="TWA1" s="1082"/>
      <c r="TWB1" s="1082"/>
      <c r="TWC1" s="1082"/>
      <c r="TWD1" s="1082"/>
      <c r="TWE1" s="1082"/>
      <c r="TWF1" s="1082"/>
      <c r="TWG1" s="1082"/>
      <c r="TWH1" s="1082"/>
      <c r="TWI1" s="1082"/>
      <c r="TWJ1" s="1082"/>
      <c r="TWK1" s="1082"/>
      <c r="TWL1" s="1082"/>
      <c r="TWM1" s="1082"/>
      <c r="TWN1" s="1082"/>
      <c r="TWO1" s="1082"/>
      <c r="TWP1" s="1082"/>
      <c r="TWQ1" s="1082"/>
      <c r="TWR1" s="1082"/>
      <c r="TWS1" s="1082"/>
      <c r="TWT1" s="1082"/>
      <c r="TWU1" s="1082"/>
      <c r="TWV1" s="1082"/>
      <c r="TWW1" s="1082"/>
      <c r="TWX1" s="1082"/>
      <c r="TWY1" s="1082"/>
      <c r="TWZ1" s="1082"/>
      <c r="TXA1" s="1082"/>
      <c r="TXB1" s="1082"/>
      <c r="TXC1" s="1082"/>
      <c r="TXD1" s="1082"/>
      <c r="TXE1" s="1082"/>
      <c r="TXF1" s="1082"/>
      <c r="TXG1" s="1082"/>
      <c r="TXH1" s="1082"/>
      <c r="TXI1" s="1082"/>
      <c r="TXJ1" s="1082"/>
      <c r="TXK1" s="1082"/>
      <c r="TXL1" s="1082"/>
      <c r="TXM1" s="1082"/>
      <c r="TXN1" s="1082"/>
      <c r="TXO1" s="1082"/>
      <c r="TXP1" s="1082"/>
      <c r="TXQ1" s="1082"/>
      <c r="TXR1" s="1082"/>
      <c r="TXS1" s="1082"/>
      <c r="TXT1" s="1082"/>
      <c r="TXU1" s="1082"/>
      <c r="TXV1" s="1082"/>
      <c r="TXW1" s="1082"/>
      <c r="TXX1" s="1082"/>
      <c r="TXY1" s="1082"/>
      <c r="TXZ1" s="1082"/>
      <c r="TYA1" s="1082"/>
      <c r="TYB1" s="1082"/>
      <c r="TYC1" s="1082"/>
      <c r="TYD1" s="1082"/>
      <c r="TYE1" s="1082"/>
      <c r="TYF1" s="1082"/>
      <c r="TYG1" s="1082"/>
      <c r="TYH1" s="1082"/>
      <c r="TYI1" s="1082"/>
      <c r="TYJ1" s="1082"/>
      <c r="TYK1" s="1082"/>
      <c r="TYL1" s="1082"/>
      <c r="TYM1" s="1082"/>
      <c r="TYN1" s="1082"/>
      <c r="TYO1" s="1082"/>
      <c r="TYP1" s="1082"/>
      <c r="TYQ1" s="1082"/>
      <c r="TYR1" s="1082"/>
      <c r="TYS1" s="1082"/>
      <c r="TYT1" s="1082"/>
      <c r="TYU1" s="1082"/>
      <c r="TYV1" s="1082"/>
      <c r="TYW1" s="1082"/>
      <c r="TYX1" s="1082"/>
      <c r="TYY1" s="1082"/>
      <c r="TYZ1" s="1082"/>
      <c r="TZA1" s="1082"/>
      <c r="TZB1" s="1082"/>
      <c r="TZC1" s="1082"/>
      <c r="TZD1" s="1082"/>
      <c r="TZE1" s="1082"/>
      <c r="TZF1" s="1082"/>
      <c r="TZG1" s="1082"/>
      <c r="TZH1" s="1082"/>
      <c r="TZI1" s="1082"/>
      <c r="TZJ1" s="1082"/>
      <c r="TZK1" s="1082"/>
      <c r="TZL1" s="1082"/>
      <c r="TZM1" s="1082"/>
      <c r="TZN1" s="1082"/>
      <c r="TZO1" s="1082"/>
      <c r="TZP1" s="1082"/>
      <c r="TZQ1" s="1082"/>
      <c r="TZR1" s="1082"/>
      <c r="TZS1" s="1082"/>
      <c r="TZT1" s="1082"/>
      <c r="TZU1" s="1082"/>
      <c r="TZV1" s="1082"/>
      <c r="TZW1" s="1082"/>
      <c r="TZX1" s="1082"/>
      <c r="TZY1" s="1082"/>
      <c r="TZZ1" s="1082"/>
      <c r="UAA1" s="1082"/>
      <c r="UAB1" s="1082"/>
      <c r="UAC1" s="1082"/>
      <c r="UAD1" s="1082"/>
      <c r="UAE1" s="1082"/>
      <c r="UAF1" s="1082"/>
      <c r="UAG1" s="1082"/>
      <c r="UAH1" s="1082"/>
      <c r="UAI1" s="1082"/>
      <c r="UAJ1" s="1082"/>
      <c r="UAK1" s="1082"/>
      <c r="UAL1" s="1082"/>
      <c r="UAM1" s="1082"/>
      <c r="UAN1" s="1082"/>
      <c r="UAO1" s="1082"/>
      <c r="UAP1" s="1082"/>
      <c r="UAQ1" s="1082"/>
      <c r="UAR1" s="1082"/>
      <c r="UAS1" s="1082"/>
      <c r="UAT1" s="1082"/>
      <c r="UAU1" s="1082"/>
      <c r="UAV1" s="1082"/>
      <c r="UAW1" s="1082"/>
      <c r="UAX1" s="1082"/>
      <c r="UAY1" s="1082"/>
      <c r="UAZ1" s="1082"/>
      <c r="UBA1" s="1082"/>
      <c r="UBB1" s="1082"/>
      <c r="UBC1" s="1082"/>
      <c r="UBD1" s="1082"/>
      <c r="UBE1" s="1082"/>
      <c r="UBF1" s="1082"/>
      <c r="UBG1" s="1082"/>
      <c r="UBH1" s="1082"/>
      <c r="UBI1" s="1082"/>
      <c r="UBJ1" s="1082"/>
      <c r="UBK1" s="1082"/>
      <c r="UBL1" s="1082"/>
      <c r="UBM1" s="1082"/>
      <c r="UBN1" s="1082"/>
      <c r="UBO1" s="1082"/>
      <c r="UBP1" s="1082"/>
      <c r="UBQ1" s="1082"/>
      <c r="UBR1" s="1082"/>
      <c r="UBS1" s="1082"/>
      <c r="UBT1" s="1082"/>
      <c r="UBU1" s="1082"/>
      <c r="UBV1" s="1082"/>
      <c r="UBW1" s="1082"/>
      <c r="UBX1" s="1082"/>
      <c r="UBY1" s="1082"/>
      <c r="UBZ1" s="1082"/>
      <c r="UCA1" s="1082"/>
      <c r="UCB1" s="1082"/>
      <c r="UCC1" s="1082"/>
      <c r="UCD1" s="1082"/>
      <c r="UCE1" s="1082"/>
      <c r="UCF1" s="1082"/>
      <c r="UCG1" s="1082"/>
      <c r="UCH1" s="1082"/>
      <c r="UCI1" s="1082"/>
      <c r="UCJ1" s="1082"/>
      <c r="UCK1" s="1082"/>
      <c r="UCL1" s="1082"/>
      <c r="UCM1" s="1082"/>
      <c r="UCN1" s="1082"/>
      <c r="UCO1" s="1082"/>
      <c r="UCP1" s="1082"/>
      <c r="UCQ1" s="1082"/>
      <c r="UCR1" s="1082"/>
      <c r="UCS1" s="1082"/>
      <c r="UCT1" s="1082"/>
      <c r="UCU1" s="1082"/>
      <c r="UCV1" s="1082"/>
      <c r="UCW1" s="1082"/>
      <c r="UCX1" s="1082"/>
      <c r="UCY1" s="1082"/>
      <c r="UCZ1" s="1082"/>
      <c r="UDA1" s="1082"/>
      <c r="UDB1" s="1082"/>
      <c r="UDC1" s="1082"/>
      <c r="UDD1" s="1082"/>
      <c r="UDE1" s="1082"/>
      <c r="UDF1" s="1082"/>
      <c r="UDG1" s="1082"/>
      <c r="UDH1" s="1082"/>
      <c r="UDI1" s="1082"/>
      <c r="UDJ1" s="1082"/>
      <c r="UDK1" s="1082"/>
      <c r="UDL1" s="1082"/>
      <c r="UDM1" s="1082"/>
      <c r="UDN1" s="1082"/>
      <c r="UDO1" s="1082"/>
      <c r="UDP1" s="1082"/>
      <c r="UDQ1" s="1082"/>
      <c r="UDR1" s="1082"/>
      <c r="UDS1" s="1082"/>
      <c r="UDT1" s="1082"/>
      <c r="UDU1" s="1082"/>
      <c r="UDV1" s="1082"/>
      <c r="UDW1" s="1082"/>
      <c r="UDX1" s="1082"/>
      <c r="UDY1" s="1082"/>
      <c r="UDZ1" s="1082"/>
      <c r="UEA1" s="1082"/>
      <c r="UEB1" s="1082"/>
      <c r="UEC1" s="1082"/>
      <c r="UED1" s="1082"/>
      <c r="UEE1" s="1082"/>
      <c r="UEF1" s="1082"/>
      <c r="UEG1" s="1082"/>
      <c r="UEH1" s="1082"/>
      <c r="UEI1" s="1082"/>
      <c r="UEJ1" s="1082"/>
      <c r="UEK1" s="1082"/>
      <c r="UEL1" s="1082"/>
      <c r="UEM1" s="1082"/>
      <c r="UEN1" s="1082"/>
      <c r="UEO1" s="1082"/>
      <c r="UEP1" s="1082"/>
      <c r="UEQ1" s="1082"/>
      <c r="UER1" s="1082"/>
      <c r="UES1" s="1082"/>
      <c r="UET1" s="1082"/>
      <c r="UEU1" s="1082"/>
      <c r="UEV1" s="1082"/>
      <c r="UEW1" s="1082"/>
      <c r="UEX1" s="1082"/>
      <c r="UEY1" s="1082"/>
      <c r="UEZ1" s="1082"/>
      <c r="UFA1" s="1082"/>
      <c r="UFB1" s="1082"/>
      <c r="UFC1" s="1082"/>
      <c r="UFD1" s="1082"/>
      <c r="UFE1" s="1082"/>
      <c r="UFF1" s="1082"/>
      <c r="UFG1" s="1082"/>
      <c r="UFH1" s="1082"/>
      <c r="UFI1" s="1082"/>
      <c r="UFJ1" s="1082"/>
      <c r="UFK1" s="1082"/>
      <c r="UFL1" s="1082"/>
      <c r="UFM1" s="1082"/>
      <c r="UFN1" s="1082"/>
      <c r="UFO1" s="1082"/>
      <c r="UFP1" s="1082"/>
      <c r="UFQ1" s="1082"/>
      <c r="UFR1" s="1082"/>
      <c r="UFS1" s="1082"/>
      <c r="UFT1" s="1082"/>
      <c r="UFU1" s="1082"/>
      <c r="UFV1" s="1082"/>
      <c r="UFW1" s="1082"/>
      <c r="UFX1" s="1082"/>
      <c r="UFY1" s="1082"/>
      <c r="UFZ1" s="1082"/>
      <c r="UGA1" s="1082"/>
      <c r="UGB1" s="1082"/>
      <c r="UGC1" s="1082"/>
      <c r="UGD1" s="1082"/>
      <c r="UGE1" s="1082"/>
      <c r="UGF1" s="1082"/>
      <c r="UGG1" s="1082"/>
      <c r="UGH1" s="1082"/>
      <c r="UGI1" s="1082"/>
      <c r="UGJ1" s="1082"/>
      <c r="UGK1" s="1082"/>
      <c r="UGL1" s="1082"/>
      <c r="UGM1" s="1082"/>
      <c r="UGN1" s="1082"/>
      <c r="UGO1" s="1082"/>
      <c r="UGP1" s="1082"/>
      <c r="UGQ1" s="1082"/>
      <c r="UGR1" s="1082"/>
      <c r="UGS1" s="1082"/>
      <c r="UGT1" s="1082"/>
      <c r="UGU1" s="1082"/>
      <c r="UGV1" s="1082"/>
      <c r="UGW1" s="1082"/>
      <c r="UGX1" s="1082"/>
      <c r="UGY1" s="1082"/>
      <c r="UGZ1" s="1082"/>
      <c r="UHA1" s="1082"/>
      <c r="UHB1" s="1082"/>
      <c r="UHC1" s="1082"/>
      <c r="UHD1" s="1082"/>
      <c r="UHE1" s="1082"/>
      <c r="UHF1" s="1082"/>
      <c r="UHG1" s="1082"/>
      <c r="UHH1" s="1082"/>
      <c r="UHI1" s="1082"/>
      <c r="UHJ1" s="1082"/>
      <c r="UHK1" s="1082"/>
      <c r="UHL1" s="1082"/>
      <c r="UHM1" s="1082"/>
      <c r="UHN1" s="1082"/>
      <c r="UHO1" s="1082"/>
      <c r="UHP1" s="1082"/>
      <c r="UHQ1" s="1082"/>
      <c r="UHR1" s="1082"/>
      <c r="UHS1" s="1082"/>
      <c r="UHT1" s="1082"/>
      <c r="UHU1" s="1082"/>
      <c r="UHV1" s="1082"/>
      <c r="UHW1" s="1082"/>
      <c r="UHX1" s="1082"/>
      <c r="UHY1" s="1082"/>
      <c r="UHZ1" s="1082"/>
      <c r="UIA1" s="1082"/>
      <c r="UIB1" s="1082"/>
      <c r="UIC1" s="1082"/>
      <c r="UID1" s="1082"/>
      <c r="UIE1" s="1082"/>
      <c r="UIF1" s="1082"/>
      <c r="UIG1" s="1082"/>
      <c r="UIH1" s="1082"/>
      <c r="UII1" s="1082"/>
      <c r="UIJ1" s="1082"/>
      <c r="UIK1" s="1082"/>
      <c r="UIL1" s="1082"/>
      <c r="UIM1" s="1082"/>
      <c r="UIN1" s="1082"/>
      <c r="UIO1" s="1082"/>
      <c r="UIP1" s="1082"/>
      <c r="UIQ1" s="1082"/>
      <c r="UIR1" s="1082"/>
      <c r="UIS1" s="1082"/>
      <c r="UIT1" s="1082"/>
      <c r="UIU1" s="1082"/>
      <c r="UIV1" s="1082"/>
      <c r="UIW1" s="1082"/>
      <c r="UIX1" s="1082"/>
      <c r="UIY1" s="1082"/>
      <c r="UIZ1" s="1082"/>
      <c r="UJA1" s="1082"/>
      <c r="UJB1" s="1082"/>
      <c r="UJC1" s="1082"/>
      <c r="UJD1" s="1082"/>
      <c r="UJE1" s="1082"/>
      <c r="UJF1" s="1082"/>
      <c r="UJG1" s="1082"/>
      <c r="UJH1" s="1082"/>
      <c r="UJI1" s="1082"/>
      <c r="UJJ1" s="1082"/>
      <c r="UJK1" s="1082"/>
      <c r="UJL1" s="1082"/>
      <c r="UJM1" s="1082"/>
      <c r="UJN1" s="1082"/>
      <c r="UJO1" s="1082"/>
      <c r="UJP1" s="1082"/>
      <c r="UJQ1" s="1082"/>
      <c r="UJR1" s="1082"/>
      <c r="UJS1" s="1082"/>
      <c r="UJT1" s="1082"/>
      <c r="UJU1" s="1082"/>
      <c r="UJV1" s="1082"/>
      <c r="UJW1" s="1082"/>
      <c r="UJX1" s="1082"/>
      <c r="UJY1" s="1082"/>
      <c r="UJZ1" s="1082"/>
      <c r="UKA1" s="1082"/>
      <c r="UKB1" s="1082"/>
      <c r="UKC1" s="1082"/>
      <c r="UKD1" s="1082"/>
      <c r="UKE1" s="1082"/>
      <c r="UKF1" s="1082"/>
      <c r="UKG1" s="1082"/>
      <c r="UKH1" s="1082"/>
      <c r="UKI1" s="1082"/>
      <c r="UKJ1" s="1082"/>
      <c r="UKK1" s="1082"/>
      <c r="UKL1" s="1082"/>
      <c r="UKM1" s="1082"/>
      <c r="UKN1" s="1082"/>
      <c r="UKO1" s="1082"/>
      <c r="UKP1" s="1082"/>
      <c r="UKQ1" s="1082"/>
      <c r="UKR1" s="1082"/>
      <c r="UKS1" s="1082"/>
      <c r="UKT1" s="1082"/>
      <c r="UKU1" s="1082"/>
      <c r="UKV1" s="1082"/>
      <c r="UKW1" s="1082"/>
      <c r="UKX1" s="1082"/>
      <c r="UKY1" s="1082"/>
      <c r="UKZ1" s="1082"/>
      <c r="ULA1" s="1082"/>
      <c r="ULB1" s="1082"/>
      <c r="ULC1" s="1082"/>
      <c r="ULD1" s="1082"/>
      <c r="ULE1" s="1082"/>
      <c r="ULF1" s="1082"/>
      <c r="ULG1" s="1082"/>
      <c r="ULH1" s="1082"/>
      <c r="ULI1" s="1082"/>
      <c r="ULJ1" s="1082"/>
      <c r="ULK1" s="1082"/>
      <c r="ULL1" s="1082"/>
      <c r="ULM1" s="1082"/>
      <c r="ULN1" s="1082"/>
      <c r="ULO1" s="1082"/>
      <c r="ULP1" s="1082"/>
      <c r="ULQ1" s="1082"/>
      <c r="ULR1" s="1082"/>
      <c r="ULS1" s="1082"/>
      <c r="ULT1" s="1082"/>
      <c r="ULU1" s="1082"/>
      <c r="ULV1" s="1082"/>
      <c r="ULW1" s="1082"/>
      <c r="ULX1" s="1082"/>
      <c r="ULY1" s="1082"/>
      <c r="ULZ1" s="1082"/>
      <c r="UMA1" s="1082"/>
      <c r="UMB1" s="1082"/>
      <c r="UMC1" s="1082"/>
      <c r="UMD1" s="1082"/>
      <c r="UME1" s="1082"/>
      <c r="UMF1" s="1082"/>
      <c r="UMG1" s="1082"/>
      <c r="UMH1" s="1082"/>
      <c r="UMI1" s="1082"/>
      <c r="UMJ1" s="1082"/>
      <c r="UMK1" s="1082"/>
      <c r="UML1" s="1082"/>
      <c r="UMM1" s="1082"/>
      <c r="UMN1" s="1082"/>
      <c r="UMO1" s="1082"/>
      <c r="UMP1" s="1082"/>
      <c r="UMQ1" s="1082"/>
      <c r="UMR1" s="1082"/>
      <c r="UMS1" s="1082"/>
      <c r="UMT1" s="1082"/>
      <c r="UMU1" s="1082"/>
      <c r="UMV1" s="1082"/>
      <c r="UMW1" s="1082"/>
      <c r="UMX1" s="1082"/>
      <c r="UMY1" s="1082"/>
      <c r="UMZ1" s="1082"/>
      <c r="UNA1" s="1082"/>
      <c r="UNB1" s="1082"/>
      <c r="UNC1" s="1082"/>
      <c r="UND1" s="1082"/>
      <c r="UNE1" s="1082"/>
      <c r="UNF1" s="1082"/>
      <c r="UNG1" s="1082"/>
      <c r="UNH1" s="1082"/>
      <c r="UNI1" s="1082"/>
      <c r="UNJ1" s="1082"/>
      <c r="UNK1" s="1082"/>
      <c r="UNL1" s="1082"/>
      <c r="UNM1" s="1082"/>
      <c r="UNN1" s="1082"/>
      <c r="UNO1" s="1082"/>
      <c r="UNP1" s="1082"/>
      <c r="UNQ1" s="1082"/>
      <c r="UNR1" s="1082"/>
      <c r="UNS1" s="1082"/>
      <c r="UNT1" s="1082"/>
      <c r="UNU1" s="1082"/>
      <c r="UNV1" s="1082"/>
      <c r="UNW1" s="1082"/>
      <c r="UNX1" s="1082"/>
      <c r="UNY1" s="1082"/>
      <c r="UNZ1" s="1082"/>
      <c r="UOA1" s="1082"/>
      <c r="UOB1" s="1082"/>
      <c r="UOC1" s="1082"/>
      <c r="UOD1" s="1082"/>
      <c r="UOE1" s="1082"/>
      <c r="UOF1" s="1082"/>
      <c r="UOG1" s="1082"/>
      <c r="UOH1" s="1082"/>
      <c r="UOI1" s="1082"/>
      <c r="UOJ1" s="1082"/>
      <c r="UOK1" s="1082"/>
      <c r="UOL1" s="1082"/>
      <c r="UOM1" s="1082"/>
      <c r="UON1" s="1082"/>
      <c r="UOO1" s="1082"/>
      <c r="UOP1" s="1082"/>
      <c r="UOQ1" s="1082"/>
      <c r="UOR1" s="1082"/>
      <c r="UOS1" s="1082"/>
      <c r="UOT1" s="1082"/>
      <c r="UOU1" s="1082"/>
      <c r="UOV1" s="1082"/>
      <c r="UOW1" s="1082"/>
      <c r="UOX1" s="1082"/>
      <c r="UOY1" s="1082"/>
      <c r="UOZ1" s="1082"/>
      <c r="UPA1" s="1082"/>
      <c r="UPB1" s="1082"/>
      <c r="UPC1" s="1082"/>
      <c r="UPD1" s="1082"/>
      <c r="UPE1" s="1082"/>
      <c r="UPF1" s="1082"/>
      <c r="UPG1" s="1082"/>
      <c r="UPH1" s="1082"/>
      <c r="UPI1" s="1082"/>
      <c r="UPJ1" s="1082"/>
      <c r="UPK1" s="1082"/>
      <c r="UPL1" s="1082"/>
      <c r="UPM1" s="1082"/>
      <c r="UPN1" s="1082"/>
      <c r="UPO1" s="1082"/>
      <c r="UPP1" s="1082"/>
      <c r="UPQ1" s="1082"/>
      <c r="UPR1" s="1082"/>
      <c r="UPS1" s="1082"/>
      <c r="UPT1" s="1082"/>
      <c r="UPU1" s="1082"/>
      <c r="UPV1" s="1082"/>
      <c r="UPW1" s="1082"/>
      <c r="UPX1" s="1082"/>
      <c r="UPY1" s="1082"/>
      <c r="UPZ1" s="1082"/>
      <c r="UQA1" s="1082"/>
      <c r="UQB1" s="1082"/>
      <c r="UQC1" s="1082"/>
      <c r="UQD1" s="1082"/>
      <c r="UQE1" s="1082"/>
      <c r="UQF1" s="1082"/>
      <c r="UQG1" s="1082"/>
      <c r="UQH1" s="1082"/>
      <c r="UQI1" s="1082"/>
      <c r="UQJ1" s="1082"/>
      <c r="UQK1" s="1082"/>
      <c r="UQL1" s="1082"/>
      <c r="UQM1" s="1082"/>
      <c r="UQN1" s="1082"/>
      <c r="UQO1" s="1082"/>
      <c r="UQP1" s="1082"/>
      <c r="UQQ1" s="1082"/>
      <c r="UQR1" s="1082"/>
      <c r="UQS1" s="1082"/>
      <c r="UQT1" s="1082"/>
      <c r="UQU1" s="1082"/>
      <c r="UQV1" s="1082"/>
      <c r="UQW1" s="1082"/>
      <c r="UQX1" s="1082"/>
      <c r="UQY1" s="1082"/>
      <c r="UQZ1" s="1082"/>
      <c r="URA1" s="1082"/>
      <c r="URB1" s="1082"/>
      <c r="URC1" s="1082"/>
      <c r="URD1" s="1082"/>
      <c r="URE1" s="1082"/>
      <c r="URF1" s="1082"/>
      <c r="URG1" s="1082"/>
      <c r="URH1" s="1082"/>
      <c r="URI1" s="1082"/>
      <c r="URJ1" s="1082"/>
      <c r="URK1" s="1082"/>
      <c r="URL1" s="1082"/>
      <c r="URM1" s="1082"/>
      <c r="URN1" s="1082"/>
      <c r="URO1" s="1082"/>
      <c r="URP1" s="1082"/>
      <c r="URQ1" s="1082"/>
      <c r="URR1" s="1082"/>
      <c r="URS1" s="1082"/>
      <c r="URT1" s="1082"/>
      <c r="URU1" s="1082"/>
      <c r="URV1" s="1082"/>
      <c r="URW1" s="1082"/>
      <c r="URX1" s="1082"/>
      <c r="URY1" s="1082"/>
      <c r="URZ1" s="1082"/>
      <c r="USA1" s="1082"/>
      <c r="USB1" s="1082"/>
      <c r="USC1" s="1082"/>
      <c r="USD1" s="1082"/>
      <c r="USE1" s="1082"/>
      <c r="USF1" s="1082"/>
      <c r="USG1" s="1082"/>
      <c r="USH1" s="1082"/>
      <c r="USI1" s="1082"/>
      <c r="USJ1" s="1082"/>
      <c r="USK1" s="1082"/>
      <c r="USL1" s="1082"/>
      <c r="USM1" s="1082"/>
      <c r="USN1" s="1082"/>
      <c r="USO1" s="1082"/>
      <c r="USP1" s="1082"/>
      <c r="USQ1" s="1082"/>
      <c r="USR1" s="1082"/>
      <c r="USS1" s="1082"/>
      <c r="UST1" s="1082"/>
      <c r="USU1" s="1082"/>
      <c r="USV1" s="1082"/>
      <c r="USW1" s="1082"/>
      <c r="USX1" s="1082"/>
      <c r="USY1" s="1082"/>
      <c r="USZ1" s="1082"/>
      <c r="UTA1" s="1082"/>
      <c r="UTB1" s="1082"/>
      <c r="UTC1" s="1082"/>
      <c r="UTD1" s="1082"/>
      <c r="UTE1" s="1082"/>
      <c r="UTF1" s="1082"/>
      <c r="UTG1" s="1082"/>
      <c r="UTH1" s="1082"/>
      <c r="UTI1" s="1082"/>
      <c r="UTJ1" s="1082"/>
      <c r="UTK1" s="1082"/>
      <c r="UTL1" s="1082"/>
      <c r="UTM1" s="1082"/>
      <c r="UTN1" s="1082"/>
      <c r="UTO1" s="1082"/>
      <c r="UTP1" s="1082"/>
      <c r="UTQ1" s="1082"/>
      <c r="UTR1" s="1082"/>
      <c r="UTS1" s="1082"/>
      <c r="UTT1" s="1082"/>
      <c r="UTU1" s="1082"/>
      <c r="UTV1" s="1082"/>
      <c r="UTW1" s="1082"/>
      <c r="UTX1" s="1082"/>
      <c r="UTY1" s="1082"/>
      <c r="UTZ1" s="1082"/>
      <c r="UUA1" s="1082"/>
      <c r="UUB1" s="1082"/>
      <c r="UUC1" s="1082"/>
      <c r="UUD1" s="1082"/>
      <c r="UUE1" s="1082"/>
      <c r="UUF1" s="1082"/>
      <c r="UUG1" s="1082"/>
      <c r="UUH1" s="1082"/>
      <c r="UUI1" s="1082"/>
      <c r="UUJ1" s="1082"/>
      <c r="UUK1" s="1082"/>
      <c r="UUL1" s="1082"/>
      <c r="UUM1" s="1082"/>
      <c r="UUN1" s="1082"/>
      <c r="UUO1" s="1082"/>
      <c r="UUP1" s="1082"/>
      <c r="UUQ1" s="1082"/>
      <c r="UUR1" s="1082"/>
      <c r="UUS1" s="1082"/>
      <c r="UUT1" s="1082"/>
      <c r="UUU1" s="1082"/>
      <c r="UUV1" s="1082"/>
      <c r="UUW1" s="1082"/>
      <c r="UUX1" s="1082"/>
      <c r="UUY1" s="1082"/>
      <c r="UUZ1" s="1082"/>
      <c r="UVA1" s="1082"/>
      <c r="UVB1" s="1082"/>
      <c r="UVC1" s="1082"/>
      <c r="UVD1" s="1082"/>
      <c r="UVE1" s="1082"/>
      <c r="UVF1" s="1082"/>
      <c r="UVG1" s="1082"/>
      <c r="UVH1" s="1082"/>
      <c r="UVI1" s="1082"/>
      <c r="UVJ1" s="1082"/>
      <c r="UVK1" s="1082"/>
      <c r="UVL1" s="1082"/>
      <c r="UVM1" s="1082"/>
      <c r="UVN1" s="1082"/>
      <c r="UVO1" s="1082"/>
      <c r="UVP1" s="1082"/>
      <c r="UVQ1" s="1082"/>
      <c r="UVR1" s="1082"/>
      <c r="UVS1" s="1082"/>
      <c r="UVT1" s="1082"/>
      <c r="UVU1" s="1082"/>
      <c r="UVV1" s="1082"/>
      <c r="UVW1" s="1082"/>
      <c r="UVX1" s="1082"/>
      <c r="UVY1" s="1082"/>
      <c r="UVZ1" s="1082"/>
      <c r="UWA1" s="1082"/>
      <c r="UWB1" s="1082"/>
      <c r="UWC1" s="1082"/>
      <c r="UWD1" s="1082"/>
      <c r="UWE1" s="1082"/>
      <c r="UWF1" s="1082"/>
      <c r="UWG1" s="1082"/>
      <c r="UWH1" s="1082"/>
      <c r="UWI1" s="1082"/>
      <c r="UWJ1" s="1082"/>
      <c r="UWK1" s="1082"/>
      <c r="UWL1" s="1082"/>
      <c r="UWM1" s="1082"/>
      <c r="UWN1" s="1082"/>
      <c r="UWO1" s="1082"/>
      <c r="UWP1" s="1082"/>
      <c r="UWQ1" s="1082"/>
      <c r="UWR1" s="1082"/>
      <c r="UWS1" s="1082"/>
      <c r="UWT1" s="1082"/>
      <c r="UWU1" s="1082"/>
      <c r="UWV1" s="1082"/>
      <c r="UWW1" s="1082"/>
      <c r="UWX1" s="1082"/>
      <c r="UWY1" s="1082"/>
      <c r="UWZ1" s="1082"/>
      <c r="UXA1" s="1082"/>
      <c r="UXB1" s="1082"/>
      <c r="UXC1" s="1082"/>
      <c r="UXD1" s="1082"/>
      <c r="UXE1" s="1082"/>
      <c r="UXF1" s="1082"/>
      <c r="UXG1" s="1082"/>
      <c r="UXH1" s="1082"/>
      <c r="UXI1" s="1082"/>
      <c r="UXJ1" s="1082"/>
      <c r="UXK1" s="1082"/>
      <c r="UXL1" s="1082"/>
      <c r="UXM1" s="1082"/>
      <c r="UXN1" s="1082"/>
      <c r="UXO1" s="1082"/>
      <c r="UXP1" s="1082"/>
      <c r="UXQ1" s="1082"/>
      <c r="UXR1" s="1082"/>
      <c r="UXS1" s="1082"/>
      <c r="UXT1" s="1082"/>
      <c r="UXU1" s="1082"/>
      <c r="UXV1" s="1082"/>
      <c r="UXW1" s="1082"/>
      <c r="UXX1" s="1082"/>
      <c r="UXY1" s="1082"/>
      <c r="UXZ1" s="1082"/>
      <c r="UYA1" s="1082"/>
      <c r="UYB1" s="1082"/>
      <c r="UYC1" s="1082"/>
      <c r="UYD1" s="1082"/>
      <c r="UYE1" s="1082"/>
      <c r="UYF1" s="1082"/>
      <c r="UYG1" s="1082"/>
      <c r="UYH1" s="1082"/>
      <c r="UYI1" s="1082"/>
      <c r="UYJ1" s="1082"/>
      <c r="UYK1" s="1082"/>
      <c r="UYL1" s="1082"/>
      <c r="UYM1" s="1082"/>
      <c r="UYN1" s="1082"/>
      <c r="UYO1" s="1082"/>
      <c r="UYP1" s="1082"/>
      <c r="UYQ1" s="1082"/>
      <c r="UYR1" s="1082"/>
      <c r="UYS1" s="1082"/>
      <c r="UYT1" s="1082"/>
      <c r="UYU1" s="1082"/>
      <c r="UYV1" s="1082"/>
      <c r="UYW1" s="1082"/>
      <c r="UYX1" s="1082"/>
      <c r="UYY1" s="1082"/>
      <c r="UYZ1" s="1082"/>
      <c r="UZA1" s="1082"/>
      <c r="UZB1" s="1082"/>
      <c r="UZC1" s="1082"/>
      <c r="UZD1" s="1082"/>
      <c r="UZE1" s="1082"/>
      <c r="UZF1" s="1082"/>
      <c r="UZG1" s="1082"/>
      <c r="UZH1" s="1082"/>
      <c r="UZI1" s="1082"/>
      <c r="UZJ1" s="1082"/>
      <c r="UZK1" s="1082"/>
      <c r="UZL1" s="1082"/>
      <c r="UZM1" s="1082"/>
      <c r="UZN1" s="1082"/>
      <c r="UZO1" s="1082"/>
      <c r="UZP1" s="1082"/>
      <c r="UZQ1" s="1082"/>
      <c r="UZR1" s="1082"/>
      <c r="UZS1" s="1082"/>
      <c r="UZT1" s="1082"/>
      <c r="UZU1" s="1082"/>
      <c r="UZV1" s="1082"/>
      <c r="UZW1" s="1082"/>
      <c r="UZX1" s="1082"/>
      <c r="UZY1" s="1082"/>
      <c r="UZZ1" s="1082"/>
      <c r="VAA1" s="1082"/>
      <c r="VAB1" s="1082"/>
      <c r="VAC1" s="1082"/>
      <c r="VAD1" s="1082"/>
      <c r="VAE1" s="1082"/>
      <c r="VAF1" s="1082"/>
      <c r="VAG1" s="1082"/>
      <c r="VAH1" s="1082"/>
      <c r="VAI1" s="1082"/>
      <c r="VAJ1" s="1082"/>
      <c r="VAK1" s="1082"/>
      <c r="VAL1" s="1082"/>
      <c r="VAM1" s="1082"/>
      <c r="VAN1" s="1082"/>
      <c r="VAO1" s="1082"/>
      <c r="VAP1" s="1082"/>
      <c r="VAQ1" s="1082"/>
      <c r="VAR1" s="1082"/>
      <c r="VAS1" s="1082"/>
      <c r="VAT1" s="1082"/>
      <c r="VAU1" s="1082"/>
      <c r="VAV1" s="1082"/>
      <c r="VAW1" s="1082"/>
      <c r="VAX1" s="1082"/>
      <c r="VAY1" s="1082"/>
      <c r="VAZ1" s="1082"/>
      <c r="VBA1" s="1082"/>
      <c r="VBB1" s="1082"/>
      <c r="VBC1" s="1082"/>
      <c r="VBD1" s="1082"/>
      <c r="VBE1" s="1082"/>
      <c r="VBF1" s="1082"/>
      <c r="VBG1" s="1082"/>
      <c r="VBH1" s="1082"/>
      <c r="VBI1" s="1082"/>
      <c r="VBJ1" s="1082"/>
      <c r="VBK1" s="1082"/>
      <c r="VBL1" s="1082"/>
      <c r="VBM1" s="1082"/>
      <c r="VBN1" s="1082"/>
      <c r="VBO1" s="1082"/>
      <c r="VBP1" s="1082"/>
      <c r="VBQ1" s="1082"/>
      <c r="VBR1" s="1082"/>
      <c r="VBS1" s="1082"/>
      <c r="VBT1" s="1082"/>
      <c r="VBU1" s="1082"/>
      <c r="VBV1" s="1082"/>
      <c r="VBW1" s="1082"/>
      <c r="VBX1" s="1082"/>
      <c r="VBY1" s="1082"/>
      <c r="VBZ1" s="1082"/>
      <c r="VCA1" s="1082"/>
      <c r="VCB1" s="1082"/>
      <c r="VCC1" s="1082"/>
      <c r="VCD1" s="1082"/>
      <c r="VCE1" s="1082"/>
      <c r="VCF1" s="1082"/>
      <c r="VCG1" s="1082"/>
      <c r="VCH1" s="1082"/>
      <c r="VCI1" s="1082"/>
      <c r="VCJ1" s="1082"/>
      <c r="VCK1" s="1082"/>
      <c r="VCL1" s="1082"/>
      <c r="VCM1" s="1082"/>
      <c r="VCN1" s="1082"/>
      <c r="VCO1" s="1082"/>
      <c r="VCP1" s="1082"/>
      <c r="VCQ1" s="1082"/>
      <c r="VCR1" s="1082"/>
      <c r="VCS1" s="1082"/>
      <c r="VCT1" s="1082"/>
      <c r="VCU1" s="1082"/>
      <c r="VCV1" s="1082"/>
      <c r="VCW1" s="1082"/>
      <c r="VCX1" s="1082"/>
      <c r="VCY1" s="1082"/>
      <c r="VCZ1" s="1082"/>
      <c r="VDA1" s="1082"/>
      <c r="VDB1" s="1082"/>
      <c r="VDC1" s="1082"/>
      <c r="VDD1" s="1082"/>
      <c r="VDE1" s="1082"/>
      <c r="VDF1" s="1082"/>
      <c r="VDG1" s="1082"/>
      <c r="VDH1" s="1082"/>
      <c r="VDI1" s="1082"/>
      <c r="VDJ1" s="1082"/>
      <c r="VDK1" s="1082"/>
      <c r="VDL1" s="1082"/>
      <c r="VDM1" s="1082"/>
      <c r="VDN1" s="1082"/>
      <c r="VDO1" s="1082"/>
      <c r="VDP1" s="1082"/>
      <c r="VDQ1" s="1082"/>
      <c r="VDR1" s="1082"/>
      <c r="VDS1" s="1082"/>
      <c r="VDT1" s="1082"/>
      <c r="VDU1" s="1082"/>
      <c r="VDV1" s="1082"/>
      <c r="VDW1" s="1082"/>
      <c r="VDX1" s="1082"/>
      <c r="VDY1" s="1082"/>
      <c r="VDZ1" s="1082"/>
      <c r="VEA1" s="1082"/>
      <c r="VEB1" s="1082"/>
      <c r="VEC1" s="1082"/>
      <c r="VED1" s="1082"/>
      <c r="VEE1" s="1082"/>
      <c r="VEF1" s="1082"/>
      <c r="VEG1" s="1082"/>
      <c r="VEH1" s="1082"/>
      <c r="VEI1" s="1082"/>
      <c r="VEJ1" s="1082"/>
      <c r="VEK1" s="1082"/>
      <c r="VEL1" s="1082"/>
      <c r="VEM1" s="1082"/>
      <c r="VEN1" s="1082"/>
      <c r="VEO1" s="1082"/>
      <c r="VEP1" s="1082"/>
      <c r="VEQ1" s="1082"/>
      <c r="VER1" s="1082"/>
      <c r="VES1" s="1082"/>
      <c r="VET1" s="1082"/>
      <c r="VEU1" s="1082"/>
      <c r="VEV1" s="1082"/>
      <c r="VEW1" s="1082"/>
      <c r="VEX1" s="1082"/>
      <c r="VEY1" s="1082"/>
      <c r="VEZ1" s="1082"/>
      <c r="VFA1" s="1082"/>
      <c r="VFB1" s="1082"/>
      <c r="VFC1" s="1082"/>
      <c r="VFD1" s="1082"/>
      <c r="VFE1" s="1082"/>
      <c r="VFF1" s="1082"/>
      <c r="VFG1" s="1082"/>
      <c r="VFH1" s="1082"/>
      <c r="VFI1" s="1082"/>
      <c r="VFJ1" s="1082"/>
      <c r="VFK1" s="1082"/>
      <c r="VFL1" s="1082"/>
      <c r="VFM1" s="1082"/>
      <c r="VFN1" s="1082"/>
      <c r="VFO1" s="1082"/>
      <c r="VFP1" s="1082"/>
      <c r="VFQ1" s="1082"/>
      <c r="VFR1" s="1082"/>
      <c r="VFS1" s="1082"/>
      <c r="VFT1" s="1082"/>
      <c r="VFU1" s="1082"/>
      <c r="VFV1" s="1082"/>
      <c r="VFW1" s="1082"/>
      <c r="VFX1" s="1082"/>
      <c r="VFY1" s="1082"/>
      <c r="VFZ1" s="1082"/>
      <c r="VGA1" s="1082"/>
      <c r="VGB1" s="1082"/>
      <c r="VGC1" s="1082"/>
      <c r="VGD1" s="1082"/>
      <c r="VGE1" s="1082"/>
      <c r="VGF1" s="1082"/>
      <c r="VGG1" s="1082"/>
      <c r="VGH1" s="1082"/>
      <c r="VGI1" s="1082"/>
      <c r="VGJ1" s="1082"/>
      <c r="VGK1" s="1082"/>
      <c r="VGL1" s="1082"/>
      <c r="VGM1" s="1082"/>
      <c r="VGN1" s="1082"/>
      <c r="VGO1" s="1082"/>
      <c r="VGP1" s="1082"/>
      <c r="VGQ1" s="1082"/>
      <c r="VGR1" s="1082"/>
      <c r="VGS1" s="1082"/>
      <c r="VGT1" s="1082"/>
      <c r="VGU1" s="1082"/>
      <c r="VGV1" s="1082"/>
      <c r="VGW1" s="1082"/>
      <c r="VGX1" s="1082"/>
      <c r="VGY1" s="1082"/>
      <c r="VGZ1" s="1082"/>
      <c r="VHA1" s="1082"/>
      <c r="VHB1" s="1082"/>
      <c r="VHC1" s="1082"/>
      <c r="VHD1" s="1082"/>
      <c r="VHE1" s="1082"/>
      <c r="VHF1" s="1082"/>
      <c r="VHG1" s="1082"/>
      <c r="VHH1" s="1082"/>
      <c r="VHI1" s="1082"/>
      <c r="VHJ1" s="1082"/>
      <c r="VHK1" s="1082"/>
      <c r="VHL1" s="1082"/>
      <c r="VHM1" s="1082"/>
      <c r="VHN1" s="1082"/>
      <c r="VHO1" s="1082"/>
      <c r="VHP1" s="1082"/>
      <c r="VHQ1" s="1082"/>
      <c r="VHR1" s="1082"/>
      <c r="VHS1" s="1082"/>
      <c r="VHT1" s="1082"/>
      <c r="VHU1" s="1082"/>
      <c r="VHV1" s="1082"/>
      <c r="VHW1" s="1082"/>
      <c r="VHX1" s="1082"/>
      <c r="VHY1" s="1082"/>
      <c r="VHZ1" s="1082"/>
      <c r="VIA1" s="1082"/>
      <c r="VIB1" s="1082"/>
      <c r="VIC1" s="1082"/>
      <c r="VID1" s="1082"/>
      <c r="VIE1" s="1082"/>
      <c r="VIF1" s="1082"/>
      <c r="VIG1" s="1082"/>
      <c r="VIH1" s="1082"/>
      <c r="VII1" s="1082"/>
      <c r="VIJ1" s="1082"/>
      <c r="VIK1" s="1082"/>
      <c r="VIL1" s="1082"/>
      <c r="VIM1" s="1082"/>
      <c r="VIN1" s="1082"/>
      <c r="VIO1" s="1082"/>
      <c r="VIP1" s="1082"/>
      <c r="VIQ1" s="1082"/>
      <c r="VIR1" s="1082"/>
      <c r="VIS1" s="1082"/>
      <c r="VIT1" s="1082"/>
      <c r="VIU1" s="1082"/>
      <c r="VIV1" s="1082"/>
      <c r="VIW1" s="1082"/>
      <c r="VIX1" s="1082"/>
      <c r="VIY1" s="1082"/>
      <c r="VIZ1" s="1082"/>
      <c r="VJA1" s="1082"/>
      <c r="VJB1" s="1082"/>
      <c r="VJC1" s="1082"/>
      <c r="VJD1" s="1082"/>
      <c r="VJE1" s="1082"/>
      <c r="VJF1" s="1082"/>
      <c r="VJG1" s="1082"/>
      <c r="VJH1" s="1082"/>
      <c r="VJI1" s="1082"/>
      <c r="VJJ1" s="1082"/>
      <c r="VJK1" s="1082"/>
      <c r="VJL1" s="1082"/>
      <c r="VJM1" s="1082"/>
      <c r="VJN1" s="1082"/>
      <c r="VJO1" s="1082"/>
      <c r="VJP1" s="1082"/>
      <c r="VJQ1" s="1082"/>
      <c r="VJR1" s="1082"/>
      <c r="VJS1" s="1082"/>
      <c r="VJT1" s="1082"/>
      <c r="VJU1" s="1082"/>
      <c r="VJV1" s="1082"/>
      <c r="VJW1" s="1082"/>
      <c r="VJX1" s="1082"/>
      <c r="VJY1" s="1082"/>
      <c r="VJZ1" s="1082"/>
      <c r="VKA1" s="1082"/>
      <c r="VKB1" s="1082"/>
      <c r="VKC1" s="1082"/>
      <c r="VKD1" s="1082"/>
      <c r="VKE1" s="1082"/>
      <c r="VKF1" s="1082"/>
      <c r="VKG1" s="1082"/>
      <c r="VKH1" s="1082"/>
      <c r="VKI1" s="1082"/>
      <c r="VKJ1" s="1082"/>
      <c r="VKK1" s="1082"/>
      <c r="VKL1" s="1082"/>
      <c r="VKM1" s="1082"/>
      <c r="VKN1" s="1082"/>
      <c r="VKO1" s="1082"/>
      <c r="VKP1" s="1082"/>
      <c r="VKQ1" s="1082"/>
      <c r="VKR1" s="1082"/>
      <c r="VKS1" s="1082"/>
      <c r="VKT1" s="1082"/>
      <c r="VKU1" s="1082"/>
      <c r="VKV1" s="1082"/>
      <c r="VKW1" s="1082"/>
      <c r="VKX1" s="1082"/>
      <c r="VKY1" s="1082"/>
      <c r="VKZ1" s="1082"/>
      <c r="VLA1" s="1082"/>
      <c r="VLB1" s="1082"/>
      <c r="VLC1" s="1082"/>
      <c r="VLD1" s="1082"/>
      <c r="VLE1" s="1082"/>
      <c r="VLF1" s="1082"/>
      <c r="VLG1" s="1082"/>
      <c r="VLH1" s="1082"/>
      <c r="VLI1" s="1082"/>
      <c r="VLJ1" s="1082"/>
      <c r="VLK1" s="1082"/>
      <c r="VLL1" s="1082"/>
      <c r="VLM1" s="1082"/>
      <c r="VLN1" s="1082"/>
      <c r="VLO1" s="1082"/>
      <c r="VLP1" s="1082"/>
      <c r="VLQ1" s="1082"/>
      <c r="VLR1" s="1082"/>
      <c r="VLS1" s="1082"/>
      <c r="VLT1" s="1082"/>
      <c r="VLU1" s="1082"/>
      <c r="VLV1" s="1082"/>
      <c r="VLW1" s="1082"/>
      <c r="VLX1" s="1082"/>
      <c r="VLY1" s="1082"/>
      <c r="VLZ1" s="1082"/>
      <c r="VMA1" s="1082"/>
      <c r="VMB1" s="1082"/>
      <c r="VMC1" s="1082"/>
      <c r="VMD1" s="1082"/>
      <c r="VME1" s="1082"/>
      <c r="VMF1" s="1082"/>
      <c r="VMG1" s="1082"/>
      <c r="VMH1" s="1082"/>
      <c r="VMI1" s="1082"/>
      <c r="VMJ1" s="1082"/>
      <c r="VMK1" s="1082"/>
      <c r="VML1" s="1082"/>
      <c r="VMM1" s="1082"/>
      <c r="VMN1" s="1082"/>
      <c r="VMO1" s="1082"/>
      <c r="VMP1" s="1082"/>
      <c r="VMQ1" s="1082"/>
      <c r="VMR1" s="1082"/>
      <c r="VMS1" s="1082"/>
      <c r="VMT1" s="1082"/>
      <c r="VMU1" s="1082"/>
      <c r="VMV1" s="1082"/>
      <c r="VMW1" s="1082"/>
      <c r="VMX1" s="1082"/>
      <c r="VMY1" s="1082"/>
      <c r="VMZ1" s="1082"/>
      <c r="VNA1" s="1082"/>
      <c r="VNB1" s="1082"/>
      <c r="VNC1" s="1082"/>
      <c r="VND1" s="1082"/>
      <c r="VNE1" s="1082"/>
      <c r="VNF1" s="1082"/>
      <c r="VNG1" s="1082"/>
      <c r="VNH1" s="1082"/>
      <c r="VNI1" s="1082"/>
      <c r="VNJ1" s="1082"/>
      <c r="VNK1" s="1082"/>
      <c r="VNL1" s="1082"/>
      <c r="VNM1" s="1082"/>
      <c r="VNN1" s="1082"/>
      <c r="VNO1" s="1082"/>
      <c r="VNP1" s="1082"/>
      <c r="VNQ1" s="1082"/>
      <c r="VNR1" s="1082"/>
      <c r="VNS1" s="1082"/>
      <c r="VNT1" s="1082"/>
      <c r="VNU1" s="1082"/>
      <c r="VNV1" s="1082"/>
      <c r="VNW1" s="1082"/>
      <c r="VNX1" s="1082"/>
      <c r="VNY1" s="1082"/>
      <c r="VNZ1" s="1082"/>
      <c r="VOA1" s="1082"/>
      <c r="VOB1" s="1082"/>
      <c r="VOC1" s="1082"/>
      <c r="VOD1" s="1082"/>
      <c r="VOE1" s="1082"/>
      <c r="VOF1" s="1082"/>
      <c r="VOG1" s="1082"/>
      <c r="VOH1" s="1082"/>
      <c r="VOI1" s="1082"/>
      <c r="VOJ1" s="1082"/>
      <c r="VOK1" s="1082"/>
      <c r="VOL1" s="1082"/>
      <c r="VOM1" s="1082"/>
      <c r="VON1" s="1082"/>
      <c r="VOO1" s="1082"/>
      <c r="VOP1" s="1082"/>
      <c r="VOQ1" s="1082"/>
      <c r="VOR1" s="1082"/>
      <c r="VOS1" s="1082"/>
      <c r="VOT1" s="1082"/>
      <c r="VOU1" s="1082"/>
      <c r="VOV1" s="1082"/>
      <c r="VOW1" s="1082"/>
      <c r="VOX1" s="1082"/>
      <c r="VOY1" s="1082"/>
      <c r="VOZ1" s="1082"/>
      <c r="VPA1" s="1082"/>
      <c r="VPB1" s="1082"/>
      <c r="VPC1" s="1082"/>
      <c r="VPD1" s="1082"/>
      <c r="VPE1" s="1082"/>
      <c r="VPF1" s="1082"/>
      <c r="VPG1" s="1082"/>
      <c r="VPH1" s="1082"/>
      <c r="VPI1" s="1082"/>
      <c r="VPJ1" s="1082"/>
      <c r="VPK1" s="1082"/>
      <c r="VPL1" s="1082"/>
      <c r="VPM1" s="1082"/>
      <c r="VPN1" s="1082"/>
      <c r="VPO1" s="1082"/>
      <c r="VPP1" s="1082"/>
      <c r="VPQ1" s="1082"/>
      <c r="VPR1" s="1082"/>
      <c r="VPS1" s="1082"/>
      <c r="VPT1" s="1082"/>
      <c r="VPU1" s="1082"/>
      <c r="VPV1" s="1082"/>
      <c r="VPW1" s="1082"/>
      <c r="VPX1" s="1082"/>
      <c r="VPY1" s="1082"/>
      <c r="VPZ1" s="1082"/>
      <c r="VQA1" s="1082"/>
      <c r="VQB1" s="1082"/>
      <c r="VQC1" s="1082"/>
      <c r="VQD1" s="1082"/>
      <c r="VQE1" s="1082"/>
      <c r="VQF1" s="1082"/>
      <c r="VQG1" s="1082"/>
      <c r="VQH1" s="1082"/>
      <c r="VQI1" s="1082"/>
      <c r="VQJ1" s="1082"/>
      <c r="VQK1" s="1082"/>
      <c r="VQL1" s="1082"/>
      <c r="VQM1" s="1082"/>
      <c r="VQN1" s="1082"/>
      <c r="VQO1" s="1082"/>
      <c r="VQP1" s="1082"/>
      <c r="VQQ1" s="1082"/>
      <c r="VQR1" s="1082"/>
      <c r="VQS1" s="1082"/>
      <c r="VQT1" s="1082"/>
      <c r="VQU1" s="1082"/>
      <c r="VQV1" s="1082"/>
      <c r="VQW1" s="1082"/>
      <c r="VQX1" s="1082"/>
      <c r="VQY1" s="1082"/>
      <c r="VQZ1" s="1082"/>
      <c r="VRA1" s="1082"/>
      <c r="VRB1" s="1082"/>
      <c r="VRC1" s="1082"/>
      <c r="VRD1" s="1082"/>
      <c r="VRE1" s="1082"/>
      <c r="VRF1" s="1082"/>
      <c r="VRG1" s="1082"/>
      <c r="VRH1" s="1082"/>
      <c r="VRI1" s="1082"/>
      <c r="VRJ1" s="1082"/>
      <c r="VRK1" s="1082"/>
      <c r="VRL1" s="1082"/>
      <c r="VRM1" s="1082"/>
      <c r="VRN1" s="1082"/>
      <c r="VRO1" s="1082"/>
      <c r="VRP1" s="1082"/>
      <c r="VRQ1" s="1082"/>
      <c r="VRR1" s="1082"/>
      <c r="VRS1" s="1082"/>
      <c r="VRT1" s="1082"/>
      <c r="VRU1" s="1082"/>
      <c r="VRV1" s="1082"/>
      <c r="VRW1" s="1082"/>
      <c r="VRX1" s="1082"/>
      <c r="VRY1" s="1082"/>
      <c r="VRZ1" s="1082"/>
      <c r="VSA1" s="1082"/>
      <c r="VSB1" s="1082"/>
      <c r="VSC1" s="1082"/>
      <c r="VSD1" s="1082"/>
      <c r="VSE1" s="1082"/>
      <c r="VSF1" s="1082"/>
      <c r="VSG1" s="1082"/>
      <c r="VSH1" s="1082"/>
      <c r="VSI1" s="1082"/>
      <c r="VSJ1" s="1082"/>
      <c r="VSK1" s="1082"/>
      <c r="VSL1" s="1082"/>
      <c r="VSM1" s="1082"/>
      <c r="VSN1" s="1082"/>
      <c r="VSO1" s="1082"/>
      <c r="VSP1" s="1082"/>
      <c r="VSQ1" s="1082"/>
      <c r="VSR1" s="1082"/>
      <c r="VSS1" s="1082"/>
      <c r="VST1" s="1082"/>
      <c r="VSU1" s="1082"/>
      <c r="VSV1" s="1082"/>
      <c r="VSW1" s="1082"/>
      <c r="VSX1" s="1082"/>
      <c r="VSY1" s="1082"/>
      <c r="VSZ1" s="1082"/>
      <c r="VTA1" s="1082"/>
      <c r="VTB1" s="1082"/>
      <c r="VTC1" s="1082"/>
      <c r="VTD1" s="1082"/>
      <c r="VTE1" s="1082"/>
      <c r="VTF1" s="1082"/>
      <c r="VTG1" s="1082"/>
      <c r="VTH1" s="1082"/>
      <c r="VTI1" s="1082"/>
      <c r="VTJ1" s="1082"/>
      <c r="VTK1" s="1082"/>
      <c r="VTL1" s="1082"/>
      <c r="VTM1" s="1082"/>
      <c r="VTN1" s="1082"/>
      <c r="VTO1" s="1082"/>
      <c r="VTP1" s="1082"/>
      <c r="VTQ1" s="1082"/>
      <c r="VTR1" s="1082"/>
      <c r="VTS1" s="1082"/>
      <c r="VTT1" s="1082"/>
      <c r="VTU1" s="1082"/>
      <c r="VTV1" s="1082"/>
      <c r="VTW1" s="1082"/>
      <c r="VTX1" s="1082"/>
      <c r="VTY1" s="1082"/>
      <c r="VTZ1" s="1082"/>
      <c r="VUA1" s="1082"/>
      <c r="VUB1" s="1082"/>
      <c r="VUC1" s="1082"/>
      <c r="VUD1" s="1082"/>
      <c r="VUE1" s="1082"/>
      <c r="VUF1" s="1082"/>
      <c r="VUG1" s="1082"/>
      <c r="VUH1" s="1082"/>
      <c r="VUI1" s="1082"/>
      <c r="VUJ1" s="1082"/>
      <c r="VUK1" s="1082"/>
      <c r="VUL1" s="1082"/>
      <c r="VUM1" s="1082"/>
      <c r="VUN1" s="1082"/>
      <c r="VUO1" s="1082"/>
      <c r="VUP1" s="1082"/>
      <c r="VUQ1" s="1082"/>
      <c r="VUR1" s="1082"/>
      <c r="VUS1" s="1082"/>
      <c r="VUT1" s="1082"/>
      <c r="VUU1" s="1082"/>
      <c r="VUV1" s="1082"/>
      <c r="VUW1" s="1082"/>
      <c r="VUX1" s="1082"/>
      <c r="VUY1" s="1082"/>
      <c r="VUZ1" s="1082"/>
      <c r="VVA1" s="1082"/>
      <c r="VVB1" s="1082"/>
      <c r="VVC1" s="1082"/>
      <c r="VVD1" s="1082"/>
      <c r="VVE1" s="1082"/>
      <c r="VVF1" s="1082"/>
      <c r="VVG1" s="1082"/>
      <c r="VVH1" s="1082"/>
      <c r="VVI1" s="1082"/>
      <c r="VVJ1" s="1082"/>
      <c r="VVK1" s="1082"/>
      <c r="VVL1" s="1082"/>
      <c r="VVM1" s="1082"/>
      <c r="VVN1" s="1082"/>
      <c r="VVO1" s="1082"/>
      <c r="VVP1" s="1082"/>
      <c r="VVQ1" s="1082"/>
      <c r="VVR1" s="1082"/>
      <c r="VVS1" s="1082"/>
      <c r="VVT1" s="1082"/>
      <c r="VVU1" s="1082"/>
      <c r="VVV1" s="1082"/>
      <c r="VVW1" s="1082"/>
      <c r="VVX1" s="1082"/>
      <c r="VVY1" s="1082"/>
      <c r="VVZ1" s="1082"/>
      <c r="VWA1" s="1082"/>
      <c r="VWB1" s="1082"/>
      <c r="VWC1" s="1082"/>
      <c r="VWD1" s="1082"/>
      <c r="VWE1" s="1082"/>
      <c r="VWF1" s="1082"/>
      <c r="VWG1" s="1082"/>
      <c r="VWH1" s="1082"/>
      <c r="VWI1" s="1082"/>
      <c r="VWJ1" s="1082"/>
      <c r="VWK1" s="1082"/>
      <c r="VWL1" s="1082"/>
      <c r="VWM1" s="1082"/>
      <c r="VWN1" s="1082"/>
      <c r="VWO1" s="1082"/>
      <c r="VWP1" s="1082"/>
      <c r="VWQ1" s="1082"/>
      <c r="VWR1" s="1082"/>
      <c r="VWS1" s="1082"/>
      <c r="VWT1" s="1082"/>
      <c r="VWU1" s="1082"/>
      <c r="VWV1" s="1082"/>
      <c r="VWW1" s="1082"/>
      <c r="VWX1" s="1082"/>
      <c r="VWY1" s="1082"/>
      <c r="VWZ1" s="1082"/>
      <c r="VXA1" s="1082"/>
      <c r="VXB1" s="1082"/>
      <c r="VXC1" s="1082"/>
      <c r="VXD1" s="1082"/>
      <c r="VXE1" s="1082"/>
      <c r="VXF1" s="1082"/>
      <c r="VXG1" s="1082"/>
      <c r="VXH1" s="1082"/>
      <c r="VXI1" s="1082"/>
      <c r="VXJ1" s="1082"/>
      <c r="VXK1" s="1082"/>
      <c r="VXL1" s="1082"/>
      <c r="VXM1" s="1082"/>
      <c r="VXN1" s="1082"/>
      <c r="VXO1" s="1082"/>
      <c r="VXP1" s="1082"/>
      <c r="VXQ1" s="1082"/>
      <c r="VXR1" s="1082"/>
      <c r="VXS1" s="1082"/>
      <c r="VXT1" s="1082"/>
      <c r="VXU1" s="1082"/>
      <c r="VXV1" s="1082"/>
      <c r="VXW1" s="1082"/>
      <c r="VXX1" s="1082"/>
      <c r="VXY1" s="1082"/>
      <c r="VXZ1" s="1082"/>
      <c r="VYA1" s="1082"/>
      <c r="VYB1" s="1082"/>
      <c r="VYC1" s="1082"/>
      <c r="VYD1" s="1082"/>
      <c r="VYE1" s="1082"/>
      <c r="VYF1" s="1082"/>
      <c r="VYG1" s="1082"/>
      <c r="VYH1" s="1082"/>
      <c r="VYI1" s="1082"/>
      <c r="VYJ1" s="1082"/>
      <c r="VYK1" s="1082"/>
      <c r="VYL1" s="1082"/>
      <c r="VYM1" s="1082"/>
      <c r="VYN1" s="1082"/>
      <c r="VYO1" s="1082"/>
      <c r="VYP1" s="1082"/>
      <c r="VYQ1" s="1082"/>
      <c r="VYR1" s="1082"/>
      <c r="VYS1" s="1082"/>
      <c r="VYT1" s="1082"/>
      <c r="VYU1" s="1082"/>
      <c r="VYV1" s="1082"/>
      <c r="VYW1" s="1082"/>
      <c r="VYX1" s="1082"/>
      <c r="VYY1" s="1082"/>
      <c r="VYZ1" s="1082"/>
      <c r="VZA1" s="1082"/>
      <c r="VZB1" s="1082"/>
      <c r="VZC1" s="1082"/>
      <c r="VZD1" s="1082"/>
      <c r="VZE1" s="1082"/>
      <c r="VZF1" s="1082"/>
      <c r="VZG1" s="1082"/>
      <c r="VZH1" s="1082"/>
      <c r="VZI1" s="1082"/>
      <c r="VZJ1" s="1082"/>
      <c r="VZK1" s="1082"/>
      <c r="VZL1" s="1082"/>
      <c r="VZM1" s="1082"/>
      <c r="VZN1" s="1082"/>
      <c r="VZO1" s="1082"/>
      <c r="VZP1" s="1082"/>
      <c r="VZQ1" s="1082"/>
      <c r="VZR1" s="1082"/>
      <c r="VZS1" s="1082"/>
      <c r="VZT1" s="1082"/>
      <c r="VZU1" s="1082"/>
      <c r="VZV1" s="1082"/>
      <c r="VZW1" s="1082"/>
      <c r="VZX1" s="1082"/>
      <c r="VZY1" s="1082"/>
      <c r="VZZ1" s="1082"/>
      <c r="WAA1" s="1082"/>
      <c r="WAB1" s="1082"/>
      <c r="WAC1" s="1082"/>
      <c r="WAD1" s="1082"/>
      <c r="WAE1" s="1082"/>
      <c r="WAF1" s="1082"/>
      <c r="WAG1" s="1082"/>
      <c r="WAH1" s="1082"/>
      <c r="WAI1" s="1082"/>
      <c r="WAJ1" s="1082"/>
      <c r="WAK1" s="1082"/>
      <c r="WAL1" s="1082"/>
      <c r="WAM1" s="1082"/>
      <c r="WAN1" s="1082"/>
      <c r="WAO1" s="1082"/>
      <c r="WAP1" s="1082"/>
      <c r="WAQ1" s="1082"/>
      <c r="WAR1" s="1082"/>
      <c r="WAS1" s="1082"/>
      <c r="WAT1" s="1082"/>
      <c r="WAU1" s="1082"/>
      <c r="WAV1" s="1082"/>
      <c r="WAW1" s="1082"/>
      <c r="WAX1" s="1082"/>
      <c r="WAY1" s="1082"/>
      <c r="WAZ1" s="1082"/>
      <c r="WBA1" s="1082"/>
      <c r="WBB1" s="1082"/>
      <c r="WBC1" s="1082"/>
      <c r="WBD1" s="1082"/>
      <c r="WBE1" s="1082"/>
      <c r="WBF1" s="1082"/>
      <c r="WBG1" s="1082"/>
      <c r="WBH1" s="1082"/>
      <c r="WBI1" s="1082"/>
      <c r="WBJ1" s="1082"/>
      <c r="WBK1" s="1082"/>
      <c r="WBL1" s="1082"/>
      <c r="WBM1" s="1082"/>
      <c r="WBN1" s="1082"/>
      <c r="WBO1" s="1082"/>
      <c r="WBP1" s="1082"/>
      <c r="WBQ1" s="1082"/>
      <c r="WBR1" s="1082"/>
      <c r="WBS1" s="1082"/>
      <c r="WBT1" s="1082"/>
      <c r="WBU1" s="1082"/>
      <c r="WBV1" s="1082"/>
      <c r="WBW1" s="1082"/>
      <c r="WBX1" s="1082"/>
      <c r="WBY1" s="1082"/>
      <c r="WBZ1" s="1082"/>
      <c r="WCA1" s="1082"/>
      <c r="WCB1" s="1082"/>
      <c r="WCC1" s="1082"/>
      <c r="WCD1" s="1082"/>
      <c r="WCE1" s="1082"/>
      <c r="WCF1" s="1082"/>
      <c r="WCG1" s="1082"/>
      <c r="WCH1" s="1082"/>
      <c r="WCI1" s="1082"/>
      <c r="WCJ1" s="1082"/>
      <c r="WCK1" s="1082"/>
      <c r="WCL1" s="1082"/>
      <c r="WCM1" s="1082"/>
      <c r="WCN1" s="1082"/>
      <c r="WCO1" s="1082"/>
      <c r="WCP1" s="1082"/>
      <c r="WCQ1" s="1082"/>
      <c r="WCR1" s="1082"/>
      <c r="WCS1" s="1082"/>
      <c r="WCT1" s="1082"/>
      <c r="WCU1" s="1082"/>
      <c r="WCV1" s="1082"/>
      <c r="WCW1" s="1082"/>
      <c r="WCX1" s="1082"/>
      <c r="WCY1" s="1082"/>
      <c r="WCZ1" s="1082"/>
      <c r="WDA1" s="1082"/>
      <c r="WDB1" s="1082"/>
      <c r="WDC1" s="1082"/>
      <c r="WDD1" s="1082"/>
      <c r="WDE1" s="1082"/>
      <c r="WDF1" s="1082"/>
      <c r="WDG1" s="1082"/>
      <c r="WDH1" s="1082"/>
      <c r="WDI1" s="1082"/>
      <c r="WDJ1" s="1082"/>
      <c r="WDK1" s="1082"/>
      <c r="WDL1" s="1082"/>
      <c r="WDM1" s="1082"/>
      <c r="WDN1" s="1082"/>
      <c r="WDO1" s="1082"/>
      <c r="WDP1" s="1082"/>
      <c r="WDQ1" s="1082"/>
      <c r="WDR1" s="1082"/>
      <c r="WDS1" s="1082"/>
      <c r="WDT1" s="1082"/>
      <c r="WDU1" s="1082"/>
      <c r="WDV1" s="1082"/>
      <c r="WDW1" s="1082"/>
      <c r="WDX1" s="1082"/>
      <c r="WDY1" s="1082"/>
      <c r="WDZ1" s="1082"/>
      <c r="WEA1" s="1082"/>
      <c r="WEB1" s="1082"/>
      <c r="WEC1" s="1082"/>
      <c r="WED1" s="1082"/>
      <c r="WEE1" s="1082"/>
      <c r="WEF1" s="1082"/>
      <c r="WEG1" s="1082"/>
      <c r="WEH1" s="1082"/>
      <c r="WEI1" s="1082"/>
      <c r="WEJ1" s="1082"/>
      <c r="WEK1" s="1082"/>
      <c r="WEL1" s="1082"/>
      <c r="WEM1" s="1082"/>
      <c r="WEN1" s="1082"/>
      <c r="WEO1" s="1082"/>
      <c r="WEP1" s="1082"/>
      <c r="WEQ1" s="1082"/>
      <c r="WER1" s="1082"/>
      <c r="WES1" s="1082"/>
      <c r="WET1" s="1082"/>
      <c r="WEU1" s="1082"/>
      <c r="WEV1" s="1082"/>
      <c r="WEW1" s="1082"/>
      <c r="WEX1" s="1082"/>
      <c r="WEY1" s="1082"/>
      <c r="WEZ1" s="1082"/>
      <c r="WFA1" s="1082"/>
      <c r="WFB1" s="1082"/>
      <c r="WFC1" s="1082"/>
      <c r="WFD1" s="1082"/>
      <c r="WFE1" s="1082"/>
      <c r="WFF1" s="1082"/>
      <c r="WFG1" s="1082"/>
      <c r="WFH1" s="1082"/>
      <c r="WFI1" s="1082"/>
      <c r="WFJ1" s="1082"/>
      <c r="WFK1" s="1082"/>
      <c r="WFL1" s="1082"/>
      <c r="WFM1" s="1082"/>
      <c r="WFN1" s="1082"/>
      <c r="WFO1" s="1082"/>
      <c r="WFP1" s="1082"/>
      <c r="WFQ1" s="1082"/>
      <c r="WFR1" s="1082"/>
      <c r="WFS1" s="1082"/>
      <c r="WFT1" s="1082"/>
      <c r="WFU1" s="1082"/>
      <c r="WFV1" s="1082"/>
      <c r="WFW1" s="1082"/>
      <c r="WFX1" s="1082"/>
      <c r="WFY1" s="1082"/>
      <c r="WFZ1" s="1082"/>
      <c r="WGA1" s="1082"/>
      <c r="WGB1" s="1082"/>
      <c r="WGC1" s="1082"/>
      <c r="WGD1" s="1082"/>
      <c r="WGE1" s="1082"/>
      <c r="WGF1" s="1082"/>
      <c r="WGG1" s="1082"/>
      <c r="WGH1" s="1082"/>
      <c r="WGI1" s="1082"/>
      <c r="WGJ1" s="1082"/>
      <c r="WGK1" s="1082"/>
      <c r="WGL1" s="1082"/>
      <c r="WGM1" s="1082"/>
      <c r="WGN1" s="1082"/>
      <c r="WGO1" s="1082"/>
      <c r="WGP1" s="1082"/>
      <c r="WGQ1" s="1082"/>
      <c r="WGR1" s="1082"/>
      <c r="WGS1" s="1082"/>
      <c r="WGT1" s="1082"/>
      <c r="WGU1" s="1082"/>
      <c r="WGV1" s="1082"/>
      <c r="WGW1" s="1082"/>
      <c r="WGX1" s="1082"/>
      <c r="WGY1" s="1082"/>
      <c r="WGZ1" s="1082"/>
      <c r="WHA1" s="1082"/>
      <c r="WHB1" s="1082"/>
      <c r="WHC1" s="1082"/>
      <c r="WHD1" s="1082"/>
      <c r="WHE1" s="1082"/>
      <c r="WHF1" s="1082"/>
      <c r="WHG1" s="1082"/>
      <c r="WHH1" s="1082"/>
      <c r="WHI1" s="1082"/>
      <c r="WHJ1" s="1082"/>
      <c r="WHK1" s="1082"/>
      <c r="WHL1" s="1082"/>
      <c r="WHM1" s="1082"/>
      <c r="WHN1" s="1082"/>
      <c r="WHO1" s="1082"/>
      <c r="WHP1" s="1082"/>
      <c r="WHQ1" s="1082"/>
      <c r="WHR1" s="1082"/>
      <c r="WHS1" s="1082"/>
      <c r="WHT1" s="1082"/>
      <c r="WHU1" s="1082"/>
      <c r="WHV1" s="1082"/>
      <c r="WHW1" s="1082"/>
      <c r="WHX1" s="1082"/>
      <c r="WHY1" s="1082"/>
      <c r="WHZ1" s="1082"/>
      <c r="WIA1" s="1082"/>
      <c r="WIB1" s="1082"/>
      <c r="WIC1" s="1082"/>
      <c r="WID1" s="1082"/>
      <c r="WIE1" s="1082"/>
      <c r="WIF1" s="1082"/>
      <c r="WIG1" s="1082"/>
      <c r="WIH1" s="1082"/>
      <c r="WII1" s="1082"/>
      <c r="WIJ1" s="1082"/>
      <c r="WIK1" s="1082"/>
      <c r="WIL1" s="1082"/>
      <c r="WIM1" s="1082"/>
      <c r="WIN1" s="1082"/>
      <c r="WIO1" s="1082"/>
      <c r="WIP1" s="1082"/>
      <c r="WIQ1" s="1082"/>
      <c r="WIR1" s="1082"/>
      <c r="WIS1" s="1082"/>
      <c r="WIT1" s="1082"/>
      <c r="WIU1" s="1082"/>
      <c r="WIV1" s="1082"/>
      <c r="WIW1" s="1082"/>
      <c r="WIX1" s="1082"/>
      <c r="WIY1" s="1082"/>
      <c r="WIZ1" s="1082"/>
      <c r="WJA1" s="1082"/>
      <c r="WJB1" s="1082"/>
      <c r="WJC1" s="1082"/>
      <c r="WJD1" s="1082"/>
      <c r="WJE1" s="1082"/>
      <c r="WJF1" s="1082"/>
      <c r="WJG1" s="1082"/>
      <c r="WJH1" s="1082"/>
      <c r="WJI1" s="1082"/>
      <c r="WJJ1" s="1082"/>
      <c r="WJK1" s="1082"/>
      <c r="WJL1" s="1082"/>
      <c r="WJM1" s="1082"/>
      <c r="WJN1" s="1082"/>
      <c r="WJO1" s="1082"/>
      <c r="WJP1" s="1082"/>
      <c r="WJQ1" s="1082"/>
      <c r="WJR1" s="1082"/>
      <c r="WJS1" s="1082"/>
      <c r="WJT1" s="1082"/>
      <c r="WJU1" s="1082"/>
      <c r="WJV1" s="1082"/>
      <c r="WJW1" s="1082"/>
      <c r="WJX1" s="1082"/>
      <c r="WJY1" s="1082"/>
      <c r="WJZ1" s="1082"/>
      <c r="WKA1" s="1082"/>
      <c r="WKB1" s="1082"/>
      <c r="WKC1" s="1082"/>
      <c r="WKD1" s="1082"/>
      <c r="WKE1" s="1082"/>
      <c r="WKF1" s="1082"/>
      <c r="WKG1" s="1082"/>
      <c r="WKH1" s="1082"/>
      <c r="WKI1" s="1082"/>
      <c r="WKJ1" s="1082"/>
      <c r="WKK1" s="1082"/>
      <c r="WKL1" s="1082"/>
      <c r="WKM1" s="1082"/>
      <c r="WKN1" s="1082"/>
      <c r="WKO1" s="1082"/>
      <c r="WKP1" s="1082"/>
      <c r="WKQ1" s="1082"/>
      <c r="WKR1" s="1082"/>
      <c r="WKS1" s="1082"/>
      <c r="WKT1" s="1082"/>
      <c r="WKU1" s="1082"/>
      <c r="WKV1" s="1082"/>
      <c r="WKW1" s="1082"/>
      <c r="WKX1" s="1082"/>
      <c r="WKY1" s="1082"/>
      <c r="WKZ1" s="1082"/>
      <c r="WLA1" s="1082"/>
      <c r="WLB1" s="1082"/>
      <c r="WLC1" s="1082"/>
      <c r="WLD1" s="1082"/>
      <c r="WLE1" s="1082"/>
      <c r="WLF1" s="1082"/>
      <c r="WLG1" s="1082"/>
      <c r="WLH1" s="1082"/>
      <c r="WLI1" s="1082"/>
      <c r="WLJ1" s="1082"/>
      <c r="WLK1" s="1082"/>
      <c r="WLL1" s="1082"/>
      <c r="WLM1" s="1082"/>
      <c r="WLN1" s="1082"/>
      <c r="WLO1" s="1082"/>
      <c r="WLP1" s="1082"/>
      <c r="WLQ1" s="1082"/>
      <c r="WLR1" s="1082"/>
      <c r="WLS1" s="1082"/>
      <c r="WLT1" s="1082"/>
      <c r="WLU1" s="1082"/>
      <c r="WLV1" s="1082"/>
      <c r="WLW1" s="1082"/>
      <c r="WLX1" s="1082"/>
      <c r="WLY1" s="1082"/>
      <c r="WLZ1" s="1082"/>
      <c r="WMA1" s="1082"/>
      <c r="WMB1" s="1082"/>
      <c r="WMC1" s="1082"/>
      <c r="WMD1" s="1082"/>
      <c r="WME1" s="1082"/>
      <c r="WMF1" s="1082"/>
      <c r="WMG1" s="1082"/>
      <c r="WMH1" s="1082"/>
      <c r="WMI1" s="1082"/>
      <c r="WMJ1" s="1082"/>
      <c r="WMK1" s="1082"/>
      <c r="WML1" s="1082"/>
      <c r="WMM1" s="1082"/>
      <c r="WMN1" s="1082"/>
      <c r="WMO1" s="1082"/>
      <c r="WMP1" s="1082"/>
      <c r="WMQ1" s="1082"/>
      <c r="WMR1" s="1082"/>
      <c r="WMS1" s="1082"/>
      <c r="WMT1" s="1082"/>
      <c r="WMU1" s="1082"/>
      <c r="WMV1" s="1082"/>
      <c r="WMW1" s="1082"/>
      <c r="WMX1" s="1082"/>
      <c r="WMY1" s="1082"/>
      <c r="WMZ1" s="1082"/>
      <c r="WNA1" s="1082"/>
      <c r="WNB1" s="1082"/>
      <c r="WNC1" s="1082"/>
      <c r="WND1" s="1082"/>
      <c r="WNE1" s="1082"/>
      <c r="WNF1" s="1082"/>
      <c r="WNG1" s="1082"/>
      <c r="WNH1" s="1082"/>
      <c r="WNI1" s="1082"/>
      <c r="WNJ1" s="1082"/>
      <c r="WNK1" s="1082"/>
      <c r="WNL1" s="1082"/>
      <c r="WNM1" s="1082"/>
      <c r="WNN1" s="1082"/>
      <c r="WNO1" s="1082"/>
      <c r="WNP1" s="1082"/>
      <c r="WNQ1" s="1082"/>
      <c r="WNR1" s="1082"/>
      <c r="WNS1" s="1082"/>
      <c r="WNT1" s="1082"/>
      <c r="WNU1" s="1082"/>
      <c r="WNV1" s="1082"/>
      <c r="WNW1" s="1082"/>
      <c r="WNX1" s="1082"/>
      <c r="WNY1" s="1082"/>
      <c r="WNZ1" s="1082"/>
      <c r="WOA1" s="1082"/>
      <c r="WOB1" s="1082"/>
      <c r="WOC1" s="1082"/>
      <c r="WOD1" s="1082"/>
      <c r="WOE1" s="1082"/>
      <c r="WOF1" s="1082"/>
      <c r="WOG1" s="1082"/>
      <c r="WOH1" s="1082"/>
      <c r="WOI1" s="1082"/>
      <c r="WOJ1" s="1082"/>
      <c r="WOK1" s="1082"/>
      <c r="WOL1" s="1082"/>
      <c r="WOM1" s="1082"/>
      <c r="WON1" s="1082"/>
      <c r="WOO1" s="1082"/>
      <c r="WOP1" s="1082"/>
      <c r="WOQ1" s="1082"/>
      <c r="WOR1" s="1082"/>
      <c r="WOS1" s="1082"/>
      <c r="WOT1" s="1082"/>
      <c r="WOU1" s="1082"/>
      <c r="WOV1" s="1082"/>
      <c r="WOW1" s="1082"/>
      <c r="WOX1" s="1082"/>
      <c r="WOY1" s="1082"/>
      <c r="WOZ1" s="1082"/>
      <c r="WPA1" s="1082"/>
      <c r="WPB1" s="1082"/>
      <c r="WPC1" s="1082"/>
      <c r="WPD1" s="1082"/>
      <c r="WPE1" s="1082"/>
      <c r="WPF1" s="1082"/>
      <c r="WPG1" s="1082"/>
      <c r="WPH1" s="1082"/>
      <c r="WPI1" s="1082"/>
      <c r="WPJ1" s="1082"/>
      <c r="WPK1" s="1082"/>
      <c r="WPL1" s="1082"/>
      <c r="WPM1" s="1082"/>
      <c r="WPN1" s="1082"/>
      <c r="WPO1" s="1082"/>
      <c r="WPP1" s="1082"/>
      <c r="WPQ1" s="1082"/>
      <c r="WPR1" s="1082"/>
      <c r="WPS1" s="1082"/>
      <c r="WPT1" s="1082"/>
      <c r="WPU1" s="1082"/>
      <c r="WPV1" s="1082"/>
      <c r="WPW1" s="1082"/>
      <c r="WPX1" s="1082"/>
      <c r="WPY1" s="1082"/>
      <c r="WPZ1" s="1082"/>
      <c r="WQA1" s="1082"/>
      <c r="WQB1" s="1082"/>
      <c r="WQC1" s="1082"/>
      <c r="WQD1" s="1082"/>
      <c r="WQE1" s="1082"/>
      <c r="WQF1" s="1082"/>
      <c r="WQG1" s="1082"/>
      <c r="WQH1" s="1082"/>
      <c r="WQI1" s="1082"/>
      <c r="WQJ1" s="1082"/>
      <c r="WQK1" s="1082"/>
      <c r="WQL1" s="1082"/>
      <c r="WQM1" s="1082"/>
      <c r="WQN1" s="1082"/>
      <c r="WQO1" s="1082"/>
      <c r="WQP1" s="1082"/>
      <c r="WQQ1" s="1082"/>
      <c r="WQR1" s="1082"/>
      <c r="WQS1" s="1082"/>
      <c r="WQT1" s="1082"/>
      <c r="WQU1" s="1082"/>
      <c r="WQV1" s="1082"/>
      <c r="WQW1" s="1082"/>
      <c r="WQX1" s="1082"/>
      <c r="WQY1" s="1082"/>
      <c r="WQZ1" s="1082"/>
      <c r="WRA1" s="1082"/>
      <c r="WRB1" s="1082"/>
      <c r="WRC1" s="1082"/>
      <c r="WRD1" s="1082"/>
      <c r="WRE1" s="1082"/>
      <c r="WRF1" s="1082"/>
      <c r="WRG1" s="1082"/>
      <c r="WRH1" s="1082"/>
      <c r="WRI1" s="1082"/>
      <c r="WRJ1" s="1082"/>
      <c r="WRK1" s="1082"/>
      <c r="WRL1" s="1082"/>
      <c r="WRM1" s="1082"/>
      <c r="WRN1" s="1082"/>
      <c r="WRO1" s="1082"/>
      <c r="WRP1" s="1082"/>
      <c r="WRQ1" s="1082"/>
      <c r="WRR1" s="1082"/>
      <c r="WRS1" s="1082"/>
      <c r="WRT1" s="1082"/>
      <c r="WRU1" s="1082"/>
      <c r="WRV1" s="1082"/>
      <c r="WRW1" s="1082"/>
      <c r="WRX1" s="1082"/>
      <c r="WRY1" s="1082"/>
      <c r="WRZ1" s="1082"/>
      <c r="WSA1" s="1082"/>
      <c r="WSB1" s="1082"/>
      <c r="WSC1" s="1082"/>
      <c r="WSD1" s="1082"/>
      <c r="WSE1" s="1082"/>
      <c r="WSF1" s="1082"/>
      <c r="WSG1" s="1082"/>
      <c r="WSH1" s="1082"/>
      <c r="WSI1" s="1082"/>
      <c r="WSJ1" s="1082"/>
      <c r="WSK1" s="1082"/>
      <c r="WSL1" s="1082"/>
      <c r="WSM1" s="1082"/>
      <c r="WSN1" s="1082"/>
      <c r="WSO1" s="1082"/>
      <c r="WSP1" s="1082"/>
      <c r="WSQ1" s="1082"/>
      <c r="WSR1" s="1082"/>
      <c r="WSS1" s="1082"/>
      <c r="WST1" s="1082"/>
      <c r="WSU1" s="1082"/>
      <c r="WSV1" s="1082"/>
      <c r="WSW1" s="1082"/>
      <c r="WSX1" s="1082"/>
      <c r="WSY1" s="1082"/>
      <c r="WSZ1" s="1082"/>
      <c r="WTA1" s="1082"/>
      <c r="WTB1" s="1082"/>
      <c r="WTC1" s="1082"/>
      <c r="WTD1" s="1082"/>
      <c r="WTE1" s="1082"/>
      <c r="WTF1" s="1082"/>
      <c r="WTG1" s="1082"/>
      <c r="WTH1" s="1082"/>
      <c r="WTI1" s="1082"/>
      <c r="WTJ1" s="1082"/>
      <c r="WTK1" s="1082"/>
      <c r="WTL1" s="1082"/>
      <c r="WTM1" s="1082"/>
      <c r="WTN1" s="1082"/>
      <c r="WTO1" s="1082"/>
      <c r="WTP1" s="1082"/>
      <c r="WTQ1" s="1082"/>
      <c r="WTR1" s="1082"/>
      <c r="WTS1" s="1082"/>
      <c r="WTT1" s="1082"/>
      <c r="WTU1" s="1082"/>
      <c r="WTV1" s="1082"/>
      <c r="WTW1" s="1082"/>
      <c r="WTX1" s="1082"/>
      <c r="WTY1" s="1082"/>
      <c r="WTZ1" s="1082"/>
      <c r="WUA1" s="1082"/>
      <c r="WUB1" s="1082"/>
      <c r="WUC1" s="1082"/>
      <c r="WUD1" s="1082"/>
      <c r="WUE1" s="1082"/>
      <c r="WUF1" s="1082"/>
      <c r="WUG1" s="1082"/>
      <c r="WUH1" s="1082"/>
      <c r="WUI1" s="1082"/>
      <c r="WUJ1" s="1082"/>
      <c r="WUK1" s="1082"/>
      <c r="WUL1" s="1082"/>
      <c r="WUM1" s="1082"/>
      <c r="WUN1" s="1082"/>
      <c r="WUO1" s="1082"/>
      <c r="WUP1" s="1082"/>
      <c r="WUQ1" s="1082"/>
      <c r="WUR1" s="1082"/>
      <c r="WUS1" s="1082"/>
      <c r="WUT1" s="1082"/>
      <c r="WUU1" s="1082"/>
      <c r="WUV1" s="1082"/>
      <c r="WUW1" s="1082"/>
      <c r="WUX1" s="1082"/>
      <c r="WUY1" s="1082"/>
      <c r="WUZ1" s="1082"/>
      <c r="WVA1" s="1082"/>
      <c r="WVB1" s="1082"/>
      <c r="WVC1" s="1082"/>
      <c r="WVD1" s="1082"/>
      <c r="WVE1" s="1082"/>
      <c r="WVF1" s="1082"/>
      <c r="WVG1" s="1082"/>
      <c r="WVH1" s="1082"/>
      <c r="WVI1" s="1082"/>
      <c r="WVJ1" s="1082"/>
      <c r="WVK1" s="1082"/>
      <c r="WVL1" s="1082"/>
      <c r="WVM1" s="1082"/>
      <c r="WVN1" s="1082"/>
      <c r="WVO1" s="1082"/>
      <c r="WVP1" s="1082"/>
      <c r="WVQ1" s="1082"/>
      <c r="WVR1" s="1082"/>
      <c r="WVS1" s="1082"/>
      <c r="WVT1" s="1082"/>
      <c r="WVU1" s="1082"/>
      <c r="WVV1" s="1082"/>
      <c r="WVW1" s="1082"/>
      <c r="WVX1" s="1082"/>
      <c r="WVY1" s="1082"/>
      <c r="WVZ1" s="1082"/>
      <c r="WWA1" s="1082"/>
      <c r="WWB1" s="1082"/>
      <c r="WWC1" s="1082"/>
      <c r="WWD1" s="1082"/>
      <c r="WWE1" s="1082"/>
      <c r="WWF1" s="1082"/>
      <c r="WWG1" s="1082"/>
      <c r="WWH1" s="1082"/>
      <c r="WWI1" s="1082"/>
      <c r="WWJ1" s="1082"/>
      <c r="WWK1" s="1082"/>
      <c r="WWL1" s="1082"/>
      <c r="WWM1" s="1082"/>
      <c r="WWN1" s="1082"/>
      <c r="WWO1" s="1082"/>
      <c r="WWP1" s="1082"/>
      <c r="WWQ1" s="1082"/>
      <c r="WWR1" s="1082"/>
      <c r="WWS1" s="1082"/>
      <c r="WWT1" s="1082"/>
      <c r="WWU1" s="1082"/>
      <c r="WWV1" s="1082"/>
      <c r="WWW1" s="1082"/>
      <c r="WWX1" s="1082"/>
      <c r="WWY1" s="1082"/>
      <c r="WWZ1" s="1082"/>
      <c r="WXA1" s="1082"/>
      <c r="WXB1" s="1082"/>
      <c r="WXC1" s="1082"/>
      <c r="WXD1" s="1082"/>
      <c r="WXE1" s="1082"/>
      <c r="WXF1" s="1082"/>
      <c r="WXG1" s="1082"/>
      <c r="WXH1" s="1082"/>
      <c r="WXI1" s="1082"/>
      <c r="WXJ1" s="1082"/>
      <c r="WXK1" s="1082"/>
      <c r="WXL1" s="1082"/>
      <c r="WXM1" s="1082"/>
      <c r="WXN1" s="1082"/>
      <c r="WXO1" s="1082"/>
      <c r="WXP1" s="1082"/>
      <c r="WXQ1" s="1082"/>
      <c r="WXR1" s="1082"/>
      <c r="WXS1" s="1082"/>
      <c r="WXT1" s="1082"/>
      <c r="WXU1" s="1082"/>
      <c r="WXV1" s="1082"/>
      <c r="WXW1" s="1082"/>
      <c r="WXX1" s="1082"/>
      <c r="WXY1" s="1082"/>
      <c r="WXZ1" s="1082"/>
      <c r="WYA1" s="1082"/>
      <c r="WYB1" s="1082"/>
      <c r="WYC1" s="1082"/>
      <c r="WYD1" s="1082"/>
      <c r="WYE1" s="1082"/>
      <c r="WYF1" s="1082"/>
      <c r="WYG1" s="1082"/>
      <c r="WYH1" s="1082"/>
      <c r="WYI1" s="1082"/>
      <c r="WYJ1" s="1082"/>
      <c r="WYK1" s="1082"/>
      <c r="WYL1" s="1082"/>
      <c r="WYM1" s="1082"/>
      <c r="WYN1" s="1082"/>
      <c r="WYO1" s="1082"/>
      <c r="WYP1" s="1082"/>
      <c r="WYQ1" s="1082"/>
      <c r="WYR1" s="1082"/>
      <c r="WYS1" s="1082"/>
      <c r="WYT1" s="1082"/>
      <c r="WYU1" s="1082"/>
      <c r="WYV1" s="1082"/>
      <c r="WYW1" s="1082"/>
      <c r="WYX1" s="1082"/>
      <c r="WYY1" s="1082"/>
      <c r="WYZ1" s="1082"/>
      <c r="WZA1" s="1082"/>
      <c r="WZB1" s="1082"/>
      <c r="WZC1" s="1082"/>
      <c r="WZD1" s="1082"/>
      <c r="WZE1" s="1082"/>
      <c r="WZF1" s="1082"/>
      <c r="WZG1" s="1082"/>
      <c r="WZH1" s="1082"/>
      <c r="WZI1" s="1082"/>
      <c r="WZJ1" s="1082"/>
      <c r="WZK1" s="1082"/>
      <c r="WZL1" s="1082"/>
      <c r="WZM1" s="1082"/>
      <c r="WZN1" s="1082"/>
      <c r="WZO1" s="1082"/>
      <c r="WZP1" s="1082"/>
      <c r="WZQ1" s="1082"/>
      <c r="WZR1" s="1082"/>
      <c r="WZS1" s="1082"/>
      <c r="WZT1" s="1082"/>
      <c r="WZU1" s="1082"/>
      <c r="WZV1" s="1082"/>
      <c r="WZW1" s="1082"/>
      <c r="WZX1" s="1082"/>
      <c r="WZY1" s="1082"/>
      <c r="WZZ1" s="1082"/>
      <c r="XAA1" s="1082"/>
      <c r="XAB1" s="1082"/>
      <c r="XAC1" s="1082"/>
      <c r="XAD1" s="1082"/>
      <c r="XAE1" s="1082"/>
      <c r="XAF1" s="1082"/>
      <c r="XAG1" s="1082"/>
      <c r="XAH1" s="1082"/>
      <c r="XAI1" s="1082"/>
      <c r="XAJ1" s="1082"/>
      <c r="XAK1" s="1082"/>
      <c r="XAL1" s="1082"/>
      <c r="XAM1" s="1082"/>
      <c r="XAN1" s="1082"/>
      <c r="XAO1" s="1082"/>
      <c r="XAP1" s="1082"/>
      <c r="XAQ1" s="1082"/>
      <c r="XAR1" s="1082"/>
      <c r="XAS1" s="1082"/>
      <c r="XAT1" s="1082"/>
      <c r="XAU1" s="1082"/>
      <c r="XAV1" s="1082"/>
      <c r="XAW1" s="1082"/>
      <c r="XAX1" s="1082"/>
      <c r="XAY1" s="1082"/>
      <c r="XAZ1" s="1082"/>
      <c r="XBA1" s="1082"/>
      <c r="XBB1" s="1082"/>
      <c r="XBC1" s="1082"/>
      <c r="XBD1" s="1082"/>
      <c r="XBE1" s="1082"/>
      <c r="XBF1" s="1082"/>
      <c r="XBG1" s="1082"/>
      <c r="XBH1" s="1082"/>
      <c r="XBI1" s="1082"/>
      <c r="XBJ1" s="1082"/>
      <c r="XBK1" s="1082"/>
      <c r="XBL1" s="1082"/>
      <c r="XBM1" s="1082"/>
      <c r="XBN1" s="1082"/>
      <c r="XBO1" s="1082"/>
      <c r="XBP1" s="1082"/>
      <c r="XBQ1" s="1082"/>
      <c r="XBR1" s="1082"/>
      <c r="XBS1" s="1082"/>
      <c r="XBT1" s="1082"/>
      <c r="XBU1" s="1082"/>
      <c r="XBV1" s="1082"/>
      <c r="XBW1" s="1082"/>
      <c r="XBX1" s="1082"/>
      <c r="XBY1" s="1082"/>
      <c r="XBZ1" s="1082"/>
      <c r="XCA1" s="1082"/>
      <c r="XCB1" s="1082"/>
      <c r="XCC1" s="1082"/>
      <c r="XCD1" s="1082"/>
      <c r="XCE1" s="1082"/>
      <c r="XCF1" s="1082"/>
      <c r="XCG1" s="1082"/>
      <c r="XCH1" s="1082"/>
      <c r="XCI1" s="1082"/>
      <c r="XCJ1" s="1082"/>
      <c r="XCK1" s="1082"/>
      <c r="XCL1" s="1082"/>
      <c r="XCM1" s="1082"/>
      <c r="XCN1" s="1082"/>
      <c r="XCO1" s="1082"/>
      <c r="XCP1" s="1082"/>
      <c r="XCQ1" s="1082"/>
      <c r="XCR1" s="1082"/>
      <c r="XCS1" s="1082"/>
      <c r="XCT1" s="1082"/>
      <c r="XCU1" s="1082"/>
      <c r="XCV1" s="1082"/>
      <c r="XCW1" s="1082"/>
      <c r="XCX1" s="1082"/>
      <c r="XCY1" s="1082"/>
      <c r="XCZ1" s="1082"/>
      <c r="XDA1" s="1082"/>
      <c r="XDB1" s="1082"/>
      <c r="XDC1" s="1082"/>
      <c r="XDD1" s="1082"/>
      <c r="XDE1" s="1082"/>
      <c r="XDF1" s="1082"/>
      <c r="XDG1" s="1082"/>
      <c r="XDH1" s="1082"/>
      <c r="XDI1" s="1082"/>
      <c r="XDJ1" s="1082"/>
      <c r="XDK1" s="1082"/>
      <c r="XDL1" s="1082"/>
      <c r="XDM1" s="1082"/>
      <c r="XDN1" s="1082"/>
      <c r="XDO1" s="1082"/>
      <c r="XDP1" s="1082"/>
      <c r="XDQ1" s="1082"/>
      <c r="XDR1" s="1082"/>
      <c r="XDS1" s="1082"/>
      <c r="XDT1" s="1082"/>
      <c r="XDU1" s="1082"/>
      <c r="XDV1" s="1082"/>
      <c r="XDW1" s="1082"/>
      <c r="XDX1" s="1082"/>
      <c r="XDY1" s="1082"/>
      <c r="XDZ1" s="1082"/>
      <c r="XEA1" s="1082"/>
      <c r="XEB1" s="1082"/>
      <c r="XEC1" s="1082"/>
      <c r="XED1" s="1082"/>
      <c r="XEE1" s="1082"/>
      <c r="XEF1" s="1082"/>
      <c r="XEG1" s="1082"/>
      <c r="XEH1" s="1082"/>
      <c r="XEI1" s="1082"/>
      <c r="XEJ1" s="1082"/>
      <c r="XEK1" s="1082"/>
      <c r="XEL1" s="1082"/>
      <c r="XEM1" s="1082"/>
      <c r="XEN1" s="1082"/>
      <c r="XEO1" s="1082"/>
      <c r="XEP1" s="1082"/>
      <c r="XEQ1" s="1082"/>
      <c r="XER1" s="1082"/>
      <c r="XES1" s="1082"/>
      <c r="XET1" s="1082"/>
      <c r="XEU1" s="1082"/>
      <c r="XEV1" s="1082"/>
      <c r="XEW1" s="1082"/>
      <c r="XEX1" s="1082"/>
      <c r="XEY1" s="1082"/>
      <c r="XEZ1" s="1082"/>
      <c r="XFA1" s="1082"/>
      <c r="XFB1" s="1082"/>
      <c r="XFC1" s="1082"/>
      <c r="XFD1" s="1082"/>
    </row>
    <row r="2" spans="1:16384" ht="14.4" thickBot="1" x14ac:dyDescent="0.35"/>
    <row r="3" spans="1:16384" customFormat="1" ht="40.200000000000003" thickBot="1" x14ac:dyDescent="0.35">
      <c r="A3" s="906" t="s">
        <v>4322</v>
      </c>
      <c r="B3" s="907" t="s">
        <v>3366</v>
      </c>
      <c r="C3" s="907" t="s">
        <v>3367</v>
      </c>
      <c r="D3" s="907" t="s">
        <v>3368</v>
      </c>
      <c r="E3" s="907" t="s">
        <v>3369</v>
      </c>
      <c r="F3" s="907" t="s">
        <v>3370</v>
      </c>
      <c r="G3" s="907" t="s">
        <v>3371</v>
      </c>
      <c r="H3" s="907" t="s">
        <v>3372</v>
      </c>
      <c r="I3" s="908" t="s">
        <v>4323</v>
      </c>
    </row>
    <row r="4" spans="1:16384" customFormat="1" ht="39.6" x14ac:dyDescent="0.3">
      <c r="A4" s="949" t="s">
        <v>55</v>
      </c>
      <c r="B4" s="909" t="s">
        <v>4324</v>
      </c>
      <c r="C4" s="910" t="s">
        <v>4325</v>
      </c>
      <c r="D4" s="911"/>
      <c r="E4" s="911"/>
      <c r="F4" s="911"/>
      <c r="G4" s="911" t="s">
        <v>4326</v>
      </c>
      <c r="H4" s="911"/>
      <c r="I4" s="912" t="s">
        <v>4327</v>
      </c>
    </row>
    <row r="5" spans="1:16384" customFormat="1" ht="66" x14ac:dyDescent="0.3">
      <c r="A5" s="950" t="s">
        <v>56</v>
      </c>
      <c r="B5" s="909" t="s">
        <v>4328</v>
      </c>
      <c r="C5" s="910" t="s">
        <v>4329</v>
      </c>
      <c r="D5" s="911"/>
      <c r="E5" s="911" t="s">
        <v>4326</v>
      </c>
      <c r="F5" s="911"/>
      <c r="G5" s="911"/>
      <c r="H5" s="911"/>
      <c r="I5" s="912" t="s">
        <v>4330</v>
      </c>
    </row>
    <row r="6" spans="1:16384" customFormat="1" ht="52.8" x14ac:dyDescent="0.3">
      <c r="A6" s="950" t="s">
        <v>57</v>
      </c>
      <c r="B6" s="913" t="s">
        <v>4331</v>
      </c>
      <c r="C6" s="103" t="s">
        <v>4332</v>
      </c>
      <c r="D6" s="914"/>
      <c r="E6" s="915" t="s">
        <v>4326</v>
      </c>
      <c r="F6" s="914"/>
      <c r="G6" s="914"/>
      <c r="H6" s="914"/>
      <c r="I6" s="916" t="s">
        <v>4333</v>
      </c>
    </row>
    <row r="7" spans="1:16384" s="16" customFormat="1" ht="66" x14ac:dyDescent="0.3">
      <c r="A7" s="950" t="s">
        <v>58</v>
      </c>
      <c r="B7" s="913" t="s">
        <v>4334</v>
      </c>
      <c r="C7" s="917"/>
      <c r="D7" s="918" t="s">
        <v>4326</v>
      </c>
      <c r="E7" s="918"/>
      <c r="F7" s="918"/>
      <c r="G7" s="918"/>
      <c r="H7" s="918"/>
      <c r="I7" s="1155" t="s">
        <v>4377</v>
      </c>
    </row>
    <row r="8" spans="1:16384" s="16" customFormat="1" ht="26.4" x14ac:dyDescent="0.3">
      <c r="A8" s="950" t="s">
        <v>59</v>
      </c>
      <c r="B8" s="913" t="s">
        <v>4376</v>
      </c>
      <c r="C8" s="917" t="s">
        <v>4335</v>
      </c>
      <c r="D8" s="918" t="s">
        <v>4326</v>
      </c>
      <c r="E8" s="918"/>
      <c r="F8" s="918"/>
      <c r="G8" s="918"/>
      <c r="H8" s="918"/>
      <c r="I8" s="1156"/>
    </row>
    <row r="9" spans="1:16384" s="16" customFormat="1" ht="26.4" x14ac:dyDescent="0.3">
      <c r="A9" s="950" t="s">
        <v>60</v>
      </c>
      <c r="B9" s="919" t="s">
        <v>4336</v>
      </c>
      <c r="C9" s="917" t="s">
        <v>4359</v>
      </c>
      <c r="D9" s="918" t="s">
        <v>4326</v>
      </c>
      <c r="E9" s="918"/>
      <c r="F9" s="918"/>
      <c r="G9" s="918"/>
      <c r="H9" s="918"/>
      <c r="I9" s="1156"/>
    </row>
    <row r="10" spans="1:16384" s="16" customFormat="1" ht="26.4" x14ac:dyDescent="0.3">
      <c r="A10" s="950" t="s">
        <v>61</v>
      </c>
      <c r="B10" s="913" t="s">
        <v>4337</v>
      </c>
      <c r="C10" s="917" t="s">
        <v>4360</v>
      </c>
      <c r="D10" s="918" t="s">
        <v>4326</v>
      </c>
      <c r="E10" s="918"/>
      <c r="F10" s="918"/>
      <c r="G10" s="918"/>
      <c r="H10" s="918"/>
      <c r="I10" s="1156"/>
    </row>
    <row r="11" spans="1:16384" s="16" customFormat="1" ht="26.4" x14ac:dyDescent="0.3">
      <c r="A11" s="950" t="s">
        <v>62</v>
      </c>
      <c r="B11" s="913" t="s">
        <v>4338</v>
      </c>
      <c r="C11" s="917"/>
      <c r="D11" s="918" t="s">
        <v>4326</v>
      </c>
      <c r="E11" s="918"/>
      <c r="F11" s="918"/>
      <c r="G11" s="918"/>
      <c r="H11" s="918"/>
      <c r="I11" s="1157"/>
    </row>
    <row r="12" spans="1:16384" s="16" customFormat="1" ht="40.5" customHeight="1" x14ac:dyDescent="0.3">
      <c r="A12" s="950" t="s">
        <v>4339</v>
      </c>
      <c r="B12" s="913" t="s">
        <v>4340</v>
      </c>
      <c r="C12" s="917" t="s">
        <v>4341</v>
      </c>
      <c r="D12" s="918" t="s">
        <v>4326</v>
      </c>
      <c r="E12" s="918"/>
      <c r="F12" s="918"/>
      <c r="G12" s="918"/>
      <c r="H12" s="918"/>
      <c r="I12" s="920" t="s">
        <v>4342</v>
      </c>
    </row>
    <row r="13" spans="1:16384" s="16" customFormat="1" ht="26.4" x14ac:dyDescent="0.3">
      <c r="A13" s="950" t="s">
        <v>63</v>
      </c>
      <c r="B13" s="913" t="s">
        <v>4343</v>
      </c>
      <c r="C13" s="917" t="s">
        <v>4344</v>
      </c>
      <c r="D13" s="918"/>
      <c r="E13" s="918"/>
      <c r="F13" s="918"/>
      <c r="G13" s="918"/>
      <c r="H13" s="918" t="s">
        <v>4326</v>
      </c>
      <c r="I13" s="921" t="s">
        <v>4345</v>
      </c>
    </row>
    <row r="14" spans="1:16384" s="16" customFormat="1" ht="26.4" x14ac:dyDescent="0.3">
      <c r="A14" s="950" t="s">
        <v>64</v>
      </c>
      <c r="B14" s="913" t="s">
        <v>4346</v>
      </c>
      <c r="C14" s="917"/>
      <c r="D14" s="918"/>
      <c r="E14" s="918"/>
      <c r="F14" s="918"/>
      <c r="G14" s="918"/>
      <c r="H14" s="918" t="s">
        <v>4326</v>
      </c>
      <c r="I14" s="921" t="s">
        <v>4347</v>
      </c>
    </row>
    <row r="15" spans="1:16384" customFormat="1" ht="15.6" x14ac:dyDescent="0.3">
      <c r="A15" s="950" t="s">
        <v>65</v>
      </c>
      <c r="B15" s="922" t="s">
        <v>4348</v>
      </c>
      <c r="C15" s="864"/>
      <c r="D15" s="914"/>
      <c r="E15" s="914"/>
      <c r="F15" s="914"/>
      <c r="G15" s="914"/>
      <c r="H15" s="923" t="s">
        <v>4326</v>
      </c>
      <c r="I15" s="924"/>
    </row>
    <row r="16" spans="1:16384" customFormat="1" ht="27" thickBot="1" x14ac:dyDescent="0.35">
      <c r="A16" s="951" t="s">
        <v>66</v>
      </c>
      <c r="B16" s="925" t="s">
        <v>4349</v>
      </c>
      <c r="C16" s="873"/>
      <c r="D16" s="926"/>
      <c r="E16" s="926"/>
      <c r="F16" s="926"/>
      <c r="G16" s="926"/>
      <c r="H16" s="927" t="s">
        <v>4326</v>
      </c>
      <c r="I16" s="874" t="s">
        <v>4350</v>
      </c>
    </row>
    <row r="17" spans="1:9" customFormat="1" ht="15.6" x14ac:dyDescent="0.3">
      <c r="A17" s="6"/>
      <c r="B17" s="928"/>
      <c r="C17" s="929"/>
      <c r="D17" s="930"/>
      <c r="E17" s="931"/>
      <c r="F17" s="928"/>
      <c r="G17" s="928"/>
      <c r="H17" s="932"/>
      <c r="I17" s="928"/>
    </row>
    <row r="18" spans="1:9" customFormat="1" ht="16.2" thickBot="1" x14ac:dyDescent="0.35">
      <c r="A18" s="6"/>
      <c r="B18" s="928"/>
      <c r="C18" s="929"/>
      <c r="D18" s="930"/>
      <c r="E18" s="931"/>
      <c r="F18" s="928"/>
      <c r="G18" s="928"/>
      <c r="H18" s="928"/>
      <c r="I18" s="928"/>
    </row>
    <row r="19" spans="1:9" customFormat="1" ht="52.8" x14ac:dyDescent="0.3">
      <c r="A19" s="6"/>
      <c r="B19" s="933" t="s">
        <v>4351</v>
      </c>
      <c r="C19" s="934" t="s">
        <v>4380</v>
      </c>
      <c r="D19" s="935" t="s">
        <v>4379</v>
      </c>
      <c r="E19" s="936" t="s">
        <v>4352</v>
      </c>
      <c r="F19" s="937"/>
      <c r="G19" s="937"/>
      <c r="H19" s="937"/>
      <c r="I19" s="937"/>
    </row>
    <row r="20" spans="1:9" customFormat="1" ht="26.4" x14ac:dyDescent="0.3">
      <c r="A20" s="6"/>
      <c r="B20" s="938"/>
      <c r="C20" s="939" t="s">
        <v>4353</v>
      </c>
      <c r="D20" s="940" t="s">
        <v>4354</v>
      </c>
      <c r="E20" s="941" t="s">
        <v>4355</v>
      </c>
      <c r="F20" s="937"/>
      <c r="G20" s="937"/>
      <c r="H20" s="937"/>
      <c r="I20" s="937"/>
    </row>
    <row r="21" spans="1:9" customFormat="1" ht="27" thickBot="1" x14ac:dyDescent="0.35">
      <c r="A21" s="6"/>
      <c r="B21" s="938"/>
      <c r="C21" s="942" t="s">
        <v>4378</v>
      </c>
      <c r="D21" s="943" t="s">
        <v>4356</v>
      </c>
      <c r="E21" s="944" t="s">
        <v>4357</v>
      </c>
      <c r="F21" s="937"/>
      <c r="G21" s="937"/>
      <c r="H21" s="937"/>
      <c r="I21" s="937"/>
    </row>
    <row r="22" spans="1:9" customFormat="1" ht="53.4" thickBot="1" x14ac:dyDescent="0.35">
      <c r="A22" s="6"/>
      <c r="B22" s="945"/>
      <c r="C22" s="946" t="s">
        <v>4358</v>
      </c>
      <c r="D22" s="946"/>
      <c r="E22" s="947"/>
      <c r="F22" s="937"/>
      <c r="G22" s="937"/>
      <c r="H22" s="937"/>
      <c r="I22" s="937"/>
    </row>
  </sheetData>
  <mergeCells count="2341">
    <mergeCell ref="BE1:BK1"/>
    <mergeCell ref="BL1:BR1"/>
    <mergeCell ref="BS1:BY1"/>
    <mergeCell ref="BZ1:CF1"/>
    <mergeCell ref="CG1:CM1"/>
    <mergeCell ref="V1:AB1"/>
    <mergeCell ref="AC1:AI1"/>
    <mergeCell ref="AJ1:AP1"/>
    <mergeCell ref="AQ1:AW1"/>
    <mergeCell ref="AX1:BD1"/>
    <mergeCell ref="O1:U1"/>
    <mergeCell ref="GO1:GU1"/>
    <mergeCell ref="GV1:HB1"/>
    <mergeCell ref="HC1:HI1"/>
    <mergeCell ref="HJ1:HP1"/>
    <mergeCell ref="HQ1:HW1"/>
    <mergeCell ref="FF1:FL1"/>
    <mergeCell ref="FM1:FS1"/>
    <mergeCell ref="FT1:FZ1"/>
    <mergeCell ref="GA1:GG1"/>
    <mergeCell ref="GH1:GN1"/>
    <mergeCell ref="DW1:EC1"/>
    <mergeCell ref="ED1:EJ1"/>
    <mergeCell ref="EK1:EQ1"/>
    <mergeCell ref="ER1:EX1"/>
    <mergeCell ref="EY1:FE1"/>
    <mergeCell ref="CN1:CT1"/>
    <mergeCell ref="CU1:DA1"/>
    <mergeCell ref="DB1:DH1"/>
    <mergeCell ref="DI1:DO1"/>
    <mergeCell ref="DP1:DV1"/>
    <mergeCell ref="LY1:ME1"/>
    <mergeCell ref="MF1:ML1"/>
    <mergeCell ref="MM1:MS1"/>
    <mergeCell ref="MT1:MZ1"/>
    <mergeCell ref="NA1:NG1"/>
    <mergeCell ref="KP1:KV1"/>
    <mergeCell ref="KW1:LC1"/>
    <mergeCell ref="LD1:LJ1"/>
    <mergeCell ref="LK1:LQ1"/>
    <mergeCell ref="LR1:LX1"/>
    <mergeCell ref="JG1:JM1"/>
    <mergeCell ref="JN1:JT1"/>
    <mergeCell ref="JU1:KA1"/>
    <mergeCell ref="KB1:KH1"/>
    <mergeCell ref="KI1:KO1"/>
    <mergeCell ref="HX1:ID1"/>
    <mergeCell ref="IE1:IK1"/>
    <mergeCell ref="IL1:IR1"/>
    <mergeCell ref="IS1:IY1"/>
    <mergeCell ref="IZ1:JF1"/>
    <mergeCell ref="RI1:RO1"/>
    <mergeCell ref="RP1:RV1"/>
    <mergeCell ref="RW1:SC1"/>
    <mergeCell ref="SD1:SJ1"/>
    <mergeCell ref="SK1:SQ1"/>
    <mergeCell ref="PZ1:QF1"/>
    <mergeCell ref="QG1:QM1"/>
    <mergeCell ref="QN1:QT1"/>
    <mergeCell ref="QU1:RA1"/>
    <mergeCell ref="RB1:RH1"/>
    <mergeCell ref="OQ1:OW1"/>
    <mergeCell ref="OX1:PD1"/>
    <mergeCell ref="PE1:PK1"/>
    <mergeCell ref="PL1:PR1"/>
    <mergeCell ref="PS1:PY1"/>
    <mergeCell ref="NH1:NN1"/>
    <mergeCell ref="NO1:NU1"/>
    <mergeCell ref="NV1:OB1"/>
    <mergeCell ref="OC1:OI1"/>
    <mergeCell ref="OJ1:OP1"/>
    <mergeCell ref="WS1:WY1"/>
    <mergeCell ref="WZ1:XF1"/>
    <mergeCell ref="XG1:XM1"/>
    <mergeCell ref="XN1:XT1"/>
    <mergeCell ref="XU1:YA1"/>
    <mergeCell ref="VJ1:VP1"/>
    <mergeCell ref="VQ1:VW1"/>
    <mergeCell ref="VX1:WD1"/>
    <mergeCell ref="WE1:WK1"/>
    <mergeCell ref="WL1:WR1"/>
    <mergeCell ref="UA1:UG1"/>
    <mergeCell ref="UH1:UN1"/>
    <mergeCell ref="UO1:UU1"/>
    <mergeCell ref="UV1:VB1"/>
    <mergeCell ref="VC1:VI1"/>
    <mergeCell ref="SR1:SX1"/>
    <mergeCell ref="SY1:TE1"/>
    <mergeCell ref="TF1:TL1"/>
    <mergeCell ref="TM1:TS1"/>
    <mergeCell ref="TT1:TZ1"/>
    <mergeCell ref="ACC1:ACI1"/>
    <mergeCell ref="ACJ1:ACP1"/>
    <mergeCell ref="ACQ1:ACW1"/>
    <mergeCell ref="ACX1:ADD1"/>
    <mergeCell ref="ADE1:ADK1"/>
    <mergeCell ref="AAT1:AAZ1"/>
    <mergeCell ref="ABA1:ABG1"/>
    <mergeCell ref="ABH1:ABN1"/>
    <mergeCell ref="ABO1:ABU1"/>
    <mergeCell ref="ABV1:ACB1"/>
    <mergeCell ref="ZK1:ZQ1"/>
    <mergeCell ref="ZR1:ZX1"/>
    <mergeCell ref="ZY1:AAE1"/>
    <mergeCell ref="AAF1:AAL1"/>
    <mergeCell ref="AAM1:AAS1"/>
    <mergeCell ref="YB1:YH1"/>
    <mergeCell ref="YI1:YO1"/>
    <mergeCell ref="YP1:YV1"/>
    <mergeCell ref="YW1:ZC1"/>
    <mergeCell ref="ZD1:ZJ1"/>
    <mergeCell ref="AHM1:AHS1"/>
    <mergeCell ref="AHT1:AHZ1"/>
    <mergeCell ref="AIA1:AIG1"/>
    <mergeCell ref="AIH1:AIN1"/>
    <mergeCell ref="AIO1:AIU1"/>
    <mergeCell ref="AGD1:AGJ1"/>
    <mergeCell ref="AGK1:AGQ1"/>
    <mergeCell ref="AGR1:AGX1"/>
    <mergeCell ref="AGY1:AHE1"/>
    <mergeCell ref="AHF1:AHL1"/>
    <mergeCell ref="AEU1:AFA1"/>
    <mergeCell ref="AFB1:AFH1"/>
    <mergeCell ref="AFI1:AFO1"/>
    <mergeCell ref="AFP1:AFV1"/>
    <mergeCell ref="AFW1:AGC1"/>
    <mergeCell ref="ADL1:ADR1"/>
    <mergeCell ref="ADS1:ADY1"/>
    <mergeCell ref="ADZ1:AEF1"/>
    <mergeCell ref="AEG1:AEM1"/>
    <mergeCell ref="AEN1:AET1"/>
    <mergeCell ref="AMW1:ANC1"/>
    <mergeCell ref="AND1:ANJ1"/>
    <mergeCell ref="ANK1:ANQ1"/>
    <mergeCell ref="ANR1:ANX1"/>
    <mergeCell ref="ANY1:AOE1"/>
    <mergeCell ref="ALN1:ALT1"/>
    <mergeCell ref="ALU1:AMA1"/>
    <mergeCell ref="AMB1:AMH1"/>
    <mergeCell ref="AMI1:AMO1"/>
    <mergeCell ref="AMP1:AMV1"/>
    <mergeCell ref="AKE1:AKK1"/>
    <mergeCell ref="AKL1:AKR1"/>
    <mergeCell ref="AKS1:AKY1"/>
    <mergeCell ref="AKZ1:ALF1"/>
    <mergeCell ref="ALG1:ALM1"/>
    <mergeCell ref="AIV1:AJB1"/>
    <mergeCell ref="AJC1:AJI1"/>
    <mergeCell ref="AJJ1:AJP1"/>
    <mergeCell ref="AJQ1:AJW1"/>
    <mergeCell ref="AJX1:AKD1"/>
    <mergeCell ref="ASG1:ASM1"/>
    <mergeCell ref="ASN1:AST1"/>
    <mergeCell ref="ASU1:ATA1"/>
    <mergeCell ref="ATB1:ATH1"/>
    <mergeCell ref="ATI1:ATO1"/>
    <mergeCell ref="AQX1:ARD1"/>
    <mergeCell ref="ARE1:ARK1"/>
    <mergeCell ref="ARL1:ARR1"/>
    <mergeCell ref="ARS1:ARY1"/>
    <mergeCell ref="ARZ1:ASF1"/>
    <mergeCell ref="APO1:APU1"/>
    <mergeCell ref="APV1:AQB1"/>
    <mergeCell ref="AQC1:AQI1"/>
    <mergeCell ref="AQJ1:AQP1"/>
    <mergeCell ref="AQQ1:AQW1"/>
    <mergeCell ref="AOF1:AOL1"/>
    <mergeCell ref="AOM1:AOS1"/>
    <mergeCell ref="AOT1:AOZ1"/>
    <mergeCell ref="APA1:APG1"/>
    <mergeCell ref="APH1:APN1"/>
    <mergeCell ref="AXQ1:AXW1"/>
    <mergeCell ref="AXX1:AYD1"/>
    <mergeCell ref="AYE1:AYK1"/>
    <mergeCell ref="AYL1:AYR1"/>
    <mergeCell ref="AYS1:AYY1"/>
    <mergeCell ref="AWH1:AWN1"/>
    <mergeCell ref="AWO1:AWU1"/>
    <mergeCell ref="AWV1:AXB1"/>
    <mergeCell ref="AXC1:AXI1"/>
    <mergeCell ref="AXJ1:AXP1"/>
    <mergeCell ref="AUY1:AVE1"/>
    <mergeCell ref="AVF1:AVL1"/>
    <mergeCell ref="AVM1:AVS1"/>
    <mergeCell ref="AVT1:AVZ1"/>
    <mergeCell ref="AWA1:AWG1"/>
    <mergeCell ref="ATP1:ATV1"/>
    <mergeCell ref="ATW1:AUC1"/>
    <mergeCell ref="AUD1:AUJ1"/>
    <mergeCell ref="AUK1:AUQ1"/>
    <mergeCell ref="AUR1:AUX1"/>
    <mergeCell ref="BDA1:BDG1"/>
    <mergeCell ref="BDH1:BDN1"/>
    <mergeCell ref="BDO1:BDU1"/>
    <mergeCell ref="BDV1:BEB1"/>
    <mergeCell ref="BEC1:BEI1"/>
    <mergeCell ref="BBR1:BBX1"/>
    <mergeCell ref="BBY1:BCE1"/>
    <mergeCell ref="BCF1:BCL1"/>
    <mergeCell ref="BCM1:BCS1"/>
    <mergeCell ref="BCT1:BCZ1"/>
    <mergeCell ref="BAI1:BAO1"/>
    <mergeCell ref="BAP1:BAV1"/>
    <mergeCell ref="BAW1:BBC1"/>
    <mergeCell ref="BBD1:BBJ1"/>
    <mergeCell ref="BBK1:BBQ1"/>
    <mergeCell ref="AYZ1:AZF1"/>
    <mergeCell ref="AZG1:AZM1"/>
    <mergeCell ref="AZN1:AZT1"/>
    <mergeCell ref="AZU1:BAA1"/>
    <mergeCell ref="BAB1:BAH1"/>
    <mergeCell ref="BIK1:BIQ1"/>
    <mergeCell ref="BIR1:BIX1"/>
    <mergeCell ref="BIY1:BJE1"/>
    <mergeCell ref="BJF1:BJL1"/>
    <mergeCell ref="BJM1:BJS1"/>
    <mergeCell ref="BHB1:BHH1"/>
    <mergeCell ref="BHI1:BHO1"/>
    <mergeCell ref="BHP1:BHV1"/>
    <mergeCell ref="BHW1:BIC1"/>
    <mergeCell ref="BID1:BIJ1"/>
    <mergeCell ref="BFS1:BFY1"/>
    <mergeCell ref="BFZ1:BGF1"/>
    <mergeCell ref="BGG1:BGM1"/>
    <mergeCell ref="BGN1:BGT1"/>
    <mergeCell ref="BGU1:BHA1"/>
    <mergeCell ref="BEJ1:BEP1"/>
    <mergeCell ref="BEQ1:BEW1"/>
    <mergeCell ref="BEX1:BFD1"/>
    <mergeCell ref="BFE1:BFK1"/>
    <mergeCell ref="BFL1:BFR1"/>
    <mergeCell ref="BNU1:BOA1"/>
    <mergeCell ref="BOB1:BOH1"/>
    <mergeCell ref="BOI1:BOO1"/>
    <mergeCell ref="BOP1:BOV1"/>
    <mergeCell ref="BOW1:BPC1"/>
    <mergeCell ref="BML1:BMR1"/>
    <mergeCell ref="BMS1:BMY1"/>
    <mergeCell ref="BMZ1:BNF1"/>
    <mergeCell ref="BNG1:BNM1"/>
    <mergeCell ref="BNN1:BNT1"/>
    <mergeCell ref="BLC1:BLI1"/>
    <mergeCell ref="BLJ1:BLP1"/>
    <mergeCell ref="BLQ1:BLW1"/>
    <mergeCell ref="BLX1:BMD1"/>
    <mergeCell ref="BME1:BMK1"/>
    <mergeCell ref="BJT1:BJZ1"/>
    <mergeCell ref="BKA1:BKG1"/>
    <mergeCell ref="BKH1:BKN1"/>
    <mergeCell ref="BKO1:BKU1"/>
    <mergeCell ref="BKV1:BLB1"/>
    <mergeCell ref="BTE1:BTK1"/>
    <mergeCell ref="BTL1:BTR1"/>
    <mergeCell ref="BTS1:BTY1"/>
    <mergeCell ref="BTZ1:BUF1"/>
    <mergeCell ref="BUG1:BUM1"/>
    <mergeCell ref="BRV1:BSB1"/>
    <mergeCell ref="BSC1:BSI1"/>
    <mergeCell ref="BSJ1:BSP1"/>
    <mergeCell ref="BSQ1:BSW1"/>
    <mergeCell ref="BSX1:BTD1"/>
    <mergeCell ref="BQM1:BQS1"/>
    <mergeCell ref="BQT1:BQZ1"/>
    <mergeCell ref="BRA1:BRG1"/>
    <mergeCell ref="BRH1:BRN1"/>
    <mergeCell ref="BRO1:BRU1"/>
    <mergeCell ref="BPD1:BPJ1"/>
    <mergeCell ref="BPK1:BPQ1"/>
    <mergeCell ref="BPR1:BPX1"/>
    <mergeCell ref="BPY1:BQE1"/>
    <mergeCell ref="BQF1:BQL1"/>
    <mergeCell ref="BYO1:BYU1"/>
    <mergeCell ref="BYV1:BZB1"/>
    <mergeCell ref="BZC1:BZI1"/>
    <mergeCell ref="BZJ1:BZP1"/>
    <mergeCell ref="BZQ1:BZW1"/>
    <mergeCell ref="BXF1:BXL1"/>
    <mergeCell ref="BXM1:BXS1"/>
    <mergeCell ref="BXT1:BXZ1"/>
    <mergeCell ref="BYA1:BYG1"/>
    <mergeCell ref="BYH1:BYN1"/>
    <mergeCell ref="BVW1:BWC1"/>
    <mergeCell ref="BWD1:BWJ1"/>
    <mergeCell ref="BWK1:BWQ1"/>
    <mergeCell ref="BWR1:BWX1"/>
    <mergeCell ref="BWY1:BXE1"/>
    <mergeCell ref="BUN1:BUT1"/>
    <mergeCell ref="BUU1:BVA1"/>
    <mergeCell ref="BVB1:BVH1"/>
    <mergeCell ref="BVI1:BVO1"/>
    <mergeCell ref="BVP1:BVV1"/>
    <mergeCell ref="CDY1:CEE1"/>
    <mergeCell ref="CEF1:CEL1"/>
    <mergeCell ref="CEM1:CES1"/>
    <mergeCell ref="CET1:CEZ1"/>
    <mergeCell ref="CFA1:CFG1"/>
    <mergeCell ref="CCP1:CCV1"/>
    <mergeCell ref="CCW1:CDC1"/>
    <mergeCell ref="CDD1:CDJ1"/>
    <mergeCell ref="CDK1:CDQ1"/>
    <mergeCell ref="CDR1:CDX1"/>
    <mergeCell ref="CBG1:CBM1"/>
    <mergeCell ref="CBN1:CBT1"/>
    <mergeCell ref="CBU1:CCA1"/>
    <mergeCell ref="CCB1:CCH1"/>
    <mergeCell ref="CCI1:CCO1"/>
    <mergeCell ref="BZX1:CAD1"/>
    <mergeCell ref="CAE1:CAK1"/>
    <mergeCell ref="CAL1:CAR1"/>
    <mergeCell ref="CAS1:CAY1"/>
    <mergeCell ref="CAZ1:CBF1"/>
    <mergeCell ref="CJI1:CJO1"/>
    <mergeCell ref="CJP1:CJV1"/>
    <mergeCell ref="CJW1:CKC1"/>
    <mergeCell ref="CKD1:CKJ1"/>
    <mergeCell ref="CKK1:CKQ1"/>
    <mergeCell ref="CHZ1:CIF1"/>
    <mergeCell ref="CIG1:CIM1"/>
    <mergeCell ref="CIN1:CIT1"/>
    <mergeCell ref="CIU1:CJA1"/>
    <mergeCell ref="CJB1:CJH1"/>
    <mergeCell ref="CGQ1:CGW1"/>
    <mergeCell ref="CGX1:CHD1"/>
    <mergeCell ref="CHE1:CHK1"/>
    <mergeCell ref="CHL1:CHR1"/>
    <mergeCell ref="CHS1:CHY1"/>
    <mergeCell ref="CFH1:CFN1"/>
    <mergeCell ref="CFO1:CFU1"/>
    <mergeCell ref="CFV1:CGB1"/>
    <mergeCell ref="CGC1:CGI1"/>
    <mergeCell ref="CGJ1:CGP1"/>
    <mergeCell ref="COS1:COY1"/>
    <mergeCell ref="COZ1:CPF1"/>
    <mergeCell ref="CPG1:CPM1"/>
    <mergeCell ref="CPN1:CPT1"/>
    <mergeCell ref="CPU1:CQA1"/>
    <mergeCell ref="CNJ1:CNP1"/>
    <mergeCell ref="CNQ1:CNW1"/>
    <mergeCell ref="CNX1:COD1"/>
    <mergeCell ref="COE1:COK1"/>
    <mergeCell ref="COL1:COR1"/>
    <mergeCell ref="CMA1:CMG1"/>
    <mergeCell ref="CMH1:CMN1"/>
    <mergeCell ref="CMO1:CMU1"/>
    <mergeCell ref="CMV1:CNB1"/>
    <mergeCell ref="CNC1:CNI1"/>
    <mergeCell ref="CKR1:CKX1"/>
    <mergeCell ref="CKY1:CLE1"/>
    <mergeCell ref="CLF1:CLL1"/>
    <mergeCell ref="CLM1:CLS1"/>
    <mergeCell ref="CLT1:CLZ1"/>
    <mergeCell ref="CUC1:CUI1"/>
    <mergeCell ref="CUJ1:CUP1"/>
    <mergeCell ref="CUQ1:CUW1"/>
    <mergeCell ref="CUX1:CVD1"/>
    <mergeCell ref="CVE1:CVK1"/>
    <mergeCell ref="CST1:CSZ1"/>
    <mergeCell ref="CTA1:CTG1"/>
    <mergeCell ref="CTH1:CTN1"/>
    <mergeCell ref="CTO1:CTU1"/>
    <mergeCell ref="CTV1:CUB1"/>
    <mergeCell ref="CRK1:CRQ1"/>
    <mergeCell ref="CRR1:CRX1"/>
    <mergeCell ref="CRY1:CSE1"/>
    <mergeCell ref="CSF1:CSL1"/>
    <mergeCell ref="CSM1:CSS1"/>
    <mergeCell ref="CQB1:CQH1"/>
    <mergeCell ref="CQI1:CQO1"/>
    <mergeCell ref="CQP1:CQV1"/>
    <mergeCell ref="CQW1:CRC1"/>
    <mergeCell ref="CRD1:CRJ1"/>
    <mergeCell ref="CZM1:CZS1"/>
    <mergeCell ref="CZT1:CZZ1"/>
    <mergeCell ref="DAA1:DAG1"/>
    <mergeCell ref="DAH1:DAN1"/>
    <mergeCell ref="DAO1:DAU1"/>
    <mergeCell ref="CYD1:CYJ1"/>
    <mergeCell ref="CYK1:CYQ1"/>
    <mergeCell ref="CYR1:CYX1"/>
    <mergeCell ref="CYY1:CZE1"/>
    <mergeCell ref="CZF1:CZL1"/>
    <mergeCell ref="CWU1:CXA1"/>
    <mergeCell ref="CXB1:CXH1"/>
    <mergeCell ref="CXI1:CXO1"/>
    <mergeCell ref="CXP1:CXV1"/>
    <mergeCell ref="CXW1:CYC1"/>
    <mergeCell ref="CVL1:CVR1"/>
    <mergeCell ref="CVS1:CVY1"/>
    <mergeCell ref="CVZ1:CWF1"/>
    <mergeCell ref="CWG1:CWM1"/>
    <mergeCell ref="CWN1:CWT1"/>
    <mergeCell ref="DEW1:DFC1"/>
    <mergeCell ref="DFD1:DFJ1"/>
    <mergeCell ref="DFK1:DFQ1"/>
    <mergeCell ref="DFR1:DFX1"/>
    <mergeCell ref="DFY1:DGE1"/>
    <mergeCell ref="DDN1:DDT1"/>
    <mergeCell ref="DDU1:DEA1"/>
    <mergeCell ref="DEB1:DEH1"/>
    <mergeCell ref="DEI1:DEO1"/>
    <mergeCell ref="DEP1:DEV1"/>
    <mergeCell ref="DCE1:DCK1"/>
    <mergeCell ref="DCL1:DCR1"/>
    <mergeCell ref="DCS1:DCY1"/>
    <mergeCell ref="DCZ1:DDF1"/>
    <mergeCell ref="DDG1:DDM1"/>
    <mergeCell ref="DAV1:DBB1"/>
    <mergeCell ref="DBC1:DBI1"/>
    <mergeCell ref="DBJ1:DBP1"/>
    <mergeCell ref="DBQ1:DBW1"/>
    <mergeCell ref="DBX1:DCD1"/>
    <mergeCell ref="DKG1:DKM1"/>
    <mergeCell ref="DKN1:DKT1"/>
    <mergeCell ref="DKU1:DLA1"/>
    <mergeCell ref="DLB1:DLH1"/>
    <mergeCell ref="DLI1:DLO1"/>
    <mergeCell ref="DIX1:DJD1"/>
    <mergeCell ref="DJE1:DJK1"/>
    <mergeCell ref="DJL1:DJR1"/>
    <mergeCell ref="DJS1:DJY1"/>
    <mergeCell ref="DJZ1:DKF1"/>
    <mergeCell ref="DHO1:DHU1"/>
    <mergeCell ref="DHV1:DIB1"/>
    <mergeCell ref="DIC1:DII1"/>
    <mergeCell ref="DIJ1:DIP1"/>
    <mergeCell ref="DIQ1:DIW1"/>
    <mergeCell ref="DGF1:DGL1"/>
    <mergeCell ref="DGM1:DGS1"/>
    <mergeCell ref="DGT1:DGZ1"/>
    <mergeCell ref="DHA1:DHG1"/>
    <mergeCell ref="DHH1:DHN1"/>
    <mergeCell ref="DPQ1:DPW1"/>
    <mergeCell ref="DPX1:DQD1"/>
    <mergeCell ref="DQE1:DQK1"/>
    <mergeCell ref="DQL1:DQR1"/>
    <mergeCell ref="DQS1:DQY1"/>
    <mergeCell ref="DOH1:DON1"/>
    <mergeCell ref="DOO1:DOU1"/>
    <mergeCell ref="DOV1:DPB1"/>
    <mergeCell ref="DPC1:DPI1"/>
    <mergeCell ref="DPJ1:DPP1"/>
    <mergeCell ref="DMY1:DNE1"/>
    <mergeCell ref="DNF1:DNL1"/>
    <mergeCell ref="DNM1:DNS1"/>
    <mergeCell ref="DNT1:DNZ1"/>
    <mergeCell ref="DOA1:DOG1"/>
    <mergeCell ref="DLP1:DLV1"/>
    <mergeCell ref="DLW1:DMC1"/>
    <mergeCell ref="DMD1:DMJ1"/>
    <mergeCell ref="DMK1:DMQ1"/>
    <mergeCell ref="DMR1:DMX1"/>
    <mergeCell ref="DVA1:DVG1"/>
    <mergeCell ref="DVH1:DVN1"/>
    <mergeCell ref="DVO1:DVU1"/>
    <mergeCell ref="DVV1:DWB1"/>
    <mergeCell ref="DWC1:DWI1"/>
    <mergeCell ref="DTR1:DTX1"/>
    <mergeCell ref="DTY1:DUE1"/>
    <mergeCell ref="DUF1:DUL1"/>
    <mergeCell ref="DUM1:DUS1"/>
    <mergeCell ref="DUT1:DUZ1"/>
    <mergeCell ref="DSI1:DSO1"/>
    <mergeCell ref="DSP1:DSV1"/>
    <mergeCell ref="DSW1:DTC1"/>
    <mergeCell ref="DTD1:DTJ1"/>
    <mergeCell ref="DTK1:DTQ1"/>
    <mergeCell ref="DQZ1:DRF1"/>
    <mergeCell ref="DRG1:DRM1"/>
    <mergeCell ref="DRN1:DRT1"/>
    <mergeCell ref="DRU1:DSA1"/>
    <mergeCell ref="DSB1:DSH1"/>
    <mergeCell ref="EAK1:EAQ1"/>
    <mergeCell ref="EAR1:EAX1"/>
    <mergeCell ref="EAY1:EBE1"/>
    <mergeCell ref="EBF1:EBL1"/>
    <mergeCell ref="EBM1:EBS1"/>
    <mergeCell ref="DZB1:DZH1"/>
    <mergeCell ref="DZI1:DZO1"/>
    <mergeCell ref="DZP1:DZV1"/>
    <mergeCell ref="DZW1:EAC1"/>
    <mergeCell ref="EAD1:EAJ1"/>
    <mergeCell ref="DXS1:DXY1"/>
    <mergeCell ref="DXZ1:DYF1"/>
    <mergeCell ref="DYG1:DYM1"/>
    <mergeCell ref="DYN1:DYT1"/>
    <mergeCell ref="DYU1:DZA1"/>
    <mergeCell ref="DWJ1:DWP1"/>
    <mergeCell ref="DWQ1:DWW1"/>
    <mergeCell ref="DWX1:DXD1"/>
    <mergeCell ref="DXE1:DXK1"/>
    <mergeCell ref="DXL1:DXR1"/>
    <mergeCell ref="EFU1:EGA1"/>
    <mergeCell ref="EGB1:EGH1"/>
    <mergeCell ref="EGI1:EGO1"/>
    <mergeCell ref="EGP1:EGV1"/>
    <mergeCell ref="EGW1:EHC1"/>
    <mergeCell ref="EEL1:EER1"/>
    <mergeCell ref="EES1:EEY1"/>
    <mergeCell ref="EEZ1:EFF1"/>
    <mergeCell ref="EFG1:EFM1"/>
    <mergeCell ref="EFN1:EFT1"/>
    <mergeCell ref="EDC1:EDI1"/>
    <mergeCell ref="EDJ1:EDP1"/>
    <mergeCell ref="EDQ1:EDW1"/>
    <mergeCell ref="EDX1:EED1"/>
    <mergeCell ref="EEE1:EEK1"/>
    <mergeCell ref="EBT1:EBZ1"/>
    <mergeCell ref="ECA1:ECG1"/>
    <mergeCell ref="ECH1:ECN1"/>
    <mergeCell ref="ECO1:ECU1"/>
    <mergeCell ref="ECV1:EDB1"/>
    <mergeCell ref="ELE1:ELK1"/>
    <mergeCell ref="ELL1:ELR1"/>
    <mergeCell ref="ELS1:ELY1"/>
    <mergeCell ref="ELZ1:EMF1"/>
    <mergeCell ref="EMG1:EMM1"/>
    <mergeCell ref="EJV1:EKB1"/>
    <mergeCell ref="EKC1:EKI1"/>
    <mergeCell ref="EKJ1:EKP1"/>
    <mergeCell ref="EKQ1:EKW1"/>
    <mergeCell ref="EKX1:ELD1"/>
    <mergeCell ref="EIM1:EIS1"/>
    <mergeCell ref="EIT1:EIZ1"/>
    <mergeCell ref="EJA1:EJG1"/>
    <mergeCell ref="EJH1:EJN1"/>
    <mergeCell ref="EJO1:EJU1"/>
    <mergeCell ref="EHD1:EHJ1"/>
    <mergeCell ref="EHK1:EHQ1"/>
    <mergeCell ref="EHR1:EHX1"/>
    <mergeCell ref="EHY1:EIE1"/>
    <mergeCell ref="EIF1:EIL1"/>
    <mergeCell ref="EQO1:EQU1"/>
    <mergeCell ref="EQV1:ERB1"/>
    <mergeCell ref="ERC1:ERI1"/>
    <mergeCell ref="ERJ1:ERP1"/>
    <mergeCell ref="ERQ1:ERW1"/>
    <mergeCell ref="EPF1:EPL1"/>
    <mergeCell ref="EPM1:EPS1"/>
    <mergeCell ref="EPT1:EPZ1"/>
    <mergeCell ref="EQA1:EQG1"/>
    <mergeCell ref="EQH1:EQN1"/>
    <mergeCell ref="ENW1:EOC1"/>
    <mergeCell ref="EOD1:EOJ1"/>
    <mergeCell ref="EOK1:EOQ1"/>
    <mergeCell ref="EOR1:EOX1"/>
    <mergeCell ref="EOY1:EPE1"/>
    <mergeCell ref="EMN1:EMT1"/>
    <mergeCell ref="EMU1:ENA1"/>
    <mergeCell ref="ENB1:ENH1"/>
    <mergeCell ref="ENI1:ENO1"/>
    <mergeCell ref="ENP1:ENV1"/>
    <mergeCell ref="EVY1:EWE1"/>
    <mergeCell ref="EWF1:EWL1"/>
    <mergeCell ref="EWM1:EWS1"/>
    <mergeCell ref="EWT1:EWZ1"/>
    <mergeCell ref="EXA1:EXG1"/>
    <mergeCell ref="EUP1:EUV1"/>
    <mergeCell ref="EUW1:EVC1"/>
    <mergeCell ref="EVD1:EVJ1"/>
    <mergeCell ref="EVK1:EVQ1"/>
    <mergeCell ref="EVR1:EVX1"/>
    <mergeCell ref="ETG1:ETM1"/>
    <mergeCell ref="ETN1:ETT1"/>
    <mergeCell ref="ETU1:EUA1"/>
    <mergeCell ref="EUB1:EUH1"/>
    <mergeCell ref="EUI1:EUO1"/>
    <mergeCell ref="ERX1:ESD1"/>
    <mergeCell ref="ESE1:ESK1"/>
    <mergeCell ref="ESL1:ESR1"/>
    <mergeCell ref="ESS1:ESY1"/>
    <mergeCell ref="ESZ1:ETF1"/>
    <mergeCell ref="FBI1:FBO1"/>
    <mergeCell ref="FBP1:FBV1"/>
    <mergeCell ref="FBW1:FCC1"/>
    <mergeCell ref="FCD1:FCJ1"/>
    <mergeCell ref="FCK1:FCQ1"/>
    <mergeCell ref="EZZ1:FAF1"/>
    <mergeCell ref="FAG1:FAM1"/>
    <mergeCell ref="FAN1:FAT1"/>
    <mergeCell ref="FAU1:FBA1"/>
    <mergeCell ref="FBB1:FBH1"/>
    <mergeCell ref="EYQ1:EYW1"/>
    <mergeCell ref="EYX1:EZD1"/>
    <mergeCell ref="EZE1:EZK1"/>
    <mergeCell ref="EZL1:EZR1"/>
    <mergeCell ref="EZS1:EZY1"/>
    <mergeCell ref="EXH1:EXN1"/>
    <mergeCell ref="EXO1:EXU1"/>
    <mergeCell ref="EXV1:EYB1"/>
    <mergeCell ref="EYC1:EYI1"/>
    <mergeCell ref="EYJ1:EYP1"/>
    <mergeCell ref="FGS1:FGY1"/>
    <mergeCell ref="FGZ1:FHF1"/>
    <mergeCell ref="FHG1:FHM1"/>
    <mergeCell ref="FHN1:FHT1"/>
    <mergeCell ref="FHU1:FIA1"/>
    <mergeCell ref="FFJ1:FFP1"/>
    <mergeCell ref="FFQ1:FFW1"/>
    <mergeCell ref="FFX1:FGD1"/>
    <mergeCell ref="FGE1:FGK1"/>
    <mergeCell ref="FGL1:FGR1"/>
    <mergeCell ref="FEA1:FEG1"/>
    <mergeCell ref="FEH1:FEN1"/>
    <mergeCell ref="FEO1:FEU1"/>
    <mergeCell ref="FEV1:FFB1"/>
    <mergeCell ref="FFC1:FFI1"/>
    <mergeCell ref="FCR1:FCX1"/>
    <mergeCell ref="FCY1:FDE1"/>
    <mergeCell ref="FDF1:FDL1"/>
    <mergeCell ref="FDM1:FDS1"/>
    <mergeCell ref="FDT1:FDZ1"/>
    <mergeCell ref="FMC1:FMI1"/>
    <mergeCell ref="FMJ1:FMP1"/>
    <mergeCell ref="FMQ1:FMW1"/>
    <mergeCell ref="FMX1:FND1"/>
    <mergeCell ref="FNE1:FNK1"/>
    <mergeCell ref="FKT1:FKZ1"/>
    <mergeCell ref="FLA1:FLG1"/>
    <mergeCell ref="FLH1:FLN1"/>
    <mergeCell ref="FLO1:FLU1"/>
    <mergeCell ref="FLV1:FMB1"/>
    <mergeCell ref="FJK1:FJQ1"/>
    <mergeCell ref="FJR1:FJX1"/>
    <mergeCell ref="FJY1:FKE1"/>
    <mergeCell ref="FKF1:FKL1"/>
    <mergeCell ref="FKM1:FKS1"/>
    <mergeCell ref="FIB1:FIH1"/>
    <mergeCell ref="FII1:FIO1"/>
    <mergeCell ref="FIP1:FIV1"/>
    <mergeCell ref="FIW1:FJC1"/>
    <mergeCell ref="FJD1:FJJ1"/>
    <mergeCell ref="FRM1:FRS1"/>
    <mergeCell ref="FRT1:FRZ1"/>
    <mergeCell ref="FSA1:FSG1"/>
    <mergeCell ref="FSH1:FSN1"/>
    <mergeCell ref="FSO1:FSU1"/>
    <mergeCell ref="FQD1:FQJ1"/>
    <mergeCell ref="FQK1:FQQ1"/>
    <mergeCell ref="FQR1:FQX1"/>
    <mergeCell ref="FQY1:FRE1"/>
    <mergeCell ref="FRF1:FRL1"/>
    <mergeCell ref="FOU1:FPA1"/>
    <mergeCell ref="FPB1:FPH1"/>
    <mergeCell ref="FPI1:FPO1"/>
    <mergeCell ref="FPP1:FPV1"/>
    <mergeCell ref="FPW1:FQC1"/>
    <mergeCell ref="FNL1:FNR1"/>
    <mergeCell ref="FNS1:FNY1"/>
    <mergeCell ref="FNZ1:FOF1"/>
    <mergeCell ref="FOG1:FOM1"/>
    <mergeCell ref="FON1:FOT1"/>
    <mergeCell ref="FWW1:FXC1"/>
    <mergeCell ref="FXD1:FXJ1"/>
    <mergeCell ref="FXK1:FXQ1"/>
    <mergeCell ref="FXR1:FXX1"/>
    <mergeCell ref="FXY1:FYE1"/>
    <mergeCell ref="FVN1:FVT1"/>
    <mergeCell ref="FVU1:FWA1"/>
    <mergeCell ref="FWB1:FWH1"/>
    <mergeCell ref="FWI1:FWO1"/>
    <mergeCell ref="FWP1:FWV1"/>
    <mergeCell ref="FUE1:FUK1"/>
    <mergeCell ref="FUL1:FUR1"/>
    <mergeCell ref="FUS1:FUY1"/>
    <mergeCell ref="FUZ1:FVF1"/>
    <mergeCell ref="FVG1:FVM1"/>
    <mergeCell ref="FSV1:FTB1"/>
    <mergeCell ref="FTC1:FTI1"/>
    <mergeCell ref="FTJ1:FTP1"/>
    <mergeCell ref="FTQ1:FTW1"/>
    <mergeCell ref="FTX1:FUD1"/>
    <mergeCell ref="GCG1:GCM1"/>
    <mergeCell ref="GCN1:GCT1"/>
    <mergeCell ref="GCU1:GDA1"/>
    <mergeCell ref="GDB1:GDH1"/>
    <mergeCell ref="GDI1:GDO1"/>
    <mergeCell ref="GAX1:GBD1"/>
    <mergeCell ref="GBE1:GBK1"/>
    <mergeCell ref="GBL1:GBR1"/>
    <mergeCell ref="GBS1:GBY1"/>
    <mergeCell ref="GBZ1:GCF1"/>
    <mergeCell ref="FZO1:FZU1"/>
    <mergeCell ref="FZV1:GAB1"/>
    <mergeCell ref="GAC1:GAI1"/>
    <mergeCell ref="GAJ1:GAP1"/>
    <mergeCell ref="GAQ1:GAW1"/>
    <mergeCell ref="FYF1:FYL1"/>
    <mergeCell ref="FYM1:FYS1"/>
    <mergeCell ref="FYT1:FYZ1"/>
    <mergeCell ref="FZA1:FZG1"/>
    <mergeCell ref="FZH1:FZN1"/>
    <mergeCell ref="GHQ1:GHW1"/>
    <mergeCell ref="GHX1:GID1"/>
    <mergeCell ref="GIE1:GIK1"/>
    <mergeCell ref="GIL1:GIR1"/>
    <mergeCell ref="GIS1:GIY1"/>
    <mergeCell ref="GGH1:GGN1"/>
    <mergeCell ref="GGO1:GGU1"/>
    <mergeCell ref="GGV1:GHB1"/>
    <mergeCell ref="GHC1:GHI1"/>
    <mergeCell ref="GHJ1:GHP1"/>
    <mergeCell ref="GEY1:GFE1"/>
    <mergeCell ref="GFF1:GFL1"/>
    <mergeCell ref="GFM1:GFS1"/>
    <mergeCell ref="GFT1:GFZ1"/>
    <mergeCell ref="GGA1:GGG1"/>
    <mergeCell ref="GDP1:GDV1"/>
    <mergeCell ref="GDW1:GEC1"/>
    <mergeCell ref="GED1:GEJ1"/>
    <mergeCell ref="GEK1:GEQ1"/>
    <mergeCell ref="GER1:GEX1"/>
    <mergeCell ref="GNA1:GNG1"/>
    <mergeCell ref="GNH1:GNN1"/>
    <mergeCell ref="GNO1:GNU1"/>
    <mergeCell ref="GNV1:GOB1"/>
    <mergeCell ref="GOC1:GOI1"/>
    <mergeCell ref="GLR1:GLX1"/>
    <mergeCell ref="GLY1:GME1"/>
    <mergeCell ref="GMF1:GML1"/>
    <mergeCell ref="GMM1:GMS1"/>
    <mergeCell ref="GMT1:GMZ1"/>
    <mergeCell ref="GKI1:GKO1"/>
    <mergeCell ref="GKP1:GKV1"/>
    <mergeCell ref="GKW1:GLC1"/>
    <mergeCell ref="GLD1:GLJ1"/>
    <mergeCell ref="GLK1:GLQ1"/>
    <mergeCell ref="GIZ1:GJF1"/>
    <mergeCell ref="GJG1:GJM1"/>
    <mergeCell ref="GJN1:GJT1"/>
    <mergeCell ref="GJU1:GKA1"/>
    <mergeCell ref="GKB1:GKH1"/>
    <mergeCell ref="GSK1:GSQ1"/>
    <mergeCell ref="GSR1:GSX1"/>
    <mergeCell ref="GSY1:GTE1"/>
    <mergeCell ref="GTF1:GTL1"/>
    <mergeCell ref="GTM1:GTS1"/>
    <mergeCell ref="GRB1:GRH1"/>
    <mergeCell ref="GRI1:GRO1"/>
    <mergeCell ref="GRP1:GRV1"/>
    <mergeCell ref="GRW1:GSC1"/>
    <mergeCell ref="GSD1:GSJ1"/>
    <mergeCell ref="GPS1:GPY1"/>
    <mergeCell ref="GPZ1:GQF1"/>
    <mergeCell ref="GQG1:GQM1"/>
    <mergeCell ref="GQN1:GQT1"/>
    <mergeCell ref="GQU1:GRA1"/>
    <mergeCell ref="GOJ1:GOP1"/>
    <mergeCell ref="GOQ1:GOW1"/>
    <mergeCell ref="GOX1:GPD1"/>
    <mergeCell ref="GPE1:GPK1"/>
    <mergeCell ref="GPL1:GPR1"/>
    <mergeCell ref="GXU1:GYA1"/>
    <mergeCell ref="GYB1:GYH1"/>
    <mergeCell ref="GYI1:GYO1"/>
    <mergeCell ref="GYP1:GYV1"/>
    <mergeCell ref="GYW1:GZC1"/>
    <mergeCell ref="GWL1:GWR1"/>
    <mergeCell ref="GWS1:GWY1"/>
    <mergeCell ref="GWZ1:GXF1"/>
    <mergeCell ref="GXG1:GXM1"/>
    <mergeCell ref="GXN1:GXT1"/>
    <mergeCell ref="GVC1:GVI1"/>
    <mergeCell ref="GVJ1:GVP1"/>
    <mergeCell ref="GVQ1:GVW1"/>
    <mergeCell ref="GVX1:GWD1"/>
    <mergeCell ref="GWE1:GWK1"/>
    <mergeCell ref="GTT1:GTZ1"/>
    <mergeCell ref="GUA1:GUG1"/>
    <mergeCell ref="GUH1:GUN1"/>
    <mergeCell ref="GUO1:GUU1"/>
    <mergeCell ref="GUV1:GVB1"/>
    <mergeCell ref="HDE1:HDK1"/>
    <mergeCell ref="HDL1:HDR1"/>
    <mergeCell ref="HDS1:HDY1"/>
    <mergeCell ref="HDZ1:HEF1"/>
    <mergeCell ref="HEG1:HEM1"/>
    <mergeCell ref="HBV1:HCB1"/>
    <mergeCell ref="HCC1:HCI1"/>
    <mergeCell ref="HCJ1:HCP1"/>
    <mergeCell ref="HCQ1:HCW1"/>
    <mergeCell ref="HCX1:HDD1"/>
    <mergeCell ref="HAM1:HAS1"/>
    <mergeCell ref="HAT1:HAZ1"/>
    <mergeCell ref="HBA1:HBG1"/>
    <mergeCell ref="HBH1:HBN1"/>
    <mergeCell ref="HBO1:HBU1"/>
    <mergeCell ref="GZD1:GZJ1"/>
    <mergeCell ref="GZK1:GZQ1"/>
    <mergeCell ref="GZR1:GZX1"/>
    <mergeCell ref="GZY1:HAE1"/>
    <mergeCell ref="HAF1:HAL1"/>
    <mergeCell ref="HIO1:HIU1"/>
    <mergeCell ref="HIV1:HJB1"/>
    <mergeCell ref="HJC1:HJI1"/>
    <mergeCell ref="HJJ1:HJP1"/>
    <mergeCell ref="HJQ1:HJW1"/>
    <mergeCell ref="HHF1:HHL1"/>
    <mergeCell ref="HHM1:HHS1"/>
    <mergeCell ref="HHT1:HHZ1"/>
    <mergeCell ref="HIA1:HIG1"/>
    <mergeCell ref="HIH1:HIN1"/>
    <mergeCell ref="HFW1:HGC1"/>
    <mergeCell ref="HGD1:HGJ1"/>
    <mergeCell ref="HGK1:HGQ1"/>
    <mergeCell ref="HGR1:HGX1"/>
    <mergeCell ref="HGY1:HHE1"/>
    <mergeCell ref="HEN1:HET1"/>
    <mergeCell ref="HEU1:HFA1"/>
    <mergeCell ref="HFB1:HFH1"/>
    <mergeCell ref="HFI1:HFO1"/>
    <mergeCell ref="HFP1:HFV1"/>
    <mergeCell ref="HNY1:HOE1"/>
    <mergeCell ref="HOF1:HOL1"/>
    <mergeCell ref="HOM1:HOS1"/>
    <mergeCell ref="HOT1:HOZ1"/>
    <mergeCell ref="HPA1:HPG1"/>
    <mergeCell ref="HMP1:HMV1"/>
    <mergeCell ref="HMW1:HNC1"/>
    <mergeCell ref="HND1:HNJ1"/>
    <mergeCell ref="HNK1:HNQ1"/>
    <mergeCell ref="HNR1:HNX1"/>
    <mergeCell ref="HLG1:HLM1"/>
    <mergeCell ref="HLN1:HLT1"/>
    <mergeCell ref="HLU1:HMA1"/>
    <mergeCell ref="HMB1:HMH1"/>
    <mergeCell ref="HMI1:HMO1"/>
    <mergeCell ref="HJX1:HKD1"/>
    <mergeCell ref="HKE1:HKK1"/>
    <mergeCell ref="HKL1:HKR1"/>
    <mergeCell ref="HKS1:HKY1"/>
    <mergeCell ref="HKZ1:HLF1"/>
    <mergeCell ref="HTI1:HTO1"/>
    <mergeCell ref="HTP1:HTV1"/>
    <mergeCell ref="HTW1:HUC1"/>
    <mergeCell ref="HUD1:HUJ1"/>
    <mergeCell ref="HUK1:HUQ1"/>
    <mergeCell ref="HRZ1:HSF1"/>
    <mergeCell ref="HSG1:HSM1"/>
    <mergeCell ref="HSN1:HST1"/>
    <mergeCell ref="HSU1:HTA1"/>
    <mergeCell ref="HTB1:HTH1"/>
    <mergeCell ref="HQQ1:HQW1"/>
    <mergeCell ref="HQX1:HRD1"/>
    <mergeCell ref="HRE1:HRK1"/>
    <mergeCell ref="HRL1:HRR1"/>
    <mergeCell ref="HRS1:HRY1"/>
    <mergeCell ref="HPH1:HPN1"/>
    <mergeCell ref="HPO1:HPU1"/>
    <mergeCell ref="HPV1:HQB1"/>
    <mergeCell ref="HQC1:HQI1"/>
    <mergeCell ref="HQJ1:HQP1"/>
    <mergeCell ref="HYS1:HYY1"/>
    <mergeCell ref="HYZ1:HZF1"/>
    <mergeCell ref="HZG1:HZM1"/>
    <mergeCell ref="HZN1:HZT1"/>
    <mergeCell ref="HZU1:IAA1"/>
    <mergeCell ref="HXJ1:HXP1"/>
    <mergeCell ref="HXQ1:HXW1"/>
    <mergeCell ref="HXX1:HYD1"/>
    <mergeCell ref="HYE1:HYK1"/>
    <mergeCell ref="HYL1:HYR1"/>
    <mergeCell ref="HWA1:HWG1"/>
    <mergeCell ref="HWH1:HWN1"/>
    <mergeCell ref="HWO1:HWU1"/>
    <mergeCell ref="HWV1:HXB1"/>
    <mergeCell ref="HXC1:HXI1"/>
    <mergeCell ref="HUR1:HUX1"/>
    <mergeCell ref="HUY1:HVE1"/>
    <mergeCell ref="HVF1:HVL1"/>
    <mergeCell ref="HVM1:HVS1"/>
    <mergeCell ref="HVT1:HVZ1"/>
    <mergeCell ref="IEC1:IEI1"/>
    <mergeCell ref="IEJ1:IEP1"/>
    <mergeCell ref="IEQ1:IEW1"/>
    <mergeCell ref="IEX1:IFD1"/>
    <mergeCell ref="IFE1:IFK1"/>
    <mergeCell ref="ICT1:ICZ1"/>
    <mergeCell ref="IDA1:IDG1"/>
    <mergeCell ref="IDH1:IDN1"/>
    <mergeCell ref="IDO1:IDU1"/>
    <mergeCell ref="IDV1:IEB1"/>
    <mergeCell ref="IBK1:IBQ1"/>
    <mergeCell ref="IBR1:IBX1"/>
    <mergeCell ref="IBY1:ICE1"/>
    <mergeCell ref="ICF1:ICL1"/>
    <mergeCell ref="ICM1:ICS1"/>
    <mergeCell ref="IAB1:IAH1"/>
    <mergeCell ref="IAI1:IAO1"/>
    <mergeCell ref="IAP1:IAV1"/>
    <mergeCell ref="IAW1:IBC1"/>
    <mergeCell ref="IBD1:IBJ1"/>
    <mergeCell ref="IJM1:IJS1"/>
    <mergeCell ref="IJT1:IJZ1"/>
    <mergeCell ref="IKA1:IKG1"/>
    <mergeCell ref="IKH1:IKN1"/>
    <mergeCell ref="IKO1:IKU1"/>
    <mergeCell ref="IID1:IIJ1"/>
    <mergeCell ref="IIK1:IIQ1"/>
    <mergeCell ref="IIR1:IIX1"/>
    <mergeCell ref="IIY1:IJE1"/>
    <mergeCell ref="IJF1:IJL1"/>
    <mergeCell ref="IGU1:IHA1"/>
    <mergeCell ref="IHB1:IHH1"/>
    <mergeCell ref="IHI1:IHO1"/>
    <mergeCell ref="IHP1:IHV1"/>
    <mergeCell ref="IHW1:IIC1"/>
    <mergeCell ref="IFL1:IFR1"/>
    <mergeCell ref="IFS1:IFY1"/>
    <mergeCell ref="IFZ1:IGF1"/>
    <mergeCell ref="IGG1:IGM1"/>
    <mergeCell ref="IGN1:IGT1"/>
    <mergeCell ref="IOW1:IPC1"/>
    <mergeCell ref="IPD1:IPJ1"/>
    <mergeCell ref="IPK1:IPQ1"/>
    <mergeCell ref="IPR1:IPX1"/>
    <mergeCell ref="IPY1:IQE1"/>
    <mergeCell ref="INN1:INT1"/>
    <mergeCell ref="INU1:IOA1"/>
    <mergeCell ref="IOB1:IOH1"/>
    <mergeCell ref="IOI1:IOO1"/>
    <mergeCell ref="IOP1:IOV1"/>
    <mergeCell ref="IME1:IMK1"/>
    <mergeCell ref="IML1:IMR1"/>
    <mergeCell ref="IMS1:IMY1"/>
    <mergeCell ref="IMZ1:INF1"/>
    <mergeCell ref="ING1:INM1"/>
    <mergeCell ref="IKV1:ILB1"/>
    <mergeCell ref="ILC1:ILI1"/>
    <mergeCell ref="ILJ1:ILP1"/>
    <mergeCell ref="ILQ1:ILW1"/>
    <mergeCell ref="ILX1:IMD1"/>
    <mergeCell ref="IUG1:IUM1"/>
    <mergeCell ref="IUN1:IUT1"/>
    <mergeCell ref="IUU1:IVA1"/>
    <mergeCell ref="IVB1:IVH1"/>
    <mergeCell ref="IVI1:IVO1"/>
    <mergeCell ref="ISX1:ITD1"/>
    <mergeCell ref="ITE1:ITK1"/>
    <mergeCell ref="ITL1:ITR1"/>
    <mergeCell ref="ITS1:ITY1"/>
    <mergeCell ref="ITZ1:IUF1"/>
    <mergeCell ref="IRO1:IRU1"/>
    <mergeCell ref="IRV1:ISB1"/>
    <mergeCell ref="ISC1:ISI1"/>
    <mergeCell ref="ISJ1:ISP1"/>
    <mergeCell ref="ISQ1:ISW1"/>
    <mergeCell ref="IQF1:IQL1"/>
    <mergeCell ref="IQM1:IQS1"/>
    <mergeCell ref="IQT1:IQZ1"/>
    <mergeCell ref="IRA1:IRG1"/>
    <mergeCell ref="IRH1:IRN1"/>
    <mergeCell ref="IZQ1:IZW1"/>
    <mergeCell ref="IZX1:JAD1"/>
    <mergeCell ref="JAE1:JAK1"/>
    <mergeCell ref="JAL1:JAR1"/>
    <mergeCell ref="JAS1:JAY1"/>
    <mergeCell ref="IYH1:IYN1"/>
    <mergeCell ref="IYO1:IYU1"/>
    <mergeCell ref="IYV1:IZB1"/>
    <mergeCell ref="IZC1:IZI1"/>
    <mergeCell ref="IZJ1:IZP1"/>
    <mergeCell ref="IWY1:IXE1"/>
    <mergeCell ref="IXF1:IXL1"/>
    <mergeCell ref="IXM1:IXS1"/>
    <mergeCell ref="IXT1:IXZ1"/>
    <mergeCell ref="IYA1:IYG1"/>
    <mergeCell ref="IVP1:IVV1"/>
    <mergeCell ref="IVW1:IWC1"/>
    <mergeCell ref="IWD1:IWJ1"/>
    <mergeCell ref="IWK1:IWQ1"/>
    <mergeCell ref="IWR1:IWX1"/>
    <mergeCell ref="JFA1:JFG1"/>
    <mergeCell ref="JFH1:JFN1"/>
    <mergeCell ref="JFO1:JFU1"/>
    <mergeCell ref="JFV1:JGB1"/>
    <mergeCell ref="JGC1:JGI1"/>
    <mergeCell ref="JDR1:JDX1"/>
    <mergeCell ref="JDY1:JEE1"/>
    <mergeCell ref="JEF1:JEL1"/>
    <mergeCell ref="JEM1:JES1"/>
    <mergeCell ref="JET1:JEZ1"/>
    <mergeCell ref="JCI1:JCO1"/>
    <mergeCell ref="JCP1:JCV1"/>
    <mergeCell ref="JCW1:JDC1"/>
    <mergeCell ref="JDD1:JDJ1"/>
    <mergeCell ref="JDK1:JDQ1"/>
    <mergeCell ref="JAZ1:JBF1"/>
    <mergeCell ref="JBG1:JBM1"/>
    <mergeCell ref="JBN1:JBT1"/>
    <mergeCell ref="JBU1:JCA1"/>
    <mergeCell ref="JCB1:JCH1"/>
    <mergeCell ref="JKK1:JKQ1"/>
    <mergeCell ref="JKR1:JKX1"/>
    <mergeCell ref="JKY1:JLE1"/>
    <mergeCell ref="JLF1:JLL1"/>
    <mergeCell ref="JLM1:JLS1"/>
    <mergeCell ref="JJB1:JJH1"/>
    <mergeCell ref="JJI1:JJO1"/>
    <mergeCell ref="JJP1:JJV1"/>
    <mergeCell ref="JJW1:JKC1"/>
    <mergeCell ref="JKD1:JKJ1"/>
    <mergeCell ref="JHS1:JHY1"/>
    <mergeCell ref="JHZ1:JIF1"/>
    <mergeCell ref="JIG1:JIM1"/>
    <mergeCell ref="JIN1:JIT1"/>
    <mergeCell ref="JIU1:JJA1"/>
    <mergeCell ref="JGJ1:JGP1"/>
    <mergeCell ref="JGQ1:JGW1"/>
    <mergeCell ref="JGX1:JHD1"/>
    <mergeCell ref="JHE1:JHK1"/>
    <mergeCell ref="JHL1:JHR1"/>
    <mergeCell ref="JPU1:JQA1"/>
    <mergeCell ref="JQB1:JQH1"/>
    <mergeCell ref="JQI1:JQO1"/>
    <mergeCell ref="JQP1:JQV1"/>
    <mergeCell ref="JQW1:JRC1"/>
    <mergeCell ref="JOL1:JOR1"/>
    <mergeCell ref="JOS1:JOY1"/>
    <mergeCell ref="JOZ1:JPF1"/>
    <mergeCell ref="JPG1:JPM1"/>
    <mergeCell ref="JPN1:JPT1"/>
    <mergeCell ref="JNC1:JNI1"/>
    <mergeCell ref="JNJ1:JNP1"/>
    <mergeCell ref="JNQ1:JNW1"/>
    <mergeCell ref="JNX1:JOD1"/>
    <mergeCell ref="JOE1:JOK1"/>
    <mergeCell ref="JLT1:JLZ1"/>
    <mergeCell ref="JMA1:JMG1"/>
    <mergeCell ref="JMH1:JMN1"/>
    <mergeCell ref="JMO1:JMU1"/>
    <mergeCell ref="JMV1:JNB1"/>
    <mergeCell ref="JVE1:JVK1"/>
    <mergeCell ref="JVL1:JVR1"/>
    <mergeCell ref="JVS1:JVY1"/>
    <mergeCell ref="JVZ1:JWF1"/>
    <mergeCell ref="JWG1:JWM1"/>
    <mergeCell ref="JTV1:JUB1"/>
    <mergeCell ref="JUC1:JUI1"/>
    <mergeCell ref="JUJ1:JUP1"/>
    <mergeCell ref="JUQ1:JUW1"/>
    <mergeCell ref="JUX1:JVD1"/>
    <mergeCell ref="JSM1:JSS1"/>
    <mergeCell ref="JST1:JSZ1"/>
    <mergeCell ref="JTA1:JTG1"/>
    <mergeCell ref="JTH1:JTN1"/>
    <mergeCell ref="JTO1:JTU1"/>
    <mergeCell ref="JRD1:JRJ1"/>
    <mergeCell ref="JRK1:JRQ1"/>
    <mergeCell ref="JRR1:JRX1"/>
    <mergeCell ref="JRY1:JSE1"/>
    <mergeCell ref="JSF1:JSL1"/>
    <mergeCell ref="KAO1:KAU1"/>
    <mergeCell ref="KAV1:KBB1"/>
    <mergeCell ref="KBC1:KBI1"/>
    <mergeCell ref="KBJ1:KBP1"/>
    <mergeCell ref="KBQ1:KBW1"/>
    <mergeCell ref="JZF1:JZL1"/>
    <mergeCell ref="JZM1:JZS1"/>
    <mergeCell ref="JZT1:JZZ1"/>
    <mergeCell ref="KAA1:KAG1"/>
    <mergeCell ref="KAH1:KAN1"/>
    <mergeCell ref="JXW1:JYC1"/>
    <mergeCell ref="JYD1:JYJ1"/>
    <mergeCell ref="JYK1:JYQ1"/>
    <mergeCell ref="JYR1:JYX1"/>
    <mergeCell ref="JYY1:JZE1"/>
    <mergeCell ref="JWN1:JWT1"/>
    <mergeCell ref="JWU1:JXA1"/>
    <mergeCell ref="JXB1:JXH1"/>
    <mergeCell ref="JXI1:JXO1"/>
    <mergeCell ref="JXP1:JXV1"/>
    <mergeCell ref="KFY1:KGE1"/>
    <mergeCell ref="KGF1:KGL1"/>
    <mergeCell ref="KGM1:KGS1"/>
    <mergeCell ref="KGT1:KGZ1"/>
    <mergeCell ref="KHA1:KHG1"/>
    <mergeCell ref="KEP1:KEV1"/>
    <mergeCell ref="KEW1:KFC1"/>
    <mergeCell ref="KFD1:KFJ1"/>
    <mergeCell ref="KFK1:KFQ1"/>
    <mergeCell ref="KFR1:KFX1"/>
    <mergeCell ref="KDG1:KDM1"/>
    <mergeCell ref="KDN1:KDT1"/>
    <mergeCell ref="KDU1:KEA1"/>
    <mergeCell ref="KEB1:KEH1"/>
    <mergeCell ref="KEI1:KEO1"/>
    <mergeCell ref="KBX1:KCD1"/>
    <mergeCell ref="KCE1:KCK1"/>
    <mergeCell ref="KCL1:KCR1"/>
    <mergeCell ref="KCS1:KCY1"/>
    <mergeCell ref="KCZ1:KDF1"/>
    <mergeCell ref="KLI1:KLO1"/>
    <mergeCell ref="KLP1:KLV1"/>
    <mergeCell ref="KLW1:KMC1"/>
    <mergeCell ref="KMD1:KMJ1"/>
    <mergeCell ref="KMK1:KMQ1"/>
    <mergeCell ref="KJZ1:KKF1"/>
    <mergeCell ref="KKG1:KKM1"/>
    <mergeCell ref="KKN1:KKT1"/>
    <mergeCell ref="KKU1:KLA1"/>
    <mergeCell ref="KLB1:KLH1"/>
    <mergeCell ref="KIQ1:KIW1"/>
    <mergeCell ref="KIX1:KJD1"/>
    <mergeCell ref="KJE1:KJK1"/>
    <mergeCell ref="KJL1:KJR1"/>
    <mergeCell ref="KJS1:KJY1"/>
    <mergeCell ref="KHH1:KHN1"/>
    <mergeCell ref="KHO1:KHU1"/>
    <mergeCell ref="KHV1:KIB1"/>
    <mergeCell ref="KIC1:KII1"/>
    <mergeCell ref="KIJ1:KIP1"/>
    <mergeCell ref="KQS1:KQY1"/>
    <mergeCell ref="KQZ1:KRF1"/>
    <mergeCell ref="KRG1:KRM1"/>
    <mergeCell ref="KRN1:KRT1"/>
    <mergeCell ref="KRU1:KSA1"/>
    <mergeCell ref="KPJ1:KPP1"/>
    <mergeCell ref="KPQ1:KPW1"/>
    <mergeCell ref="KPX1:KQD1"/>
    <mergeCell ref="KQE1:KQK1"/>
    <mergeCell ref="KQL1:KQR1"/>
    <mergeCell ref="KOA1:KOG1"/>
    <mergeCell ref="KOH1:KON1"/>
    <mergeCell ref="KOO1:KOU1"/>
    <mergeCell ref="KOV1:KPB1"/>
    <mergeCell ref="KPC1:KPI1"/>
    <mergeCell ref="KMR1:KMX1"/>
    <mergeCell ref="KMY1:KNE1"/>
    <mergeCell ref="KNF1:KNL1"/>
    <mergeCell ref="KNM1:KNS1"/>
    <mergeCell ref="KNT1:KNZ1"/>
    <mergeCell ref="KWC1:KWI1"/>
    <mergeCell ref="KWJ1:KWP1"/>
    <mergeCell ref="KWQ1:KWW1"/>
    <mergeCell ref="KWX1:KXD1"/>
    <mergeCell ref="KXE1:KXK1"/>
    <mergeCell ref="KUT1:KUZ1"/>
    <mergeCell ref="KVA1:KVG1"/>
    <mergeCell ref="KVH1:KVN1"/>
    <mergeCell ref="KVO1:KVU1"/>
    <mergeCell ref="KVV1:KWB1"/>
    <mergeCell ref="KTK1:KTQ1"/>
    <mergeCell ref="KTR1:KTX1"/>
    <mergeCell ref="KTY1:KUE1"/>
    <mergeCell ref="KUF1:KUL1"/>
    <mergeCell ref="KUM1:KUS1"/>
    <mergeCell ref="KSB1:KSH1"/>
    <mergeCell ref="KSI1:KSO1"/>
    <mergeCell ref="KSP1:KSV1"/>
    <mergeCell ref="KSW1:KTC1"/>
    <mergeCell ref="KTD1:KTJ1"/>
    <mergeCell ref="LBM1:LBS1"/>
    <mergeCell ref="LBT1:LBZ1"/>
    <mergeCell ref="LCA1:LCG1"/>
    <mergeCell ref="LCH1:LCN1"/>
    <mergeCell ref="LCO1:LCU1"/>
    <mergeCell ref="LAD1:LAJ1"/>
    <mergeCell ref="LAK1:LAQ1"/>
    <mergeCell ref="LAR1:LAX1"/>
    <mergeCell ref="LAY1:LBE1"/>
    <mergeCell ref="LBF1:LBL1"/>
    <mergeCell ref="KYU1:KZA1"/>
    <mergeCell ref="KZB1:KZH1"/>
    <mergeCell ref="KZI1:KZO1"/>
    <mergeCell ref="KZP1:KZV1"/>
    <mergeCell ref="KZW1:LAC1"/>
    <mergeCell ref="KXL1:KXR1"/>
    <mergeCell ref="KXS1:KXY1"/>
    <mergeCell ref="KXZ1:KYF1"/>
    <mergeCell ref="KYG1:KYM1"/>
    <mergeCell ref="KYN1:KYT1"/>
    <mergeCell ref="LGW1:LHC1"/>
    <mergeCell ref="LHD1:LHJ1"/>
    <mergeCell ref="LHK1:LHQ1"/>
    <mergeCell ref="LHR1:LHX1"/>
    <mergeCell ref="LHY1:LIE1"/>
    <mergeCell ref="LFN1:LFT1"/>
    <mergeCell ref="LFU1:LGA1"/>
    <mergeCell ref="LGB1:LGH1"/>
    <mergeCell ref="LGI1:LGO1"/>
    <mergeCell ref="LGP1:LGV1"/>
    <mergeCell ref="LEE1:LEK1"/>
    <mergeCell ref="LEL1:LER1"/>
    <mergeCell ref="LES1:LEY1"/>
    <mergeCell ref="LEZ1:LFF1"/>
    <mergeCell ref="LFG1:LFM1"/>
    <mergeCell ref="LCV1:LDB1"/>
    <mergeCell ref="LDC1:LDI1"/>
    <mergeCell ref="LDJ1:LDP1"/>
    <mergeCell ref="LDQ1:LDW1"/>
    <mergeCell ref="LDX1:LED1"/>
    <mergeCell ref="LMG1:LMM1"/>
    <mergeCell ref="LMN1:LMT1"/>
    <mergeCell ref="LMU1:LNA1"/>
    <mergeCell ref="LNB1:LNH1"/>
    <mergeCell ref="LNI1:LNO1"/>
    <mergeCell ref="LKX1:LLD1"/>
    <mergeCell ref="LLE1:LLK1"/>
    <mergeCell ref="LLL1:LLR1"/>
    <mergeCell ref="LLS1:LLY1"/>
    <mergeCell ref="LLZ1:LMF1"/>
    <mergeCell ref="LJO1:LJU1"/>
    <mergeCell ref="LJV1:LKB1"/>
    <mergeCell ref="LKC1:LKI1"/>
    <mergeCell ref="LKJ1:LKP1"/>
    <mergeCell ref="LKQ1:LKW1"/>
    <mergeCell ref="LIF1:LIL1"/>
    <mergeCell ref="LIM1:LIS1"/>
    <mergeCell ref="LIT1:LIZ1"/>
    <mergeCell ref="LJA1:LJG1"/>
    <mergeCell ref="LJH1:LJN1"/>
    <mergeCell ref="LRQ1:LRW1"/>
    <mergeCell ref="LRX1:LSD1"/>
    <mergeCell ref="LSE1:LSK1"/>
    <mergeCell ref="LSL1:LSR1"/>
    <mergeCell ref="LSS1:LSY1"/>
    <mergeCell ref="LQH1:LQN1"/>
    <mergeCell ref="LQO1:LQU1"/>
    <mergeCell ref="LQV1:LRB1"/>
    <mergeCell ref="LRC1:LRI1"/>
    <mergeCell ref="LRJ1:LRP1"/>
    <mergeCell ref="LOY1:LPE1"/>
    <mergeCell ref="LPF1:LPL1"/>
    <mergeCell ref="LPM1:LPS1"/>
    <mergeCell ref="LPT1:LPZ1"/>
    <mergeCell ref="LQA1:LQG1"/>
    <mergeCell ref="LNP1:LNV1"/>
    <mergeCell ref="LNW1:LOC1"/>
    <mergeCell ref="LOD1:LOJ1"/>
    <mergeCell ref="LOK1:LOQ1"/>
    <mergeCell ref="LOR1:LOX1"/>
    <mergeCell ref="LXA1:LXG1"/>
    <mergeCell ref="LXH1:LXN1"/>
    <mergeCell ref="LXO1:LXU1"/>
    <mergeCell ref="LXV1:LYB1"/>
    <mergeCell ref="LYC1:LYI1"/>
    <mergeCell ref="LVR1:LVX1"/>
    <mergeCell ref="LVY1:LWE1"/>
    <mergeCell ref="LWF1:LWL1"/>
    <mergeCell ref="LWM1:LWS1"/>
    <mergeCell ref="LWT1:LWZ1"/>
    <mergeCell ref="LUI1:LUO1"/>
    <mergeCell ref="LUP1:LUV1"/>
    <mergeCell ref="LUW1:LVC1"/>
    <mergeCell ref="LVD1:LVJ1"/>
    <mergeCell ref="LVK1:LVQ1"/>
    <mergeCell ref="LSZ1:LTF1"/>
    <mergeCell ref="LTG1:LTM1"/>
    <mergeCell ref="LTN1:LTT1"/>
    <mergeCell ref="LTU1:LUA1"/>
    <mergeCell ref="LUB1:LUH1"/>
    <mergeCell ref="MCK1:MCQ1"/>
    <mergeCell ref="MCR1:MCX1"/>
    <mergeCell ref="MCY1:MDE1"/>
    <mergeCell ref="MDF1:MDL1"/>
    <mergeCell ref="MDM1:MDS1"/>
    <mergeCell ref="MBB1:MBH1"/>
    <mergeCell ref="MBI1:MBO1"/>
    <mergeCell ref="MBP1:MBV1"/>
    <mergeCell ref="MBW1:MCC1"/>
    <mergeCell ref="MCD1:MCJ1"/>
    <mergeCell ref="LZS1:LZY1"/>
    <mergeCell ref="LZZ1:MAF1"/>
    <mergeCell ref="MAG1:MAM1"/>
    <mergeCell ref="MAN1:MAT1"/>
    <mergeCell ref="MAU1:MBA1"/>
    <mergeCell ref="LYJ1:LYP1"/>
    <mergeCell ref="LYQ1:LYW1"/>
    <mergeCell ref="LYX1:LZD1"/>
    <mergeCell ref="LZE1:LZK1"/>
    <mergeCell ref="LZL1:LZR1"/>
    <mergeCell ref="MHU1:MIA1"/>
    <mergeCell ref="MIB1:MIH1"/>
    <mergeCell ref="MII1:MIO1"/>
    <mergeCell ref="MIP1:MIV1"/>
    <mergeCell ref="MIW1:MJC1"/>
    <mergeCell ref="MGL1:MGR1"/>
    <mergeCell ref="MGS1:MGY1"/>
    <mergeCell ref="MGZ1:MHF1"/>
    <mergeCell ref="MHG1:MHM1"/>
    <mergeCell ref="MHN1:MHT1"/>
    <mergeCell ref="MFC1:MFI1"/>
    <mergeCell ref="MFJ1:MFP1"/>
    <mergeCell ref="MFQ1:MFW1"/>
    <mergeCell ref="MFX1:MGD1"/>
    <mergeCell ref="MGE1:MGK1"/>
    <mergeCell ref="MDT1:MDZ1"/>
    <mergeCell ref="MEA1:MEG1"/>
    <mergeCell ref="MEH1:MEN1"/>
    <mergeCell ref="MEO1:MEU1"/>
    <mergeCell ref="MEV1:MFB1"/>
    <mergeCell ref="MNE1:MNK1"/>
    <mergeCell ref="MNL1:MNR1"/>
    <mergeCell ref="MNS1:MNY1"/>
    <mergeCell ref="MNZ1:MOF1"/>
    <mergeCell ref="MOG1:MOM1"/>
    <mergeCell ref="MLV1:MMB1"/>
    <mergeCell ref="MMC1:MMI1"/>
    <mergeCell ref="MMJ1:MMP1"/>
    <mergeCell ref="MMQ1:MMW1"/>
    <mergeCell ref="MMX1:MND1"/>
    <mergeCell ref="MKM1:MKS1"/>
    <mergeCell ref="MKT1:MKZ1"/>
    <mergeCell ref="MLA1:MLG1"/>
    <mergeCell ref="MLH1:MLN1"/>
    <mergeCell ref="MLO1:MLU1"/>
    <mergeCell ref="MJD1:MJJ1"/>
    <mergeCell ref="MJK1:MJQ1"/>
    <mergeCell ref="MJR1:MJX1"/>
    <mergeCell ref="MJY1:MKE1"/>
    <mergeCell ref="MKF1:MKL1"/>
    <mergeCell ref="MSO1:MSU1"/>
    <mergeCell ref="MSV1:MTB1"/>
    <mergeCell ref="MTC1:MTI1"/>
    <mergeCell ref="MTJ1:MTP1"/>
    <mergeCell ref="MTQ1:MTW1"/>
    <mergeCell ref="MRF1:MRL1"/>
    <mergeCell ref="MRM1:MRS1"/>
    <mergeCell ref="MRT1:MRZ1"/>
    <mergeCell ref="MSA1:MSG1"/>
    <mergeCell ref="MSH1:MSN1"/>
    <mergeCell ref="MPW1:MQC1"/>
    <mergeCell ref="MQD1:MQJ1"/>
    <mergeCell ref="MQK1:MQQ1"/>
    <mergeCell ref="MQR1:MQX1"/>
    <mergeCell ref="MQY1:MRE1"/>
    <mergeCell ref="MON1:MOT1"/>
    <mergeCell ref="MOU1:MPA1"/>
    <mergeCell ref="MPB1:MPH1"/>
    <mergeCell ref="MPI1:MPO1"/>
    <mergeCell ref="MPP1:MPV1"/>
    <mergeCell ref="MXY1:MYE1"/>
    <mergeCell ref="MYF1:MYL1"/>
    <mergeCell ref="MYM1:MYS1"/>
    <mergeCell ref="MYT1:MYZ1"/>
    <mergeCell ref="MZA1:MZG1"/>
    <mergeCell ref="MWP1:MWV1"/>
    <mergeCell ref="MWW1:MXC1"/>
    <mergeCell ref="MXD1:MXJ1"/>
    <mergeCell ref="MXK1:MXQ1"/>
    <mergeCell ref="MXR1:MXX1"/>
    <mergeCell ref="MVG1:MVM1"/>
    <mergeCell ref="MVN1:MVT1"/>
    <mergeCell ref="MVU1:MWA1"/>
    <mergeCell ref="MWB1:MWH1"/>
    <mergeCell ref="MWI1:MWO1"/>
    <mergeCell ref="MTX1:MUD1"/>
    <mergeCell ref="MUE1:MUK1"/>
    <mergeCell ref="MUL1:MUR1"/>
    <mergeCell ref="MUS1:MUY1"/>
    <mergeCell ref="MUZ1:MVF1"/>
    <mergeCell ref="NDI1:NDO1"/>
    <mergeCell ref="NDP1:NDV1"/>
    <mergeCell ref="NDW1:NEC1"/>
    <mergeCell ref="NED1:NEJ1"/>
    <mergeCell ref="NEK1:NEQ1"/>
    <mergeCell ref="NBZ1:NCF1"/>
    <mergeCell ref="NCG1:NCM1"/>
    <mergeCell ref="NCN1:NCT1"/>
    <mergeCell ref="NCU1:NDA1"/>
    <mergeCell ref="NDB1:NDH1"/>
    <mergeCell ref="NAQ1:NAW1"/>
    <mergeCell ref="NAX1:NBD1"/>
    <mergeCell ref="NBE1:NBK1"/>
    <mergeCell ref="NBL1:NBR1"/>
    <mergeCell ref="NBS1:NBY1"/>
    <mergeCell ref="MZH1:MZN1"/>
    <mergeCell ref="MZO1:MZU1"/>
    <mergeCell ref="MZV1:NAB1"/>
    <mergeCell ref="NAC1:NAI1"/>
    <mergeCell ref="NAJ1:NAP1"/>
    <mergeCell ref="NIS1:NIY1"/>
    <mergeCell ref="NIZ1:NJF1"/>
    <mergeCell ref="NJG1:NJM1"/>
    <mergeCell ref="NJN1:NJT1"/>
    <mergeCell ref="NJU1:NKA1"/>
    <mergeCell ref="NHJ1:NHP1"/>
    <mergeCell ref="NHQ1:NHW1"/>
    <mergeCell ref="NHX1:NID1"/>
    <mergeCell ref="NIE1:NIK1"/>
    <mergeCell ref="NIL1:NIR1"/>
    <mergeCell ref="NGA1:NGG1"/>
    <mergeCell ref="NGH1:NGN1"/>
    <mergeCell ref="NGO1:NGU1"/>
    <mergeCell ref="NGV1:NHB1"/>
    <mergeCell ref="NHC1:NHI1"/>
    <mergeCell ref="NER1:NEX1"/>
    <mergeCell ref="NEY1:NFE1"/>
    <mergeCell ref="NFF1:NFL1"/>
    <mergeCell ref="NFM1:NFS1"/>
    <mergeCell ref="NFT1:NFZ1"/>
    <mergeCell ref="NOC1:NOI1"/>
    <mergeCell ref="NOJ1:NOP1"/>
    <mergeCell ref="NOQ1:NOW1"/>
    <mergeCell ref="NOX1:NPD1"/>
    <mergeCell ref="NPE1:NPK1"/>
    <mergeCell ref="NMT1:NMZ1"/>
    <mergeCell ref="NNA1:NNG1"/>
    <mergeCell ref="NNH1:NNN1"/>
    <mergeCell ref="NNO1:NNU1"/>
    <mergeCell ref="NNV1:NOB1"/>
    <mergeCell ref="NLK1:NLQ1"/>
    <mergeCell ref="NLR1:NLX1"/>
    <mergeCell ref="NLY1:NME1"/>
    <mergeCell ref="NMF1:NML1"/>
    <mergeCell ref="NMM1:NMS1"/>
    <mergeCell ref="NKB1:NKH1"/>
    <mergeCell ref="NKI1:NKO1"/>
    <mergeCell ref="NKP1:NKV1"/>
    <mergeCell ref="NKW1:NLC1"/>
    <mergeCell ref="NLD1:NLJ1"/>
    <mergeCell ref="NTM1:NTS1"/>
    <mergeCell ref="NTT1:NTZ1"/>
    <mergeCell ref="NUA1:NUG1"/>
    <mergeCell ref="NUH1:NUN1"/>
    <mergeCell ref="NUO1:NUU1"/>
    <mergeCell ref="NSD1:NSJ1"/>
    <mergeCell ref="NSK1:NSQ1"/>
    <mergeCell ref="NSR1:NSX1"/>
    <mergeCell ref="NSY1:NTE1"/>
    <mergeCell ref="NTF1:NTL1"/>
    <mergeCell ref="NQU1:NRA1"/>
    <mergeCell ref="NRB1:NRH1"/>
    <mergeCell ref="NRI1:NRO1"/>
    <mergeCell ref="NRP1:NRV1"/>
    <mergeCell ref="NRW1:NSC1"/>
    <mergeCell ref="NPL1:NPR1"/>
    <mergeCell ref="NPS1:NPY1"/>
    <mergeCell ref="NPZ1:NQF1"/>
    <mergeCell ref="NQG1:NQM1"/>
    <mergeCell ref="NQN1:NQT1"/>
    <mergeCell ref="NYW1:NZC1"/>
    <mergeCell ref="NZD1:NZJ1"/>
    <mergeCell ref="NZK1:NZQ1"/>
    <mergeCell ref="NZR1:NZX1"/>
    <mergeCell ref="NZY1:OAE1"/>
    <mergeCell ref="NXN1:NXT1"/>
    <mergeCell ref="NXU1:NYA1"/>
    <mergeCell ref="NYB1:NYH1"/>
    <mergeCell ref="NYI1:NYO1"/>
    <mergeCell ref="NYP1:NYV1"/>
    <mergeCell ref="NWE1:NWK1"/>
    <mergeCell ref="NWL1:NWR1"/>
    <mergeCell ref="NWS1:NWY1"/>
    <mergeCell ref="NWZ1:NXF1"/>
    <mergeCell ref="NXG1:NXM1"/>
    <mergeCell ref="NUV1:NVB1"/>
    <mergeCell ref="NVC1:NVI1"/>
    <mergeCell ref="NVJ1:NVP1"/>
    <mergeCell ref="NVQ1:NVW1"/>
    <mergeCell ref="NVX1:NWD1"/>
    <mergeCell ref="OEG1:OEM1"/>
    <mergeCell ref="OEN1:OET1"/>
    <mergeCell ref="OEU1:OFA1"/>
    <mergeCell ref="OFB1:OFH1"/>
    <mergeCell ref="OFI1:OFO1"/>
    <mergeCell ref="OCX1:ODD1"/>
    <mergeCell ref="ODE1:ODK1"/>
    <mergeCell ref="ODL1:ODR1"/>
    <mergeCell ref="ODS1:ODY1"/>
    <mergeCell ref="ODZ1:OEF1"/>
    <mergeCell ref="OBO1:OBU1"/>
    <mergeCell ref="OBV1:OCB1"/>
    <mergeCell ref="OCC1:OCI1"/>
    <mergeCell ref="OCJ1:OCP1"/>
    <mergeCell ref="OCQ1:OCW1"/>
    <mergeCell ref="OAF1:OAL1"/>
    <mergeCell ref="OAM1:OAS1"/>
    <mergeCell ref="OAT1:OAZ1"/>
    <mergeCell ref="OBA1:OBG1"/>
    <mergeCell ref="OBH1:OBN1"/>
    <mergeCell ref="OJQ1:OJW1"/>
    <mergeCell ref="OJX1:OKD1"/>
    <mergeCell ref="OKE1:OKK1"/>
    <mergeCell ref="OKL1:OKR1"/>
    <mergeCell ref="OKS1:OKY1"/>
    <mergeCell ref="OIH1:OIN1"/>
    <mergeCell ref="OIO1:OIU1"/>
    <mergeCell ref="OIV1:OJB1"/>
    <mergeCell ref="OJC1:OJI1"/>
    <mergeCell ref="OJJ1:OJP1"/>
    <mergeCell ref="OGY1:OHE1"/>
    <mergeCell ref="OHF1:OHL1"/>
    <mergeCell ref="OHM1:OHS1"/>
    <mergeCell ref="OHT1:OHZ1"/>
    <mergeCell ref="OIA1:OIG1"/>
    <mergeCell ref="OFP1:OFV1"/>
    <mergeCell ref="OFW1:OGC1"/>
    <mergeCell ref="OGD1:OGJ1"/>
    <mergeCell ref="OGK1:OGQ1"/>
    <mergeCell ref="OGR1:OGX1"/>
    <mergeCell ref="OPA1:OPG1"/>
    <mergeCell ref="OPH1:OPN1"/>
    <mergeCell ref="OPO1:OPU1"/>
    <mergeCell ref="OPV1:OQB1"/>
    <mergeCell ref="OQC1:OQI1"/>
    <mergeCell ref="ONR1:ONX1"/>
    <mergeCell ref="ONY1:OOE1"/>
    <mergeCell ref="OOF1:OOL1"/>
    <mergeCell ref="OOM1:OOS1"/>
    <mergeCell ref="OOT1:OOZ1"/>
    <mergeCell ref="OMI1:OMO1"/>
    <mergeCell ref="OMP1:OMV1"/>
    <mergeCell ref="OMW1:ONC1"/>
    <mergeCell ref="OND1:ONJ1"/>
    <mergeCell ref="ONK1:ONQ1"/>
    <mergeCell ref="OKZ1:OLF1"/>
    <mergeCell ref="OLG1:OLM1"/>
    <mergeCell ref="OLN1:OLT1"/>
    <mergeCell ref="OLU1:OMA1"/>
    <mergeCell ref="OMB1:OMH1"/>
    <mergeCell ref="OUK1:OUQ1"/>
    <mergeCell ref="OUR1:OUX1"/>
    <mergeCell ref="OUY1:OVE1"/>
    <mergeCell ref="OVF1:OVL1"/>
    <mergeCell ref="OVM1:OVS1"/>
    <mergeCell ref="OTB1:OTH1"/>
    <mergeCell ref="OTI1:OTO1"/>
    <mergeCell ref="OTP1:OTV1"/>
    <mergeCell ref="OTW1:OUC1"/>
    <mergeCell ref="OUD1:OUJ1"/>
    <mergeCell ref="ORS1:ORY1"/>
    <mergeCell ref="ORZ1:OSF1"/>
    <mergeCell ref="OSG1:OSM1"/>
    <mergeCell ref="OSN1:OST1"/>
    <mergeCell ref="OSU1:OTA1"/>
    <mergeCell ref="OQJ1:OQP1"/>
    <mergeCell ref="OQQ1:OQW1"/>
    <mergeCell ref="OQX1:ORD1"/>
    <mergeCell ref="ORE1:ORK1"/>
    <mergeCell ref="ORL1:ORR1"/>
    <mergeCell ref="OZU1:PAA1"/>
    <mergeCell ref="PAB1:PAH1"/>
    <mergeCell ref="PAI1:PAO1"/>
    <mergeCell ref="PAP1:PAV1"/>
    <mergeCell ref="PAW1:PBC1"/>
    <mergeCell ref="OYL1:OYR1"/>
    <mergeCell ref="OYS1:OYY1"/>
    <mergeCell ref="OYZ1:OZF1"/>
    <mergeCell ref="OZG1:OZM1"/>
    <mergeCell ref="OZN1:OZT1"/>
    <mergeCell ref="OXC1:OXI1"/>
    <mergeCell ref="OXJ1:OXP1"/>
    <mergeCell ref="OXQ1:OXW1"/>
    <mergeCell ref="OXX1:OYD1"/>
    <mergeCell ref="OYE1:OYK1"/>
    <mergeCell ref="OVT1:OVZ1"/>
    <mergeCell ref="OWA1:OWG1"/>
    <mergeCell ref="OWH1:OWN1"/>
    <mergeCell ref="OWO1:OWU1"/>
    <mergeCell ref="OWV1:OXB1"/>
    <mergeCell ref="PFE1:PFK1"/>
    <mergeCell ref="PFL1:PFR1"/>
    <mergeCell ref="PFS1:PFY1"/>
    <mergeCell ref="PFZ1:PGF1"/>
    <mergeCell ref="PGG1:PGM1"/>
    <mergeCell ref="PDV1:PEB1"/>
    <mergeCell ref="PEC1:PEI1"/>
    <mergeCell ref="PEJ1:PEP1"/>
    <mergeCell ref="PEQ1:PEW1"/>
    <mergeCell ref="PEX1:PFD1"/>
    <mergeCell ref="PCM1:PCS1"/>
    <mergeCell ref="PCT1:PCZ1"/>
    <mergeCell ref="PDA1:PDG1"/>
    <mergeCell ref="PDH1:PDN1"/>
    <mergeCell ref="PDO1:PDU1"/>
    <mergeCell ref="PBD1:PBJ1"/>
    <mergeCell ref="PBK1:PBQ1"/>
    <mergeCell ref="PBR1:PBX1"/>
    <mergeCell ref="PBY1:PCE1"/>
    <mergeCell ref="PCF1:PCL1"/>
    <mergeCell ref="PKO1:PKU1"/>
    <mergeCell ref="PKV1:PLB1"/>
    <mergeCell ref="PLC1:PLI1"/>
    <mergeCell ref="PLJ1:PLP1"/>
    <mergeCell ref="PLQ1:PLW1"/>
    <mergeCell ref="PJF1:PJL1"/>
    <mergeCell ref="PJM1:PJS1"/>
    <mergeCell ref="PJT1:PJZ1"/>
    <mergeCell ref="PKA1:PKG1"/>
    <mergeCell ref="PKH1:PKN1"/>
    <mergeCell ref="PHW1:PIC1"/>
    <mergeCell ref="PID1:PIJ1"/>
    <mergeCell ref="PIK1:PIQ1"/>
    <mergeCell ref="PIR1:PIX1"/>
    <mergeCell ref="PIY1:PJE1"/>
    <mergeCell ref="PGN1:PGT1"/>
    <mergeCell ref="PGU1:PHA1"/>
    <mergeCell ref="PHB1:PHH1"/>
    <mergeCell ref="PHI1:PHO1"/>
    <mergeCell ref="PHP1:PHV1"/>
    <mergeCell ref="PPY1:PQE1"/>
    <mergeCell ref="PQF1:PQL1"/>
    <mergeCell ref="PQM1:PQS1"/>
    <mergeCell ref="PQT1:PQZ1"/>
    <mergeCell ref="PRA1:PRG1"/>
    <mergeCell ref="POP1:POV1"/>
    <mergeCell ref="POW1:PPC1"/>
    <mergeCell ref="PPD1:PPJ1"/>
    <mergeCell ref="PPK1:PPQ1"/>
    <mergeCell ref="PPR1:PPX1"/>
    <mergeCell ref="PNG1:PNM1"/>
    <mergeCell ref="PNN1:PNT1"/>
    <mergeCell ref="PNU1:POA1"/>
    <mergeCell ref="POB1:POH1"/>
    <mergeCell ref="POI1:POO1"/>
    <mergeCell ref="PLX1:PMD1"/>
    <mergeCell ref="PME1:PMK1"/>
    <mergeCell ref="PML1:PMR1"/>
    <mergeCell ref="PMS1:PMY1"/>
    <mergeCell ref="PMZ1:PNF1"/>
    <mergeCell ref="PVI1:PVO1"/>
    <mergeCell ref="PVP1:PVV1"/>
    <mergeCell ref="PVW1:PWC1"/>
    <mergeCell ref="PWD1:PWJ1"/>
    <mergeCell ref="PWK1:PWQ1"/>
    <mergeCell ref="PTZ1:PUF1"/>
    <mergeCell ref="PUG1:PUM1"/>
    <mergeCell ref="PUN1:PUT1"/>
    <mergeCell ref="PUU1:PVA1"/>
    <mergeCell ref="PVB1:PVH1"/>
    <mergeCell ref="PSQ1:PSW1"/>
    <mergeCell ref="PSX1:PTD1"/>
    <mergeCell ref="PTE1:PTK1"/>
    <mergeCell ref="PTL1:PTR1"/>
    <mergeCell ref="PTS1:PTY1"/>
    <mergeCell ref="PRH1:PRN1"/>
    <mergeCell ref="PRO1:PRU1"/>
    <mergeCell ref="PRV1:PSB1"/>
    <mergeCell ref="PSC1:PSI1"/>
    <mergeCell ref="PSJ1:PSP1"/>
    <mergeCell ref="QAS1:QAY1"/>
    <mergeCell ref="QAZ1:QBF1"/>
    <mergeCell ref="QBG1:QBM1"/>
    <mergeCell ref="QBN1:QBT1"/>
    <mergeCell ref="QBU1:QCA1"/>
    <mergeCell ref="PZJ1:PZP1"/>
    <mergeCell ref="PZQ1:PZW1"/>
    <mergeCell ref="PZX1:QAD1"/>
    <mergeCell ref="QAE1:QAK1"/>
    <mergeCell ref="QAL1:QAR1"/>
    <mergeCell ref="PYA1:PYG1"/>
    <mergeCell ref="PYH1:PYN1"/>
    <mergeCell ref="PYO1:PYU1"/>
    <mergeCell ref="PYV1:PZB1"/>
    <mergeCell ref="PZC1:PZI1"/>
    <mergeCell ref="PWR1:PWX1"/>
    <mergeCell ref="PWY1:PXE1"/>
    <mergeCell ref="PXF1:PXL1"/>
    <mergeCell ref="PXM1:PXS1"/>
    <mergeCell ref="PXT1:PXZ1"/>
    <mergeCell ref="QGC1:QGI1"/>
    <mergeCell ref="QGJ1:QGP1"/>
    <mergeCell ref="QGQ1:QGW1"/>
    <mergeCell ref="QGX1:QHD1"/>
    <mergeCell ref="QHE1:QHK1"/>
    <mergeCell ref="QET1:QEZ1"/>
    <mergeCell ref="QFA1:QFG1"/>
    <mergeCell ref="QFH1:QFN1"/>
    <mergeCell ref="QFO1:QFU1"/>
    <mergeCell ref="QFV1:QGB1"/>
    <mergeCell ref="QDK1:QDQ1"/>
    <mergeCell ref="QDR1:QDX1"/>
    <mergeCell ref="QDY1:QEE1"/>
    <mergeCell ref="QEF1:QEL1"/>
    <mergeCell ref="QEM1:QES1"/>
    <mergeCell ref="QCB1:QCH1"/>
    <mergeCell ref="QCI1:QCO1"/>
    <mergeCell ref="QCP1:QCV1"/>
    <mergeCell ref="QCW1:QDC1"/>
    <mergeCell ref="QDD1:QDJ1"/>
    <mergeCell ref="QLM1:QLS1"/>
    <mergeCell ref="QLT1:QLZ1"/>
    <mergeCell ref="QMA1:QMG1"/>
    <mergeCell ref="QMH1:QMN1"/>
    <mergeCell ref="QMO1:QMU1"/>
    <mergeCell ref="QKD1:QKJ1"/>
    <mergeCell ref="QKK1:QKQ1"/>
    <mergeCell ref="QKR1:QKX1"/>
    <mergeCell ref="QKY1:QLE1"/>
    <mergeCell ref="QLF1:QLL1"/>
    <mergeCell ref="QIU1:QJA1"/>
    <mergeCell ref="QJB1:QJH1"/>
    <mergeCell ref="QJI1:QJO1"/>
    <mergeCell ref="QJP1:QJV1"/>
    <mergeCell ref="QJW1:QKC1"/>
    <mergeCell ref="QHL1:QHR1"/>
    <mergeCell ref="QHS1:QHY1"/>
    <mergeCell ref="QHZ1:QIF1"/>
    <mergeCell ref="QIG1:QIM1"/>
    <mergeCell ref="QIN1:QIT1"/>
    <mergeCell ref="QQW1:QRC1"/>
    <mergeCell ref="QRD1:QRJ1"/>
    <mergeCell ref="QRK1:QRQ1"/>
    <mergeCell ref="QRR1:QRX1"/>
    <mergeCell ref="QRY1:QSE1"/>
    <mergeCell ref="QPN1:QPT1"/>
    <mergeCell ref="QPU1:QQA1"/>
    <mergeCell ref="QQB1:QQH1"/>
    <mergeCell ref="QQI1:QQO1"/>
    <mergeCell ref="QQP1:QQV1"/>
    <mergeCell ref="QOE1:QOK1"/>
    <mergeCell ref="QOL1:QOR1"/>
    <mergeCell ref="QOS1:QOY1"/>
    <mergeCell ref="QOZ1:QPF1"/>
    <mergeCell ref="QPG1:QPM1"/>
    <mergeCell ref="QMV1:QNB1"/>
    <mergeCell ref="QNC1:QNI1"/>
    <mergeCell ref="QNJ1:QNP1"/>
    <mergeCell ref="QNQ1:QNW1"/>
    <mergeCell ref="QNX1:QOD1"/>
    <mergeCell ref="QWG1:QWM1"/>
    <mergeCell ref="QWN1:QWT1"/>
    <mergeCell ref="QWU1:QXA1"/>
    <mergeCell ref="QXB1:QXH1"/>
    <mergeCell ref="QXI1:QXO1"/>
    <mergeCell ref="QUX1:QVD1"/>
    <mergeCell ref="QVE1:QVK1"/>
    <mergeCell ref="QVL1:QVR1"/>
    <mergeCell ref="QVS1:QVY1"/>
    <mergeCell ref="QVZ1:QWF1"/>
    <mergeCell ref="QTO1:QTU1"/>
    <mergeCell ref="QTV1:QUB1"/>
    <mergeCell ref="QUC1:QUI1"/>
    <mergeCell ref="QUJ1:QUP1"/>
    <mergeCell ref="QUQ1:QUW1"/>
    <mergeCell ref="QSF1:QSL1"/>
    <mergeCell ref="QSM1:QSS1"/>
    <mergeCell ref="QST1:QSZ1"/>
    <mergeCell ref="QTA1:QTG1"/>
    <mergeCell ref="QTH1:QTN1"/>
    <mergeCell ref="RBQ1:RBW1"/>
    <mergeCell ref="RBX1:RCD1"/>
    <mergeCell ref="RCE1:RCK1"/>
    <mergeCell ref="RCL1:RCR1"/>
    <mergeCell ref="RCS1:RCY1"/>
    <mergeCell ref="RAH1:RAN1"/>
    <mergeCell ref="RAO1:RAU1"/>
    <mergeCell ref="RAV1:RBB1"/>
    <mergeCell ref="RBC1:RBI1"/>
    <mergeCell ref="RBJ1:RBP1"/>
    <mergeCell ref="QYY1:QZE1"/>
    <mergeCell ref="QZF1:QZL1"/>
    <mergeCell ref="QZM1:QZS1"/>
    <mergeCell ref="QZT1:QZZ1"/>
    <mergeCell ref="RAA1:RAG1"/>
    <mergeCell ref="QXP1:QXV1"/>
    <mergeCell ref="QXW1:QYC1"/>
    <mergeCell ref="QYD1:QYJ1"/>
    <mergeCell ref="QYK1:QYQ1"/>
    <mergeCell ref="QYR1:QYX1"/>
    <mergeCell ref="RHA1:RHG1"/>
    <mergeCell ref="RHH1:RHN1"/>
    <mergeCell ref="RHO1:RHU1"/>
    <mergeCell ref="RHV1:RIB1"/>
    <mergeCell ref="RIC1:RII1"/>
    <mergeCell ref="RFR1:RFX1"/>
    <mergeCell ref="RFY1:RGE1"/>
    <mergeCell ref="RGF1:RGL1"/>
    <mergeCell ref="RGM1:RGS1"/>
    <mergeCell ref="RGT1:RGZ1"/>
    <mergeCell ref="REI1:REO1"/>
    <mergeCell ref="REP1:REV1"/>
    <mergeCell ref="REW1:RFC1"/>
    <mergeCell ref="RFD1:RFJ1"/>
    <mergeCell ref="RFK1:RFQ1"/>
    <mergeCell ref="RCZ1:RDF1"/>
    <mergeCell ref="RDG1:RDM1"/>
    <mergeCell ref="RDN1:RDT1"/>
    <mergeCell ref="RDU1:REA1"/>
    <mergeCell ref="REB1:REH1"/>
    <mergeCell ref="RMK1:RMQ1"/>
    <mergeCell ref="RMR1:RMX1"/>
    <mergeCell ref="RMY1:RNE1"/>
    <mergeCell ref="RNF1:RNL1"/>
    <mergeCell ref="RNM1:RNS1"/>
    <mergeCell ref="RLB1:RLH1"/>
    <mergeCell ref="RLI1:RLO1"/>
    <mergeCell ref="RLP1:RLV1"/>
    <mergeCell ref="RLW1:RMC1"/>
    <mergeCell ref="RMD1:RMJ1"/>
    <mergeCell ref="RJS1:RJY1"/>
    <mergeCell ref="RJZ1:RKF1"/>
    <mergeCell ref="RKG1:RKM1"/>
    <mergeCell ref="RKN1:RKT1"/>
    <mergeCell ref="RKU1:RLA1"/>
    <mergeCell ref="RIJ1:RIP1"/>
    <mergeCell ref="RIQ1:RIW1"/>
    <mergeCell ref="RIX1:RJD1"/>
    <mergeCell ref="RJE1:RJK1"/>
    <mergeCell ref="RJL1:RJR1"/>
    <mergeCell ref="RRU1:RSA1"/>
    <mergeCell ref="RSB1:RSH1"/>
    <mergeCell ref="RSI1:RSO1"/>
    <mergeCell ref="RSP1:RSV1"/>
    <mergeCell ref="RSW1:RTC1"/>
    <mergeCell ref="RQL1:RQR1"/>
    <mergeCell ref="RQS1:RQY1"/>
    <mergeCell ref="RQZ1:RRF1"/>
    <mergeCell ref="RRG1:RRM1"/>
    <mergeCell ref="RRN1:RRT1"/>
    <mergeCell ref="RPC1:RPI1"/>
    <mergeCell ref="RPJ1:RPP1"/>
    <mergeCell ref="RPQ1:RPW1"/>
    <mergeCell ref="RPX1:RQD1"/>
    <mergeCell ref="RQE1:RQK1"/>
    <mergeCell ref="RNT1:RNZ1"/>
    <mergeCell ref="ROA1:ROG1"/>
    <mergeCell ref="ROH1:RON1"/>
    <mergeCell ref="ROO1:ROU1"/>
    <mergeCell ref="ROV1:RPB1"/>
    <mergeCell ref="RXE1:RXK1"/>
    <mergeCell ref="RXL1:RXR1"/>
    <mergeCell ref="RXS1:RXY1"/>
    <mergeCell ref="RXZ1:RYF1"/>
    <mergeCell ref="RYG1:RYM1"/>
    <mergeCell ref="RVV1:RWB1"/>
    <mergeCell ref="RWC1:RWI1"/>
    <mergeCell ref="RWJ1:RWP1"/>
    <mergeCell ref="RWQ1:RWW1"/>
    <mergeCell ref="RWX1:RXD1"/>
    <mergeCell ref="RUM1:RUS1"/>
    <mergeCell ref="RUT1:RUZ1"/>
    <mergeCell ref="RVA1:RVG1"/>
    <mergeCell ref="RVH1:RVN1"/>
    <mergeCell ref="RVO1:RVU1"/>
    <mergeCell ref="RTD1:RTJ1"/>
    <mergeCell ref="RTK1:RTQ1"/>
    <mergeCell ref="RTR1:RTX1"/>
    <mergeCell ref="RTY1:RUE1"/>
    <mergeCell ref="RUF1:RUL1"/>
    <mergeCell ref="SCO1:SCU1"/>
    <mergeCell ref="SCV1:SDB1"/>
    <mergeCell ref="SDC1:SDI1"/>
    <mergeCell ref="SDJ1:SDP1"/>
    <mergeCell ref="SDQ1:SDW1"/>
    <mergeCell ref="SBF1:SBL1"/>
    <mergeCell ref="SBM1:SBS1"/>
    <mergeCell ref="SBT1:SBZ1"/>
    <mergeCell ref="SCA1:SCG1"/>
    <mergeCell ref="SCH1:SCN1"/>
    <mergeCell ref="RZW1:SAC1"/>
    <mergeCell ref="SAD1:SAJ1"/>
    <mergeCell ref="SAK1:SAQ1"/>
    <mergeCell ref="SAR1:SAX1"/>
    <mergeCell ref="SAY1:SBE1"/>
    <mergeCell ref="RYN1:RYT1"/>
    <mergeCell ref="RYU1:RZA1"/>
    <mergeCell ref="RZB1:RZH1"/>
    <mergeCell ref="RZI1:RZO1"/>
    <mergeCell ref="RZP1:RZV1"/>
    <mergeCell ref="SHY1:SIE1"/>
    <mergeCell ref="SIF1:SIL1"/>
    <mergeCell ref="SIM1:SIS1"/>
    <mergeCell ref="SIT1:SIZ1"/>
    <mergeCell ref="SJA1:SJG1"/>
    <mergeCell ref="SGP1:SGV1"/>
    <mergeCell ref="SGW1:SHC1"/>
    <mergeCell ref="SHD1:SHJ1"/>
    <mergeCell ref="SHK1:SHQ1"/>
    <mergeCell ref="SHR1:SHX1"/>
    <mergeCell ref="SFG1:SFM1"/>
    <mergeCell ref="SFN1:SFT1"/>
    <mergeCell ref="SFU1:SGA1"/>
    <mergeCell ref="SGB1:SGH1"/>
    <mergeCell ref="SGI1:SGO1"/>
    <mergeCell ref="SDX1:SED1"/>
    <mergeCell ref="SEE1:SEK1"/>
    <mergeCell ref="SEL1:SER1"/>
    <mergeCell ref="SES1:SEY1"/>
    <mergeCell ref="SEZ1:SFF1"/>
    <mergeCell ref="SNI1:SNO1"/>
    <mergeCell ref="SNP1:SNV1"/>
    <mergeCell ref="SNW1:SOC1"/>
    <mergeCell ref="SOD1:SOJ1"/>
    <mergeCell ref="SOK1:SOQ1"/>
    <mergeCell ref="SLZ1:SMF1"/>
    <mergeCell ref="SMG1:SMM1"/>
    <mergeCell ref="SMN1:SMT1"/>
    <mergeCell ref="SMU1:SNA1"/>
    <mergeCell ref="SNB1:SNH1"/>
    <mergeCell ref="SKQ1:SKW1"/>
    <mergeCell ref="SKX1:SLD1"/>
    <mergeCell ref="SLE1:SLK1"/>
    <mergeCell ref="SLL1:SLR1"/>
    <mergeCell ref="SLS1:SLY1"/>
    <mergeCell ref="SJH1:SJN1"/>
    <mergeCell ref="SJO1:SJU1"/>
    <mergeCell ref="SJV1:SKB1"/>
    <mergeCell ref="SKC1:SKI1"/>
    <mergeCell ref="SKJ1:SKP1"/>
    <mergeCell ref="SSS1:SSY1"/>
    <mergeCell ref="SSZ1:STF1"/>
    <mergeCell ref="STG1:STM1"/>
    <mergeCell ref="STN1:STT1"/>
    <mergeCell ref="STU1:SUA1"/>
    <mergeCell ref="SRJ1:SRP1"/>
    <mergeCell ref="SRQ1:SRW1"/>
    <mergeCell ref="SRX1:SSD1"/>
    <mergeCell ref="SSE1:SSK1"/>
    <mergeCell ref="SSL1:SSR1"/>
    <mergeCell ref="SQA1:SQG1"/>
    <mergeCell ref="SQH1:SQN1"/>
    <mergeCell ref="SQO1:SQU1"/>
    <mergeCell ref="SQV1:SRB1"/>
    <mergeCell ref="SRC1:SRI1"/>
    <mergeCell ref="SOR1:SOX1"/>
    <mergeCell ref="SOY1:SPE1"/>
    <mergeCell ref="SPF1:SPL1"/>
    <mergeCell ref="SPM1:SPS1"/>
    <mergeCell ref="SPT1:SPZ1"/>
    <mergeCell ref="SYC1:SYI1"/>
    <mergeCell ref="SYJ1:SYP1"/>
    <mergeCell ref="SYQ1:SYW1"/>
    <mergeCell ref="SYX1:SZD1"/>
    <mergeCell ref="SZE1:SZK1"/>
    <mergeCell ref="SWT1:SWZ1"/>
    <mergeCell ref="SXA1:SXG1"/>
    <mergeCell ref="SXH1:SXN1"/>
    <mergeCell ref="SXO1:SXU1"/>
    <mergeCell ref="SXV1:SYB1"/>
    <mergeCell ref="SVK1:SVQ1"/>
    <mergeCell ref="SVR1:SVX1"/>
    <mergeCell ref="SVY1:SWE1"/>
    <mergeCell ref="SWF1:SWL1"/>
    <mergeCell ref="SWM1:SWS1"/>
    <mergeCell ref="SUB1:SUH1"/>
    <mergeCell ref="SUI1:SUO1"/>
    <mergeCell ref="SUP1:SUV1"/>
    <mergeCell ref="SUW1:SVC1"/>
    <mergeCell ref="SVD1:SVJ1"/>
    <mergeCell ref="TDM1:TDS1"/>
    <mergeCell ref="TDT1:TDZ1"/>
    <mergeCell ref="TEA1:TEG1"/>
    <mergeCell ref="TEH1:TEN1"/>
    <mergeCell ref="TEO1:TEU1"/>
    <mergeCell ref="TCD1:TCJ1"/>
    <mergeCell ref="TCK1:TCQ1"/>
    <mergeCell ref="TCR1:TCX1"/>
    <mergeCell ref="TCY1:TDE1"/>
    <mergeCell ref="TDF1:TDL1"/>
    <mergeCell ref="TAU1:TBA1"/>
    <mergeCell ref="TBB1:TBH1"/>
    <mergeCell ref="TBI1:TBO1"/>
    <mergeCell ref="TBP1:TBV1"/>
    <mergeCell ref="TBW1:TCC1"/>
    <mergeCell ref="SZL1:SZR1"/>
    <mergeCell ref="SZS1:SZY1"/>
    <mergeCell ref="SZZ1:TAF1"/>
    <mergeCell ref="TAG1:TAM1"/>
    <mergeCell ref="TAN1:TAT1"/>
    <mergeCell ref="TIW1:TJC1"/>
    <mergeCell ref="TJD1:TJJ1"/>
    <mergeCell ref="TJK1:TJQ1"/>
    <mergeCell ref="TJR1:TJX1"/>
    <mergeCell ref="TJY1:TKE1"/>
    <mergeCell ref="THN1:THT1"/>
    <mergeCell ref="THU1:TIA1"/>
    <mergeCell ref="TIB1:TIH1"/>
    <mergeCell ref="TII1:TIO1"/>
    <mergeCell ref="TIP1:TIV1"/>
    <mergeCell ref="TGE1:TGK1"/>
    <mergeCell ref="TGL1:TGR1"/>
    <mergeCell ref="TGS1:TGY1"/>
    <mergeCell ref="TGZ1:THF1"/>
    <mergeCell ref="THG1:THM1"/>
    <mergeCell ref="TEV1:TFB1"/>
    <mergeCell ref="TFC1:TFI1"/>
    <mergeCell ref="TFJ1:TFP1"/>
    <mergeCell ref="TFQ1:TFW1"/>
    <mergeCell ref="TFX1:TGD1"/>
    <mergeCell ref="TOG1:TOM1"/>
    <mergeCell ref="TON1:TOT1"/>
    <mergeCell ref="TOU1:TPA1"/>
    <mergeCell ref="TPB1:TPH1"/>
    <mergeCell ref="TPI1:TPO1"/>
    <mergeCell ref="TMX1:TND1"/>
    <mergeCell ref="TNE1:TNK1"/>
    <mergeCell ref="TNL1:TNR1"/>
    <mergeCell ref="TNS1:TNY1"/>
    <mergeCell ref="TNZ1:TOF1"/>
    <mergeCell ref="TLO1:TLU1"/>
    <mergeCell ref="TLV1:TMB1"/>
    <mergeCell ref="TMC1:TMI1"/>
    <mergeCell ref="TMJ1:TMP1"/>
    <mergeCell ref="TMQ1:TMW1"/>
    <mergeCell ref="TKF1:TKL1"/>
    <mergeCell ref="TKM1:TKS1"/>
    <mergeCell ref="TKT1:TKZ1"/>
    <mergeCell ref="TLA1:TLG1"/>
    <mergeCell ref="TLH1:TLN1"/>
    <mergeCell ref="TTQ1:TTW1"/>
    <mergeCell ref="TTX1:TUD1"/>
    <mergeCell ref="TUE1:TUK1"/>
    <mergeCell ref="TUL1:TUR1"/>
    <mergeCell ref="TUS1:TUY1"/>
    <mergeCell ref="TSH1:TSN1"/>
    <mergeCell ref="TSO1:TSU1"/>
    <mergeCell ref="TSV1:TTB1"/>
    <mergeCell ref="TTC1:TTI1"/>
    <mergeCell ref="TTJ1:TTP1"/>
    <mergeCell ref="TQY1:TRE1"/>
    <mergeCell ref="TRF1:TRL1"/>
    <mergeCell ref="TRM1:TRS1"/>
    <mergeCell ref="TRT1:TRZ1"/>
    <mergeCell ref="TSA1:TSG1"/>
    <mergeCell ref="TPP1:TPV1"/>
    <mergeCell ref="TPW1:TQC1"/>
    <mergeCell ref="TQD1:TQJ1"/>
    <mergeCell ref="TQK1:TQQ1"/>
    <mergeCell ref="TQR1:TQX1"/>
    <mergeCell ref="TZA1:TZG1"/>
    <mergeCell ref="TZH1:TZN1"/>
    <mergeCell ref="TZO1:TZU1"/>
    <mergeCell ref="TZV1:UAB1"/>
    <mergeCell ref="UAC1:UAI1"/>
    <mergeCell ref="TXR1:TXX1"/>
    <mergeCell ref="TXY1:TYE1"/>
    <mergeCell ref="TYF1:TYL1"/>
    <mergeCell ref="TYM1:TYS1"/>
    <mergeCell ref="TYT1:TYZ1"/>
    <mergeCell ref="TWI1:TWO1"/>
    <mergeCell ref="TWP1:TWV1"/>
    <mergeCell ref="TWW1:TXC1"/>
    <mergeCell ref="TXD1:TXJ1"/>
    <mergeCell ref="TXK1:TXQ1"/>
    <mergeCell ref="TUZ1:TVF1"/>
    <mergeCell ref="TVG1:TVM1"/>
    <mergeCell ref="TVN1:TVT1"/>
    <mergeCell ref="TVU1:TWA1"/>
    <mergeCell ref="TWB1:TWH1"/>
    <mergeCell ref="UEK1:UEQ1"/>
    <mergeCell ref="UER1:UEX1"/>
    <mergeCell ref="UEY1:UFE1"/>
    <mergeCell ref="UFF1:UFL1"/>
    <mergeCell ref="UFM1:UFS1"/>
    <mergeCell ref="UDB1:UDH1"/>
    <mergeCell ref="UDI1:UDO1"/>
    <mergeCell ref="UDP1:UDV1"/>
    <mergeCell ref="UDW1:UEC1"/>
    <mergeCell ref="UED1:UEJ1"/>
    <mergeCell ref="UBS1:UBY1"/>
    <mergeCell ref="UBZ1:UCF1"/>
    <mergeCell ref="UCG1:UCM1"/>
    <mergeCell ref="UCN1:UCT1"/>
    <mergeCell ref="UCU1:UDA1"/>
    <mergeCell ref="UAJ1:UAP1"/>
    <mergeCell ref="UAQ1:UAW1"/>
    <mergeCell ref="UAX1:UBD1"/>
    <mergeCell ref="UBE1:UBK1"/>
    <mergeCell ref="UBL1:UBR1"/>
    <mergeCell ref="UJU1:UKA1"/>
    <mergeCell ref="UKB1:UKH1"/>
    <mergeCell ref="UKI1:UKO1"/>
    <mergeCell ref="UKP1:UKV1"/>
    <mergeCell ref="UKW1:ULC1"/>
    <mergeCell ref="UIL1:UIR1"/>
    <mergeCell ref="UIS1:UIY1"/>
    <mergeCell ref="UIZ1:UJF1"/>
    <mergeCell ref="UJG1:UJM1"/>
    <mergeCell ref="UJN1:UJT1"/>
    <mergeCell ref="UHC1:UHI1"/>
    <mergeCell ref="UHJ1:UHP1"/>
    <mergeCell ref="UHQ1:UHW1"/>
    <mergeCell ref="UHX1:UID1"/>
    <mergeCell ref="UIE1:UIK1"/>
    <mergeCell ref="UFT1:UFZ1"/>
    <mergeCell ref="UGA1:UGG1"/>
    <mergeCell ref="UGH1:UGN1"/>
    <mergeCell ref="UGO1:UGU1"/>
    <mergeCell ref="UGV1:UHB1"/>
    <mergeCell ref="UPE1:UPK1"/>
    <mergeCell ref="UPL1:UPR1"/>
    <mergeCell ref="UPS1:UPY1"/>
    <mergeCell ref="UPZ1:UQF1"/>
    <mergeCell ref="UQG1:UQM1"/>
    <mergeCell ref="UNV1:UOB1"/>
    <mergeCell ref="UOC1:UOI1"/>
    <mergeCell ref="UOJ1:UOP1"/>
    <mergeCell ref="UOQ1:UOW1"/>
    <mergeCell ref="UOX1:UPD1"/>
    <mergeCell ref="UMM1:UMS1"/>
    <mergeCell ref="UMT1:UMZ1"/>
    <mergeCell ref="UNA1:UNG1"/>
    <mergeCell ref="UNH1:UNN1"/>
    <mergeCell ref="UNO1:UNU1"/>
    <mergeCell ref="ULD1:ULJ1"/>
    <mergeCell ref="ULK1:ULQ1"/>
    <mergeCell ref="ULR1:ULX1"/>
    <mergeCell ref="ULY1:UME1"/>
    <mergeCell ref="UMF1:UML1"/>
    <mergeCell ref="UUO1:UUU1"/>
    <mergeCell ref="UUV1:UVB1"/>
    <mergeCell ref="UVC1:UVI1"/>
    <mergeCell ref="UVJ1:UVP1"/>
    <mergeCell ref="UVQ1:UVW1"/>
    <mergeCell ref="UTF1:UTL1"/>
    <mergeCell ref="UTM1:UTS1"/>
    <mergeCell ref="UTT1:UTZ1"/>
    <mergeCell ref="UUA1:UUG1"/>
    <mergeCell ref="UUH1:UUN1"/>
    <mergeCell ref="URW1:USC1"/>
    <mergeCell ref="USD1:USJ1"/>
    <mergeCell ref="USK1:USQ1"/>
    <mergeCell ref="USR1:USX1"/>
    <mergeCell ref="USY1:UTE1"/>
    <mergeCell ref="UQN1:UQT1"/>
    <mergeCell ref="UQU1:URA1"/>
    <mergeCell ref="URB1:URH1"/>
    <mergeCell ref="URI1:URO1"/>
    <mergeCell ref="URP1:URV1"/>
    <mergeCell ref="UZY1:VAE1"/>
    <mergeCell ref="VAF1:VAL1"/>
    <mergeCell ref="VAM1:VAS1"/>
    <mergeCell ref="VAT1:VAZ1"/>
    <mergeCell ref="VBA1:VBG1"/>
    <mergeCell ref="UYP1:UYV1"/>
    <mergeCell ref="UYW1:UZC1"/>
    <mergeCell ref="UZD1:UZJ1"/>
    <mergeCell ref="UZK1:UZQ1"/>
    <mergeCell ref="UZR1:UZX1"/>
    <mergeCell ref="UXG1:UXM1"/>
    <mergeCell ref="UXN1:UXT1"/>
    <mergeCell ref="UXU1:UYA1"/>
    <mergeCell ref="UYB1:UYH1"/>
    <mergeCell ref="UYI1:UYO1"/>
    <mergeCell ref="UVX1:UWD1"/>
    <mergeCell ref="UWE1:UWK1"/>
    <mergeCell ref="UWL1:UWR1"/>
    <mergeCell ref="UWS1:UWY1"/>
    <mergeCell ref="UWZ1:UXF1"/>
    <mergeCell ref="VFI1:VFO1"/>
    <mergeCell ref="VFP1:VFV1"/>
    <mergeCell ref="VFW1:VGC1"/>
    <mergeCell ref="VGD1:VGJ1"/>
    <mergeCell ref="VGK1:VGQ1"/>
    <mergeCell ref="VDZ1:VEF1"/>
    <mergeCell ref="VEG1:VEM1"/>
    <mergeCell ref="VEN1:VET1"/>
    <mergeCell ref="VEU1:VFA1"/>
    <mergeCell ref="VFB1:VFH1"/>
    <mergeCell ref="VCQ1:VCW1"/>
    <mergeCell ref="VCX1:VDD1"/>
    <mergeCell ref="VDE1:VDK1"/>
    <mergeCell ref="VDL1:VDR1"/>
    <mergeCell ref="VDS1:VDY1"/>
    <mergeCell ref="VBH1:VBN1"/>
    <mergeCell ref="VBO1:VBU1"/>
    <mergeCell ref="VBV1:VCB1"/>
    <mergeCell ref="VCC1:VCI1"/>
    <mergeCell ref="VCJ1:VCP1"/>
    <mergeCell ref="VKS1:VKY1"/>
    <mergeCell ref="VKZ1:VLF1"/>
    <mergeCell ref="VLG1:VLM1"/>
    <mergeCell ref="VLN1:VLT1"/>
    <mergeCell ref="VLU1:VMA1"/>
    <mergeCell ref="VJJ1:VJP1"/>
    <mergeCell ref="VJQ1:VJW1"/>
    <mergeCell ref="VJX1:VKD1"/>
    <mergeCell ref="VKE1:VKK1"/>
    <mergeCell ref="VKL1:VKR1"/>
    <mergeCell ref="VIA1:VIG1"/>
    <mergeCell ref="VIH1:VIN1"/>
    <mergeCell ref="VIO1:VIU1"/>
    <mergeCell ref="VIV1:VJB1"/>
    <mergeCell ref="VJC1:VJI1"/>
    <mergeCell ref="VGR1:VGX1"/>
    <mergeCell ref="VGY1:VHE1"/>
    <mergeCell ref="VHF1:VHL1"/>
    <mergeCell ref="VHM1:VHS1"/>
    <mergeCell ref="VHT1:VHZ1"/>
    <mergeCell ref="VQC1:VQI1"/>
    <mergeCell ref="VQJ1:VQP1"/>
    <mergeCell ref="VQQ1:VQW1"/>
    <mergeCell ref="VQX1:VRD1"/>
    <mergeCell ref="VRE1:VRK1"/>
    <mergeCell ref="VOT1:VOZ1"/>
    <mergeCell ref="VPA1:VPG1"/>
    <mergeCell ref="VPH1:VPN1"/>
    <mergeCell ref="VPO1:VPU1"/>
    <mergeCell ref="VPV1:VQB1"/>
    <mergeCell ref="VNK1:VNQ1"/>
    <mergeCell ref="VNR1:VNX1"/>
    <mergeCell ref="VNY1:VOE1"/>
    <mergeCell ref="VOF1:VOL1"/>
    <mergeCell ref="VOM1:VOS1"/>
    <mergeCell ref="VMB1:VMH1"/>
    <mergeCell ref="VMI1:VMO1"/>
    <mergeCell ref="VMP1:VMV1"/>
    <mergeCell ref="VMW1:VNC1"/>
    <mergeCell ref="VND1:VNJ1"/>
    <mergeCell ref="VVM1:VVS1"/>
    <mergeCell ref="VVT1:VVZ1"/>
    <mergeCell ref="VWA1:VWG1"/>
    <mergeCell ref="VWH1:VWN1"/>
    <mergeCell ref="VWO1:VWU1"/>
    <mergeCell ref="VUD1:VUJ1"/>
    <mergeCell ref="VUK1:VUQ1"/>
    <mergeCell ref="VUR1:VUX1"/>
    <mergeCell ref="VUY1:VVE1"/>
    <mergeCell ref="VVF1:VVL1"/>
    <mergeCell ref="VSU1:VTA1"/>
    <mergeCell ref="VTB1:VTH1"/>
    <mergeCell ref="VTI1:VTO1"/>
    <mergeCell ref="VTP1:VTV1"/>
    <mergeCell ref="VTW1:VUC1"/>
    <mergeCell ref="VRL1:VRR1"/>
    <mergeCell ref="VRS1:VRY1"/>
    <mergeCell ref="VRZ1:VSF1"/>
    <mergeCell ref="VSG1:VSM1"/>
    <mergeCell ref="VSN1:VST1"/>
    <mergeCell ref="WAW1:WBC1"/>
    <mergeCell ref="WBD1:WBJ1"/>
    <mergeCell ref="WBK1:WBQ1"/>
    <mergeCell ref="WBR1:WBX1"/>
    <mergeCell ref="WBY1:WCE1"/>
    <mergeCell ref="VZN1:VZT1"/>
    <mergeCell ref="VZU1:WAA1"/>
    <mergeCell ref="WAB1:WAH1"/>
    <mergeCell ref="WAI1:WAO1"/>
    <mergeCell ref="WAP1:WAV1"/>
    <mergeCell ref="VYE1:VYK1"/>
    <mergeCell ref="VYL1:VYR1"/>
    <mergeCell ref="VYS1:VYY1"/>
    <mergeCell ref="VYZ1:VZF1"/>
    <mergeCell ref="VZG1:VZM1"/>
    <mergeCell ref="VWV1:VXB1"/>
    <mergeCell ref="VXC1:VXI1"/>
    <mergeCell ref="VXJ1:VXP1"/>
    <mergeCell ref="VXQ1:VXW1"/>
    <mergeCell ref="VXX1:VYD1"/>
    <mergeCell ref="WGG1:WGM1"/>
    <mergeCell ref="WGN1:WGT1"/>
    <mergeCell ref="WGU1:WHA1"/>
    <mergeCell ref="WHB1:WHH1"/>
    <mergeCell ref="WHI1:WHO1"/>
    <mergeCell ref="WEX1:WFD1"/>
    <mergeCell ref="WFE1:WFK1"/>
    <mergeCell ref="WFL1:WFR1"/>
    <mergeCell ref="WFS1:WFY1"/>
    <mergeCell ref="WFZ1:WGF1"/>
    <mergeCell ref="WDO1:WDU1"/>
    <mergeCell ref="WDV1:WEB1"/>
    <mergeCell ref="WEC1:WEI1"/>
    <mergeCell ref="WEJ1:WEP1"/>
    <mergeCell ref="WEQ1:WEW1"/>
    <mergeCell ref="WCF1:WCL1"/>
    <mergeCell ref="WCM1:WCS1"/>
    <mergeCell ref="WCT1:WCZ1"/>
    <mergeCell ref="WDA1:WDG1"/>
    <mergeCell ref="WDH1:WDN1"/>
    <mergeCell ref="WLQ1:WLW1"/>
    <mergeCell ref="WLX1:WMD1"/>
    <mergeCell ref="WME1:WMK1"/>
    <mergeCell ref="WML1:WMR1"/>
    <mergeCell ref="WMS1:WMY1"/>
    <mergeCell ref="WKH1:WKN1"/>
    <mergeCell ref="WKO1:WKU1"/>
    <mergeCell ref="WKV1:WLB1"/>
    <mergeCell ref="WLC1:WLI1"/>
    <mergeCell ref="WLJ1:WLP1"/>
    <mergeCell ref="WIY1:WJE1"/>
    <mergeCell ref="WJF1:WJL1"/>
    <mergeCell ref="WJM1:WJS1"/>
    <mergeCell ref="WJT1:WJZ1"/>
    <mergeCell ref="WKA1:WKG1"/>
    <mergeCell ref="WHP1:WHV1"/>
    <mergeCell ref="WHW1:WIC1"/>
    <mergeCell ref="WID1:WIJ1"/>
    <mergeCell ref="WIK1:WIQ1"/>
    <mergeCell ref="WIR1:WIX1"/>
    <mergeCell ref="WRA1:WRG1"/>
    <mergeCell ref="WRH1:WRN1"/>
    <mergeCell ref="WRO1:WRU1"/>
    <mergeCell ref="WRV1:WSB1"/>
    <mergeCell ref="WSC1:WSI1"/>
    <mergeCell ref="WPR1:WPX1"/>
    <mergeCell ref="WPY1:WQE1"/>
    <mergeCell ref="WQF1:WQL1"/>
    <mergeCell ref="WQM1:WQS1"/>
    <mergeCell ref="WQT1:WQZ1"/>
    <mergeCell ref="WOI1:WOO1"/>
    <mergeCell ref="WOP1:WOV1"/>
    <mergeCell ref="WOW1:WPC1"/>
    <mergeCell ref="WPD1:WPJ1"/>
    <mergeCell ref="WPK1:WPQ1"/>
    <mergeCell ref="WMZ1:WNF1"/>
    <mergeCell ref="WNG1:WNM1"/>
    <mergeCell ref="WNN1:WNT1"/>
    <mergeCell ref="WNU1:WOA1"/>
    <mergeCell ref="WOB1:WOH1"/>
    <mergeCell ref="WWY1:WXE1"/>
    <mergeCell ref="WXF1:WXL1"/>
    <mergeCell ref="WXM1:WXS1"/>
    <mergeCell ref="WVB1:WVH1"/>
    <mergeCell ref="WVI1:WVO1"/>
    <mergeCell ref="WVP1:WVV1"/>
    <mergeCell ref="WVW1:WWC1"/>
    <mergeCell ref="WWD1:WWJ1"/>
    <mergeCell ref="WTS1:WTY1"/>
    <mergeCell ref="WTZ1:WUF1"/>
    <mergeCell ref="WUG1:WUM1"/>
    <mergeCell ref="WUN1:WUT1"/>
    <mergeCell ref="WUU1:WVA1"/>
    <mergeCell ref="WSJ1:WSP1"/>
    <mergeCell ref="WSQ1:WSW1"/>
    <mergeCell ref="WSX1:WTD1"/>
    <mergeCell ref="WTE1:WTK1"/>
    <mergeCell ref="WTL1:WTR1"/>
    <mergeCell ref="I7:I11"/>
    <mergeCell ref="XEM1:XES1"/>
    <mergeCell ref="XET1:XEZ1"/>
    <mergeCell ref="XFA1:XFD1"/>
    <mergeCell ref="A1:I1"/>
    <mergeCell ref="XDD1:XDJ1"/>
    <mergeCell ref="XDK1:XDQ1"/>
    <mergeCell ref="XDR1:XDX1"/>
    <mergeCell ref="XDY1:XEE1"/>
    <mergeCell ref="XEF1:XEL1"/>
    <mergeCell ref="XBU1:XCA1"/>
    <mergeCell ref="XCB1:XCH1"/>
    <mergeCell ref="XCI1:XCO1"/>
    <mergeCell ref="XCP1:XCV1"/>
    <mergeCell ref="XCW1:XDC1"/>
    <mergeCell ref="XAL1:XAR1"/>
    <mergeCell ref="XAS1:XAY1"/>
    <mergeCell ref="XAZ1:XBF1"/>
    <mergeCell ref="XBG1:XBM1"/>
    <mergeCell ref="XBN1:XBT1"/>
    <mergeCell ref="WZC1:WZI1"/>
    <mergeCell ref="WZJ1:WZP1"/>
    <mergeCell ref="WZQ1:WZW1"/>
    <mergeCell ref="WZX1:XAD1"/>
    <mergeCell ref="XAE1:XAK1"/>
    <mergeCell ref="WXT1:WXZ1"/>
    <mergeCell ref="WYA1:WYG1"/>
    <mergeCell ref="WYH1:WYN1"/>
    <mergeCell ref="WYO1:WYU1"/>
    <mergeCell ref="WYV1:WZB1"/>
    <mergeCell ref="WWK1:WWQ1"/>
    <mergeCell ref="WWR1:WWX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outlinePr summaryBelow="0"/>
  </sheetPr>
  <dimension ref="A1:O30"/>
  <sheetViews>
    <sheetView showGridLines="0" zoomScale="70" zoomScaleNormal="70" workbookViewId="0">
      <pane xSplit="4" ySplit="7" topLeftCell="E8" activePane="bottomRight" state="frozen"/>
      <selection activeCell="D9" sqref="D9"/>
      <selection pane="topRight" activeCell="D9" sqref="D9"/>
      <selection pane="bottomLeft" activeCell="D9" sqref="D9"/>
      <selection pane="bottomRight" activeCell="Y18" sqref="Y18"/>
    </sheetView>
  </sheetViews>
  <sheetFormatPr defaultColWidth="7" defaultRowHeight="14.4" outlineLevelRow="1" outlineLevelCol="1" x14ac:dyDescent="0.3"/>
  <cols>
    <col min="1" max="1" width="9.6640625" style="300" customWidth="1"/>
    <col min="2" max="2" width="10.88671875" style="300" customWidth="1"/>
    <col min="3" max="3" width="24.6640625" style="300" customWidth="1"/>
    <col min="4" max="4" width="11.21875" style="300" customWidth="1"/>
    <col min="5" max="9" width="10.21875" style="300" customWidth="1"/>
    <col min="10" max="13" width="10.21875" style="300" customWidth="1" outlineLevel="1"/>
    <col min="14" max="14" width="10.21875" style="300" customWidth="1"/>
    <col min="15" max="15" width="12" style="300" customWidth="1"/>
    <col min="16" max="16" width="7" style="300" customWidth="1"/>
    <col min="17" max="16384" width="7" style="300"/>
  </cols>
  <sheetData>
    <row r="1" spans="1:15" ht="54.75" customHeight="1" x14ac:dyDescent="0.5">
      <c r="A1" s="1171" t="s">
        <v>4038</v>
      </c>
      <c r="B1" s="1171"/>
      <c r="C1" s="1171"/>
      <c r="D1" s="1171"/>
      <c r="E1" s="1171"/>
      <c r="F1" s="1171"/>
      <c r="G1" s="1171"/>
      <c r="H1" s="1171"/>
      <c r="I1" s="1171"/>
      <c r="J1" s="1171"/>
      <c r="K1" s="1171"/>
      <c r="L1" s="1171"/>
      <c r="M1" s="1171"/>
      <c r="N1" s="1171"/>
      <c r="O1" s="1171"/>
    </row>
    <row r="2" spans="1:15" ht="15" thickBot="1" x14ac:dyDescent="0.35">
      <c r="A2" s="299"/>
      <c r="B2" s="299"/>
      <c r="C2" s="299"/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299"/>
      <c r="O2" s="299"/>
    </row>
    <row r="3" spans="1:15" s="312" customFormat="1" ht="24" customHeight="1" thickBot="1" x14ac:dyDescent="0.35">
      <c r="A3" s="1172" t="s">
        <v>3320</v>
      </c>
      <c r="B3" s="1173"/>
      <c r="C3" s="1173"/>
      <c r="D3" s="1164" t="s">
        <v>3321</v>
      </c>
      <c r="E3" s="1164" t="s">
        <v>3349</v>
      </c>
      <c r="F3" s="886"/>
      <c r="G3" s="886"/>
      <c r="H3" s="1172" t="s">
        <v>3322</v>
      </c>
      <c r="I3" s="1178" t="s">
        <v>3323</v>
      </c>
      <c r="J3" s="1172" t="s">
        <v>3324</v>
      </c>
      <c r="K3" s="1173"/>
      <c r="L3" s="1173"/>
      <c r="M3" s="1181"/>
      <c r="N3" s="1178" t="s">
        <v>3325</v>
      </c>
      <c r="O3" s="1178" t="s">
        <v>3326</v>
      </c>
    </row>
    <row r="4" spans="1:15" s="312" customFormat="1" ht="47.25" customHeight="1" thickBot="1" x14ac:dyDescent="0.35">
      <c r="A4" s="1174"/>
      <c r="B4" s="1175"/>
      <c r="C4" s="1175"/>
      <c r="D4" s="1165"/>
      <c r="E4" s="1165"/>
      <c r="F4" s="1188" t="s">
        <v>3327</v>
      </c>
      <c r="G4" s="1165" t="s">
        <v>3328</v>
      </c>
      <c r="H4" s="1174"/>
      <c r="I4" s="1179"/>
      <c r="J4" s="1159" t="s">
        <v>3329</v>
      </c>
      <c r="K4" s="1160"/>
      <c r="L4" s="1159" t="s">
        <v>3330</v>
      </c>
      <c r="M4" s="1160"/>
      <c r="N4" s="1179"/>
      <c r="O4" s="1182"/>
    </row>
    <row r="5" spans="1:15" s="312" customFormat="1" ht="51.75" customHeight="1" x14ac:dyDescent="0.3">
      <c r="A5" s="1174"/>
      <c r="B5" s="1175"/>
      <c r="C5" s="1175"/>
      <c r="D5" s="1166" t="s">
        <v>3331</v>
      </c>
      <c r="E5" s="1169" t="s">
        <v>3332</v>
      </c>
      <c r="F5" s="1188"/>
      <c r="G5" s="1165"/>
      <c r="H5" s="1174"/>
      <c r="I5" s="1180"/>
      <c r="J5" s="1184" t="s">
        <v>3333</v>
      </c>
      <c r="K5" s="1186" t="s">
        <v>3334</v>
      </c>
      <c r="L5" s="1184" t="s">
        <v>3333</v>
      </c>
      <c r="M5" s="1186" t="s">
        <v>3334</v>
      </c>
      <c r="N5" s="1179"/>
      <c r="O5" s="1183" t="s">
        <v>3335</v>
      </c>
    </row>
    <row r="6" spans="1:15" s="312" customFormat="1" ht="16.5" customHeight="1" x14ac:dyDescent="0.3">
      <c r="A6" s="1176"/>
      <c r="B6" s="1177"/>
      <c r="C6" s="1177"/>
      <c r="D6" s="1167"/>
      <c r="E6" s="1170"/>
      <c r="F6" s="1188"/>
      <c r="G6" s="1165"/>
      <c r="H6" s="1174"/>
      <c r="I6" s="1180"/>
      <c r="J6" s="1185"/>
      <c r="K6" s="1187"/>
      <c r="L6" s="1185"/>
      <c r="M6" s="1187"/>
      <c r="N6" s="1179"/>
      <c r="O6" s="1182"/>
    </row>
    <row r="7" spans="1:15" s="312" customFormat="1" ht="25.5" customHeight="1" thickBot="1" x14ac:dyDescent="0.35">
      <c r="A7" s="313" t="s">
        <v>3336</v>
      </c>
      <c r="B7" s="314" t="s">
        <v>3337</v>
      </c>
      <c r="C7" s="315" t="s">
        <v>141</v>
      </c>
      <c r="D7" s="1168"/>
      <c r="E7" s="316" t="s">
        <v>55</v>
      </c>
      <c r="F7" s="317" t="s">
        <v>57</v>
      </c>
      <c r="G7" s="318" t="s">
        <v>58</v>
      </c>
      <c r="H7" s="318" t="s">
        <v>59</v>
      </c>
      <c r="I7" s="319" t="s">
        <v>3338</v>
      </c>
      <c r="J7" s="318" t="s">
        <v>3339</v>
      </c>
      <c r="K7" s="320" t="s">
        <v>3340</v>
      </c>
      <c r="L7" s="321" t="s">
        <v>3341</v>
      </c>
      <c r="M7" s="320" t="s">
        <v>3342</v>
      </c>
      <c r="N7" s="319" t="s">
        <v>3343</v>
      </c>
      <c r="O7" s="319" t="s">
        <v>3344</v>
      </c>
    </row>
    <row r="8" spans="1:15" ht="23.25" customHeight="1" thickBot="1" x14ac:dyDescent="0.35">
      <c r="A8" s="301" t="s">
        <v>3345</v>
      </c>
      <c r="D8" s="299"/>
      <c r="E8" s="299"/>
      <c r="F8" s="299"/>
      <c r="G8" s="299"/>
      <c r="H8" s="299"/>
      <c r="I8" s="299"/>
      <c r="J8" s="299"/>
      <c r="K8" s="299"/>
      <c r="L8" s="299"/>
      <c r="M8" s="299"/>
      <c r="N8" s="299"/>
      <c r="O8" s="299"/>
    </row>
    <row r="9" spans="1:15" ht="41.4" outlineLevel="1" x14ac:dyDescent="0.3">
      <c r="A9" s="303" t="s">
        <v>4361</v>
      </c>
      <c r="B9" s="304" t="s">
        <v>4023</v>
      </c>
      <c r="C9" s="305" t="s">
        <v>4362</v>
      </c>
      <c r="D9" s="345" t="s">
        <v>4257</v>
      </c>
      <c r="E9" s="322">
        <v>54724</v>
      </c>
      <c r="F9" s="322">
        <v>0</v>
      </c>
      <c r="G9" s="323">
        <v>0</v>
      </c>
      <c r="H9" s="323">
        <v>0</v>
      </c>
      <c r="I9" s="338">
        <f>+E9+F9+G9+H9</f>
        <v>54724</v>
      </c>
      <c r="J9" s="324">
        <v>0</v>
      </c>
      <c r="K9" s="325">
        <v>0</v>
      </c>
      <c r="L9" s="324">
        <v>0</v>
      </c>
      <c r="M9" s="325">
        <v>54724</v>
      </c>
      <c r="N9" s="341">
        <f>SUM(J9:M9)</f>
        <v>54724</v>
      </c>
      <c r="O9" s="338">
        <f>I9-N9</f>
        <v>0</v>
      </c>
    </row>
    <row r="10" spans="1:15" ht="41.4" outlineLevel="1" x14ac:dyDescent="0.3">
      <c r="A10" s="306" t="s">
        <v>4363</v>
      </c>
      <c r="B10" s="307" t="s">
        <v>4023</v>
      </c>
      <c r="C10" s="308" t="s">
        <v>4364</v>
      </c>
      <c r="D10" s="346" t="s">
        <v>4257</v>
      </c>
      <c r="E10" s="326">
        <v>2420000</v>
      </c>
      <c r="F10" s="326">
        <v>0</v>
      </c>
      <c r="G10" s="327">
        <v>0</v>
      </c>
      <c r="H10" s="327">
        <v>0</v>
      </c>
      <c r="I10" s="339">
        <f>+E10+F10+G10+H10</f>
        <v>2420000</v>
      </c>
      <c r="J10" s="328"/>
      <c r="K10" s="329"/>
      <c r="L10" s="328">
        <v>32974</v>
      </c>
      <c r="M10" s="329">
        <v>2387026</v>
      </c>
      <c r="N10" s="342">
        <f t="shared" ref="N10:N14" si="0">SUM(J10:M10)</f>
        <v>2420000</v>
      </c>
      <c r="O10" s="339">
        <f t="shared" ref="O10:O14" si="1">I10-N10</f>
        <v>0</v>
      </c>
    </row>
    <row r="11" spans="1:15" ht="27.6" outlineLevel="1" x14ac:dyDescent="0.3">
      <c r="A11" s="306" t="s">
        <v>4365</v>
      </c>
      <c r="B11" s="306" t="s">
        <v>4005</v>
      </c>
      <c r="C11" s="995" t="s">
        <v>4366</v>
      </c>
      <c r="D11" s="346" t="s">
        <v>4257</v>
      </c>
      <c r="E11" s="326">
        <v>290419</v>
      </c>
      <c r="F11" s="326"/>
      <c r="G11" s="327"/>
      <c r="H11" s="327"/>
      <c r="I11" s="339">
        <f>+E11+F11+G11+H11</f>
        <v>290419</v>
      </c>
      <c r="J11" s="328"/>
      <c r="K11" s="329"/>
      <c r="L11" s="328"/>
      <c r="M11" s="329">
        <v>290419</v>
      </c>
      <c r="N11" s="342">
        <f t="shared" si="0"/>
        <v>290419</v>
      </c>
      <c r="O11" s="339">
        <f t="shared" si="1"/>
        <v>0</v>
      </c>
    </row>
    <row r="12" spans="1:15" ht="27.6" outlineLevel="1" x14ac:dyDescent="0.3">
      <c r="A12" s="306" t="s">
        <v>3605</v>
      </c>
      <c r="B12" s="306" t="s">
        <v>3687</v>
      </c>
      <c r="C12" s="995" t="s">
        <v>4263</v>
      </c>
      <c r="D12" s="346" t="s">
        <v>4257</v>
      </c>
      <c r="E12" s="996"/>
      <c r="F12" s="326"/>
      <c r="G12" s="327"/>
      <c r="H12" s="327"/>
      <c r="I12" s="339">
        <f t="shared" ref="I12:I15" si="2">+E12+F12+G12+H12</f>
        <v>0</v>
      </c>
      <c r="J12" s="328"/>
      <c r="K12" s="329"/>
      <c r="L12" s="882">
        <v>2499835.7999999998</v>
      </c>
      <c r="M12" s="329"/>
      <c r="N12" s="342">
        <f t="shared" si="0"/>
        <v>2499835.7999999998</v>
      </c>
      <c r="O12" s="339">
        <f t="shared" si="1"/>
        <v>-2499835.7999999998</v>
      </c>
    </row>
    <row r="13" spans="1:15" ht="27.6" outlineLevel="1" x14ac:dyDescent="0.3">
      <c r="A13" s="306" t="s">
        <v>4266</v>
      </c>
      <c r="B13" s="306" t="s">
        <v>3687</v>
      </c>
      <c r="C13" s="995" t="s">
        <v>4264</v>
      </c>
      <c r="D13" s="346" t="s">
        <v>4257</v>
      </c>
      <c r="E13" s="996"/>
      <c r="F13" s="326"/>
      <c r="G13" s="327"/>
      <c r="H13" s="327"/>
      <c r="I13" s="339">
        <f t="shared" si="2"/>
        <v>0</v>
      </c>
      <c r="J13" s="328"/>
      <c r="K13" s="329"/>
      <c r="L13" s="882">
        <v>1652989.8</v>
      </c>
      <c r="M13" s="329"/>
      <c r="N13" s="342">
        <f t="shared" si="0"/>
        <v>1652989.8</v>
      </c>
      <c r="O13" s="339">
        <f t="shared" si="1"/>
        <v>-1652989.8</v>
      </c>
    </row>
    <row r="14" spans="1:15" ht="28.2" outlineLevel="1" thickBot="1" x14ac:dyDescent="0.35">
      <c r="A14" s="306" t="s">
        <v>4267</v>
      </c>
      <c r="B14" s="306" t="s">
        <v>3687</v>
      </c>
      <c r="C14" s="995" t="s">
        <v>4265</v>
      </c>
      <c r="D14" s="346" t="s">
        <v>4257</v>
      </c>
      <c r="E14" s="996"/>
      <c r="F14" s="326"/>
      <c r="G14" s="327"/>
      <c r="H14" s="327"/>
      <c r="I14" s="339">
        <f t="shared" si="2"/>
        <v>0</v>
      </c>
      <c r="J14" s="328"/>
      <c r="K14" s="329"/>
      <c r="L14" s="985">
        <v>282975</v>
      </c>
      <c r="M14" s="329"/>
      <c r="N14" s="342">
        <f t="shared" si="0"/>
        <v>282975</v>
      </c>
      <c r="O14" s="339">
        <f t="shared" si="1"/>
        <v>-282975</v>
      </c>
    </row>
    <row r="15" spans="1:15" ht="15" thickBot="1" x14ac:dyDescent="0.35">
      <c r="A15" s="1161" t="s">
        <v>3346</v>
      </c>
      <c r="B15" s="1162"/>
      <c r="C15" s="1163"/>
      <c r="D15" s="334"/>
      <c r="E15" s="335">
        <f>SUM(E9:E14)</f>
        <v>2765143</v>
      </c>
      <c r="F15" s="335">
        <f>SUM(F9:F14)</f>
        <v>0</v>
      </c>
      <c r="G15" s="335">
        <f>SUM(G9:G14)</f>
        <v>0</v>
      </c>
      <c r="H15" s="335">
        <f>SUM(H9:H14)</f>
        <v>0</v>
      </c>
      <c r="I15" s="344">
        <f t="shared" si="2"/>
        <v>2765143</v>
      </c>
      <c r="J15" s="336">
        <f t="shared" ref="J15:O15" si="3">SUM(J9:J14)</f>
        <v>0</v>
      </c>
      <c r="K15" s="337">
        <f t="shared" si="3"/>
        <v>0</v>
      </c>
      <c r="L15" s="336">
        <f t="shared" si="3"/>
        <v>4468774.5999999996</v>
      </c>
      <c r="M15" s="337">
        <f t="shared" si="3"/>
        <v>2732169</v>
      </c>
      <c r="N15" s="344">
        <f t="shared" si="3"/>
        <v>7200943.5999999996</v>
      </c>
      <c r="O15" s="344">
        <f t="shared" si="3"/>
        <v>-4435800.5999999996</v>
      </c>
    </row>
    <row r="16" spans="1:15" x14ac:dyDescent="0.3">
      <c r="D16" s="299"/>
      <c r="E16" s="299"/>
      <c r="F16" s="299"/>
      <c r="G16" s="299"/>
      <c r="H16" s="299"/>
      <c r="I16" s="299"/>
      <c r="J16" s="299"/>
      <c r="K16" s="302"/>
      <c r="L16" s="302"/>
      <c r="M16" s="302"/>
      <c r="N16" s="302"/>
      <c r="O16" s="299"/>
    </row>
    <row r="17" spans="1:15" ht="23.25" customHeight="1" thickBot="1" x14ac:dyDescent="0.35">
      <c r="A17" s="301" t="s">
        <v>3347</v>
      </c>
      <c r="D17" s="299"/>
      <c r="E17" s="299"/>
      <c r="F17" s="299"/>
      <c r="G17" s="299"/>
      <c r="H17" s="299"/>
      <c r="I17" s="299"/>
      <c r="J17" s="299"/>
      <c r="K17" s="299"/>
      <c r="L17" s="299"/>
      <c r="M17" s="299"/>
      <c r="N17" s="299"/>
      <c r="O17" s="299"/>
    </row>
    <row r="18" spans="1:15" outlineLevel="1" x14ac:dyDescent="0.3">
      <c r="A18" s="303"/>
      <c r="B18" s="304"/>
      <c r="C18" s="305"/>
      <c r="D18" s="345"/>
      <c r="E18" s="322"/>
      <c r="F18" s="322"/>
      <c r="G18" s="323"/>
      <c r="H18" s="323"/>
      <c r="I18" s="338">
        <f>+E18+F18+G18+H18</f>
        <v>0</v>
      </c>
      <c r="J18" s="324"/>
      <c r="K18" s="325"/>
      <c r="L18" s="324"/>
      <c r="M18" s="325"/>
      <c r="N18" s="341">
        <f>SUM(J18:M18)</f>
        <v>0</v>
      </c>
      <c r="O18" s="338">
        <f>I18-N18</f>
        <v>0</v>
      </c>
    </row>
    <row r="19" spans="1:15" outlineLevel="1" x14ac:dyDescent="0.3">
      <c r="A19" s="306"/>
      <c r="B19" s="307"/>
      <c r="C19" s="308"/>
      <c r="D19" s="346"/>
      <c r="E19" s="326"/>
      <c r="F19" s="326"/>
      <c r="G19" s="327"/>
      <c r="H19" s="327"/>
      <c r="I19" s="339">
        <f t="shared" ref="I19:I27" si="4">+E19+F19+G19+H19</f>
        <v>0</v>
      </c>
      <c r="J19" s="328"/>
      <c r="K19" s="329"/>
      <c r="L19" s="328"/>
      <c r="M19" s="329"/>
      <c r="N19" s="342">
        <f t="shared" ref="N19:N26" si="5">SUM(J19:M19)</f>
        <v>0</v>
      </c>
      <c r="O19" s="339">
        <f t="shared" ref="O19:O26" si="6">I19-N19</f>
        <v>0</v>
      </c>
    </row>
    <row r="20" spans="1:15" outlineLevel="1" x14ac:dyDescent="0.3">
      <c r="A20" s="306"/>
      <c r="B20" s="307"/>
      <c r="C20" s="308"/>
      <c r="D20" s="346"/>
      <c r="E20" s="326"/>
      <c r="F20" s="326"/>
      <c r="G20" s="327"/>
      <c r="H20" s="327"/>
      <c r="I20" s="339">
        <f>+E20+F20+G20+H20</f>
        <v>0</v>
      </c>
      <c r="J20" s="328"/>
      <c r="K20" s="329"/>
      <c r="L20" s="328"/>
      <c r="M20" s="329"/>
      <c r="N20" s="342">
        <f t="shared" si="5"/>
        <v>0</v>
      </c>
      <c r="O20" s="339">
        <f t="shared" si="6"/>
        <v>0</v>
      </c>
    </row>
    <row r="21" spans="1:15" outlineLevel="1" x14ac:dyDescent="0.3">
      <c r="A21" s="306"/>
      <c r="B21" s="307"/>
      <c r="C21" s="308"/>
      <c r="D21" s="346"/>
      <c r="E21" s="326"/>
      <c r="F21" s="326"/>
      <c r="G21" s="327"/>
      <c r="H21" s="327"/>
      <c r="I21" s="339">
        <f t="shared" si="4"/>
        <v>0</v>
      </c>
      <c r="J21" s="328"/>
      <c r="K21" s="329"/>
      <c r="L21" s="328"/>
      <c r="M21" s="329"/>
      <c r="N21" s="342">
        <f t="shared" si="5"/>
        <v>0</v>
      </c>
      <c r="O21" s="339">
        <f t="shared" si="6"/>
        <v>0</v>
      </c>
    </row>
    <row r="22" spans="1:15" outlineLevel="1" x14ac:dyDescent="0.3">
      <c r="A22" s="306"/>
      <c r="B22" s="307"/>
      <c r="C22" s="308"/>
      <c r="D22" s="346"/>
      <c r="E22" s="326"/>
      <c r="F22" s="326"/>
      <c r="G22" s="327"/>
      <c r="H22" s="327"/>
      <c r="I22" s="339">
        <f t="shared" si="4"/>
        <v>0</v>
      </c>
      <c r="J22" s="328"/>
      <c r="K22" s="329"/>
      <c r="L22" s="328"/>
      <c r="M22" s="329"/>
      <c r="N22" s="342">
        <f t="shared" si="5"/>
        <v>0</v>
      </c>
      <c r="O22" s="339">
        <f t="shared" si="6"/>
        <v>0</v>
      </c>
    </row>
    <row r="23" spans="1:15" outlineLevel="1" x14ac:dyDescent="0.3">
      <c r="A23" s="306"/>
      <c r="B23" s="307"/>
      <c r="C23" s="308"/>
      <c r="D23" s="346"/>
      <c r="E23" s="326"/>
      <c r="F23" s="326"/>
      <c r="G23" s="327"/>
      <c r="H23" s="327"/>
      <c r="I23" s="339">
        <f t="shared" si="4"/>
        <v>0</v>
      </c>
      <c r="J23" s="328"/>
      <c r="K23" s="329"/>
      <c r="L23" s="328"/>
      <c r="M23" s="329"/>
      <c r="N23" s="342">
        <f t="shared" si="5"/>
        <v>0</v>
      </c>
      <c r="O23" s="339">
        <f t="shared" si="6"/>
        <v>0</v>
      </c>
    </row>
    <row r="24" spans="1:15" outlineLevel="1" x14ac:dyDescent="0.3">
      <c r="A24" s="306"/>
      <c r="B24" s="307"/>
      <c r="C24" s="308"/>
      <c r="D24" s="346"/>
      <c r="E24" s="326"/>
      <c r="F24" s="326"/>
      <c r="G24" s="327"/>
      <c r="H24" s="327"/>
      <c r="I24" s="339">
        <f t="shared" si="4"/>
        <v>0</v>
      </c>
      <c r="J24" s="328"/>
      <c r="K24" s="329"/>
      <c r="L24" s="328"/>
      <c r="M24" s="329"/>
      <c r="N24" s="342">
        <f t="shared" si="5"/>
        <v>0</v>
      </c>
      <c r="O24" s="339">
        <f t="shared" si="6"/>
        <v>0</v>
      </c>
    </row>
    <row r="25" spans="1:15" outlineLevel="1" x14ac:dyDescent="0.3">
      <c r="A25" s="306"/>
      <c r="B25" s="307"/>
      <c r="C25" s="308"/>
      <c r="D25" s="346"/>
      <c r="E25" s="326"/>
      <c r="F25" s="326"/>
      <c r="G25" s="327"/>
      <c r="H25" s="327"/>
      <c r="I25" s="339">
        <f t="shared" si="4"/>
        <v>0</v>
      </c>
      <c r="J25" s="328"/>
      <c r="K25" s="329"/>
      <c r="L25" s="328"/>
      <c r="M25" s="329"/>
      <c r="N25" s="342">
        <f t="shared" si="5"/>
        <v>0</v>
      </c>
      <c r="O25" s="339">
        <f t="shared" si="6"/>
        <v>0</v>
      </c>
    </row>
    <row r="26" spans="1:15" ht="15" outlineLevel="1" thickBot="1" x14ac:dyDescent="0.35">
      <c r="A26" s="309"/>
      <c r="B26" s="310"/>
      <c r="C26" s="311"/>
      <c r="D26" s="347"/>
      <c r="E26" s="330"/>
      <c r="F26" s="330"/>
      <c r="G26" s="331"/>
      <c r="H26" s="331"/>
      <c r="I26" s="340">
        <f t="shared" si="4"/>
        <v>0</v>
      </c>
      <c r="J26" s="332"/>
      <c r="K26" s="333"/>
      <c r="L26" s="332"/>
      <c r="M26" s="333"/>
      <c r="N26" s="343">
        <f t="shared" si="5"/>
        <v>0</v>
      </c>
      <c r="O26" s="340">
        <f t="shared" si="6"/>
        <v>0</v>
      </c>
    </row>
    <row r="27" spans="1:15" ht="15" thickBot="1" x14ac:dyDescent="0.35">
      <c r="A27" s="1161" t="s">
        <v>3348</v>
      </c>
      <c r="B27" s="1162"/>
      <c r="C27" s="1163"/>
      <c r="D27" s="334"/>
      <c r="E27" s="335">
        <f>SUM(E18:E26)</f>
        <v>0</v>
      </c>
      <c r="F27" s="335">
        <f>SUM(F18:F26)</f>
        <v>0</v>
      </c>
      <c r="G27" s="335">
        <f>SUM(G18:G26)</f>
        <v>0</v>
      </c>
      <c r="H27" s="335">
        <f>SUM(H18:H26)</f>
        <v>0</v>
      </c>
      <c r="I27" s="344">
        <f t="shared" si="4"/>
        <v>0</v>
      </c>
      <c r="J27" s="336">
        <f t="shared" ref="J27:O27" si="7">SUM(J18:J26)</f>
        <v>0</v>
      </c>
      <c r="K27" s="337">
        <f t="shared" si="7"/>
        <v>0</v>
      </c>
      <c r="L27" s="336">
        <f t="shared" si="7"/>
        <v>0</v>
      </c>
      <c r="M27" s="337">
        <f t="shared" si="7"/>
        <v>0</v>
      </c>
      <c r="N27" s="344">
        <f t="shared" si="7"/>
        <v>0</v>
      </c>
      <c r="O27" s="344">
        <f t="shared" si="7"/>
        <v>0</v>
      </c>
    </row>
    <row r="30" spans="1:15" x14ac:dyDescent="0.3">
      <c r="J30" s="348"/>
    </row>
  </sheetData>
  <mergeCells count="22">
    <mergeCell ref="A1:O1"/>
    <mergeCell ref="A3:C6"/>
    <mergeCell ref="D3:D4"/>
    <mergeCell ref="H3:H6"/>
    <mergeCell ref="I3:I6"/>
    <mergeCell ref="J3:M3"/>
    <mergeCell ref="N3:N6"/>
    <mergeCell ref="O3:O4"/>
    <mergeCell ref="O5:O6"/>
    <mergeCell ref="J5:J6"/>
    <mergeCell ref="K5:K6"/>
    <mergeCell ref="L5:L6"/>
    <mergeCell ref="M5:M6"/>
    <mergeCell ref="F4:F6"/>
    <mergeCell ref="G4:G6"/>
    <mergeCell ref="J4:K4"/>
    <mergeCell ref="L4:M4"/>
    <mergeCell ref="A15:C15"/>
    <mergeCell ref="A27:C27"/>
    <mergeCell ref="E3:E4"/>
    <mergeCell ref="D5:D7"/>
    <mergeCell ref="E5:E6"/>
  </mergeCells>
  <printOptions horizontalCentered="1"/>
  <pageMargins left="0.51181102362204722" right="0.51181102362204722" top="0.55118110236220474" bottom="0.55118110236220474" header="0.31496062992125984" footer="0.31496062992125984"/>
  <pageSetup paperSize="8" fitToWidth="2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9"/>
  <sheetViews>
    <sheetView zoomScale="85" zoomScaleNormal="85" workbookViewId="0">
      <pane xSplit="4" ySplit="1" topLeftCell="E56" activePane="bottomRight" state="frozen"/>
      <selection pane="topRight" activeCell="E1" sqref="E1"/>
      <selection pane="bottomLeft" activeCell="A2" sqref="A2"/>
      <selection pane="bottomRight" activeCell="E67" sqref="E67"/>
    </sheetView>
  </sheetViews>
  <sheetFormatPr defaultColWidth="8.88671875" defaultRowHeight="14.4" x14ac:dyDescent="0.3"/>
  <cols>
    <col min="1" max="3" width="8.88671875" style="131"/>
    <col min="4" max="4" width="50.6640625" style="131" customWidth="1"/>
    <col min="5" max="5" width="15.44140625" style="131" customWidth="1"/>
    <col min="6" max="6" width="15.109375" style="131" customWidth="1"/>
    <col min="7" max="7" width="17.33203125" style="131" customWidth="1"/>
    <col min="8" max="8" width="16.44140625" style="131" customWidth="1"/>
    <col min="9" max="9" width="16" style="131" customWidth="1"/>
    <col min="10" max="10" width="16.33203125" style="131" customWidth="1"/>
    <col min="11" max="11" width="15.21875" style="131" customWidth="1"/>
    <col min="12" max="12" width="19.88671875" style="131" customWidth="1"/>
    <col min="13" max="13" width="15.21875" style="131" customWidth="1"/>
    <col min="14" max="16384" width="8.88671875" style="131"/>
  </cols>
  <sheetData>
    <row r="1" spans="1:13" ht="31.5" customHeight="1" x14ac:dyDescent="0.3">
      <c r="A1"/>
      <c r="B1" s="377">
        <v>1</v>
      </c>
      <c r="C1" s="377"/>
      <c r="D1" s="377" t="s">
        <v>3</v>
      </c>
      <c r="E1" s="377" t="s">
        <v>804</v>
      </c>
      <c r="F1" s="377" t="s">
        <v>16</v>
      </c>
      <c r="G1" s="377" t="s">
        <v>2777</v>
      </c>
      <c r="H1" s="377" t="s">
        <v>2778</v>
      </c>
      <c r="I1" s="377" t="s">
        <v>2779</v>
      </c>
      <c r="J1" s="377" t="s">
        <v>3373</v>
      </c>
      <c r="K1" s="377" t="s">
        <v>2780</v>
      </c>
      <c r="L1" s="377" t="s">
        <v>17</v>
      </c>
      <c r="M1" s="404" t="s">
        <v>3035</v>
      </c>
    </row>
    <row r="2" spans="1:13" ht="28.2" customHeight="1" x14ac:dyDescent="0.3">
      <c r="A2" t="s">
        <v>3374</v>
      </c>
      <c r="B2" s="378">
        <v>2</v>
      </c>
      <c r="C2" s="1189" t="s">
        <v>3375</v>
      </c>
      <c r="D2" s="379" t="s">
        <v>19</v>
      </c>
      <c r="E2" s="352">
        <v>327432657.61872739</v>
      </c>
      <c r="F2" s="352">
        <v>0</v>
      </c>
      <c r="G2" s="352">
        <v>114370897.10983431</v>
      </c>
      <c r="H2" s="352">
        <v>271042336.63612777</v>
      </c>
      <c r="I2" s="352">
        <v>53267150.287084259</v>
      </c>
      <c r="J2" s="352">
        <v>9004304.1284888946</v>
      </c>
      <c r="K2" s="352">
        <v>5495461.5692265462</v>
      </c>
      <c r="L2" s="352">
        <v>780612807.34948909</v>
      </c>
      <c r="M2" s="420">
        <f>H2-'1 kari főtábla'!J4</f>
        <v>-56390320.994881511</v>
      </c>
    </row>
    <row r="3" spans="1:13" ht="28.2" customHeight="1" x14ac:dyDescent="0.3">
      <c r="A3" t="s">
        <v>3374</v>
      </c>
      <c r="B3" s="378">
        <v>4</v>
      </c>
      <c r="C3" s="1189"/>
      <c r="D3" s="379" t="s">
        <v>21</v>
      </c>
      <c r="E3" s="352">
        <v>59167227.113110729</v>
      </c>
      <c r="F3" s="352">
        <v>0</v>
      </c>
      <c r="G3" s="352">
        <v>4994324.7677122159</v>
      </c>
      <c r="H3" s="352">
        <v>21606055.442994516</v>
      </c>
      <c r="I3" s="352">
        <v>47963802.769275077</v>
      </c>
      <c r="J3" s="352">
        <v>478484.82309019391</v>
      </c>
      <c r="K3" s="352">
        <v>478105.08381618152</v>
      </c>
      <c r="L3" s="352">
        <v>134687999.9999989</v>
      </c>
      <c r="M3" s="420">
        <f>H3-'1 kari főtábla'!J11</f>
        <v>-37561171.670116201</v>
      </c>
    </row>
    <row r="4" spans="1:13" ht="28.2" customHeight="1" x14ac:dyDescent="0.3">
      <c r="A4"/>
      <c r="B4" s="378">
        <v>5</v>
      </c>
      <c r="C4" s="1189"/>
      <c r="D4" s="379" t="s">
        <v>23</v>
      </c>
      <c r="E4" s="352">
        <v>11236728.428310072</v>
      </c>
      <c r="F4" s="352">
        <v>61508741.874715388</v>
      </c>
      <c r="G4" s="352">
        <v>1365299.7962786909</v>
      </c>
      <c r="H4" s="352">
        <v>23052463.612332601</v>
      </c>
      <c r="I4" s="352">
        <v>268735.48026300024</v>
      </c>
      <c r="J4" s="352">
        <v>108386.64000000001</v>
      </c>
      <c r="K4" s="352"/>
      <c r="L4" s="352">
        <v>97540355.831899732</v>
      </c>
      <c r="M4" s="420">
        <f>H4-'1 kari főtábla'!J18</f>
        <v>11815735.612332601</v>
      </c>
    </row>
    <row r="5" spans="1:13" ht="28.2" customHeight="1" x14ac:dyDescent="0.3">
      <c r="A5" t="s">
        <v>3374</v>
      </c>
      <c r="B5" s="378">
        <v>6</v>
      </c>
      <c r="C5" s="1189"/>
      <c r="D5" s="379" t="s">
        <v>3376</v>
      </c>
      <c r="E5" s="352">
        <v>-570048.3691720824</v>
      </c>
      <c r="F5" s="352">
        <v>0</v>
      </c>
      <c r="G5" s="352">
        <v>0</v>
      </c>
      <c r="H5" s="352">
        <v>570048.36916987062</v>
      </c>
      <c r="I5" s="352">
        <v>0</v>
      </c>
      <c r="J5" s="352">
        <v>0</v>
      </c>
      <c r="K5" s="352">
        <v>0</v>
      </c>
      <c r="L5" s="352">
        <v>-2.2117746993899345E-6</v>
      </c>
      <c r="M5" s="420">
        <f>H5-'1 kari főtábla'!J72</f>
        <v>1140098.1100603286</v>
      </c>
    </row>
    <row r="6" spans="1:13" ht="28.2" customHeight="1" x14ac:dyDescent="0.3">
      <c r="A6" t="s">
        <v>3377</v>
      </c>
      <c r="B6" s="378" t="s">
        <v>3339</v>
      </c>
      <c r="C6" s="1189"/>
      <c r="D6" s="379" t="s">
        <v>25</v>
      </c>
      <c r="E6" s="352">
        <v>79837000</v>
      </c>
      <c r="F6" s="352"/>
      <c r="G6" s="352">
        <v>2564000</v>
      </c>
      <c r="H6" s="352">
        <v>24079000</v>
      </c>
      <c r="I6" s="352">
        <v>6527000</v>
      </c>
      <c r="J6" s="352"/>
      <c r="K6" s="352"/>
      <c r="L6" s="352">
        <v>113007000</v>
      </c>
      <c r="M6" s="420">
        <f>H6-'1 kari főtábla'!J79</f>
        <v>-55758000</v>
      </c>
    </row>
    <row r="7" spans="1:13" ht="28.2" customHeight="1" x14ac:dyDescent="0.3">
      <c r="A7" t="s">
        <v>3378</v>
      </c>
      <c r="B7" s="378" t="s">
        <v>3340</v>
      </c>
      <c r="C7" s="1189"/>
      <c r="D7" s="379" t="s">
        <v>3379</v>
      </c>
      <c r="E7" s="352">
        <v>113507670</v>
      </c>
      <c r="F7" s="352"/>
      <c r="G7" s="352">
        <v>25978394</v>
      </c>
      <c r="H7" s="352">
        <v>46288657</v>
      </c>
      <c r="I7" s="352">
        <v>13408369</v>
      </c>
      <c r="J7" s="352"/>
      <c r="K7" s="352"/>
      <c r="L7" s="352">
        <v>199183090</v>
      </c>
      <c r="M7" s="420">
        <f>H7-'1 kari főtábla'!J80</f>
        <v>-67219013.000000015</v>
      </c>
    </row>
    <row r="8" spans="1:13" ht="28.2" customHeight="1" x14ac:dyDescent="0.3">
      <c r="A8" t="s">
        <v>3377</v>
      </c>
      <c r="B8" s="378">
        <v>8</v>
      </c>
      <c r="C8" s="1189"/>
      <c r="D8" s="379" t="s">
        <v>26</v>
      </c>
      <c r="E8" s="352">
        <v>198013266</v>
      </c>
      <c r="F8" s="352">
        <v>9217102</v>
      </c>
      <c r="G8" s="352">
        <v>130205128</v>
      </c>
      <c r="H8" s="352">
        <v>0</v>
      </c>
      <c r="I8" s="352">
        <v>0</v>
      </c>
      <c r="J8" s="352"/>
      <c r="K8" s="352"/>
      <c r="L8" s="352">
        <v>337435496</v>
      </c>
      <c r="M8" s="420">
        <f>H8-'1 kari főtábla'!J81</f>
        <v>-198013265.67018491</v>
      </c>
    </row>
    <row r="9" spans="1:13" ht="28.2" customHeight="1" x14ac:dyDescent="0.3">
      <c r="A9"/>
      <c r="B9" s="380">
        <v>9</v>
      </c>
      <c r="C9" s="381"/>
      <c r="D9" s="382" t="s">
        <v>27</v>
      </c>
      <c r="E9" s="383">
        <v>788624500.79097605</v>
      </c>
      <c r="F9" s="383">
        <v>70725843.874715388</v>
      </c>
      <c r="G9" s="383">
        <v>279478043.6738252</v>
      </c>
      <c r="H9" s="383">
        <v>386638561.06062478</v>
      </c>
      <c r="I9" s="383">
        <v>121435057.53662233</v>
      </c>
      <c r="J9" s="383">
        <v>9591175.5915790889</v>
      </c>
      <c r="K9" s="383">
        <v>5973566.6530427281</v>
      </c>
      <c r="L9" s="383">
        <v>1662466749.1813858</v>
      </c>
      <c r="M9" s="420"/>
    </row>
    <row r="10" spans="1:13" ht="28.2" customHeight="1" x14ac:dyDescent="0.3">
      <c r="A10">
        <v>12.88</v>
      </c>
      <c r="B10" s="378">
        <v>10</v>
      </c>
      <c r="C10" s="1190" t="s">
        <v>52</v>
      </c>
      <c r="D10" s="384" t="s">
        <v>29</v>
      </c>
      <c r="E10" s="352">
        <v>-149838655.15028545</v>
      </c>
      <c r="F10" s="352">
        <v>302410178.5466674</v>
      </c>
      <c r="G10" s="352">
        <v>-53100828.298026793</v>
      </c>
      <c r="H10" s="352">
        <v>-73461326.601518705</v>
      </c>
      <c r="I10" s="352">
        <v>-23072660.931958243</v>
      </c>
      <c r="J10" s="352">
        <v>-1801729.9008000267</v>
      </c>
      <c r="K10" s="352">
        <v>-1134977.6640781183</v>
      </c>
      <c r="L10" s="352">
        <v>5.0524249672889709E-8</v>
      </c>
      <c r="M10" s="420">
        <f>H10-'1 kari főtábla'!J89</f>
        <v>76377328.146430001</v>
      </c>
    </row>
    <row r="11" spans="1:13" ht="28.2" customHeight="1" x14ac:dyDescent="0.3">
      <c r="A11"/>
      <c r="B11" s="378">
        <v>11</v>
      </c>
      <c r="C11" s="1190"/>
      <c r="D11" s="384" t="s">
        <v>3484</v>
      </c>
      <c r="E11" s="352">
        <v>-3943122.5039548804</v>
      </c>
      <c r="F11" s="352">
        <v>0</v>
      </c>
      <c r="G11" s="352">
        <v>-1397390.2183691261</v>
      </c>
      <c r="H11" s="352">
        <v>-1933192.805303124</v>
      </c>
      <c r="I11" s="352">
        <v>-607175.28768311162</v>
      </c>
      <c r="J11" s="352">
        <v>-47955.877957895449</v>
      </c>
      <c r="K11" s="352">
        <v>-29867.833265213641</v>
      </c>
      <c r="L11" s="352">
        <v>-7958704.5265333503</v>
      </c>
      <c r="M11" s="420">
        <f>H11-'1 kari főtábla'!J92</f>
        <v>2009929.6880639482</v>
      </c>
    </row>
    <row r="12" spans="1:13" ht="28.2" customHeight="1" x14ac:dyDescent="0.3">
      <c r="A12"/>
      <c r="B12" s="378">
        <v>12</v>
      </c>
      <c r="C12" s="1190"/>
      <c r="D12" s="384" t="s">
        <v>30</v>
      </c>
      <c r="E12" s="352">
        <v>-11829367.51186464</v>
      </c>
      <c r="F12" s="352">
        <v>0</v>
      </c>
      <c r="G12" s="352">
        <v>-4192170.655107378</v>
      </c>
      <c r="H12" s="352">
        <v>-5799578.4159093713</v>
      </c>
      <c r="I12" s="352">
        <v>-1821525.8630493348</v>
      </c>
      <c r="J12" s="352">
        <v>0</v>
      </c>
      <c r="K12" s="352">
        <v>-89603.499795640921</v>
      </c>
      <c r="L12" s="352">
        <v>-23732245.945726369</v>
      </c>
      <c r="M12" s="420">
        <f>H12-'1 kari főtábla'!I95</f>
        <v>6029789.0959552685</v>
      </c>
    </row>
    <row r="13" spans="1:13" ht="28.2" customHeight="1" x14ac:dyDescent="0.3">
      <c r="A13"/>
      <c r="B13" s="378">
        <v>13</v>
      </c>
      <c r="C13" s="1190"/>
      <c r="D13" s="384" t="s">
        <v>31</v>
      </c>
      <c r="E13" s="352">
        <v>11829367.51186464</v>
      </c>
      <c r="F13" s="352">
        <v>0</v>
      </c>
      <c r="G13" s="352">
        <v>4192170.655107378</v>
      </c>
      <c r="H13" s="352">
        <v>5799578.4159093713</v>
      </c>
      <c r="I13" s="352">
        <v>1821525.8630493348</v>
      </c>
      <c r="J13" s="352">
        <v>0</v>
      </c>
      <c r="K13" s="352">
        <v>89603.499795640921</v>
      </c>
      <c r="L13" s="352">
        <v>23732245.945726369</v>
      </c>
      <c r="M13" s="420">
        <f>H13-'1 kari főtábla'!I98</f>
        <v>-6029789.0959552685</v>
      </c>
    </row>
    <row r="14" spans="1:13" ht="28.2" customHeight="1" x14ac:dyDescent="0.3">
      <c r="A14"/>
      <c r="B14" s="385"/>
      <c r="C14" s="1190"/>
      <c r="D14" s="386"/>
      <c r="E14" s="387"/>
      <c r="F14" s="387"/>
      <c r="G14" s="387"/>
      <c r="H14" s="387"/>
      <c r="I14" s="387"/>
      <c r="J14" s="387"/>
      <c r="K14" s="387"/>
      <c r="L14" s="387"/>
      <c r="M14" s="420"/>
    </row>
    <row r="15" spans="1:13" ht="28.2" customHeight="1" x14ac:dyDescent="0.3">
      <c r="A15"/>
      <c r="B15" s="385"/>
      <c r="C15" s="1190"/>
      <c r="D15" s="386"/>
      <c r="E15" s="387"/>
      <c r="F15" s="387"/>
      <c r="G15" s="387"/>
      <c r="H15" s="387"/>
      <c r="I15" s="387"/>
      <c r="J15" s="387"/>
      <c r="K15" s="387"/>
      <c r="L15" s="387"/>
      <c r="M15" s="420"/>
    </row>
    <row r="16" spans="1:13" ht="28.2" customHeight="1" x14ac:dyDescent="0.3">
      <c r="A16" t="s">
        <v>3381</v>
      </c>
      <c r="B16" s="378">
        <v>14</v>
      </c>
      <c r="C16" s="1190"/>
      <c r="D16" s="384" t="s">
        <v>35</v>
      </c>
      <c r="E16" s="352">
        <v>-9239068.3874350004</v>
      </c>
      <c r="F16" s="352">
        <v>0</v>
      </c>
      <c r="G16" s="352">
        <v>0</v>
      </c>
      <c r="H16" s="352">
        <v>-7271916.6125650005</v>
      </c>
      <c r="I16" s="352">
        <v>0</v>
      </c>
      <c r="J16" s="352">
        <v>16510985</v>
      </c>
      <c r="K16" s="352"/>
      <c r="L16" s="352">
        <v>0</v>
      </c>
      <c r="M16" s="420">
        <f>H16-'1 kari főtábla'!J99</f>
        <v>1967151.7748699998</v>
      </c>
    </row>
    <row r="17" spans="1:13" ht="28.2" customHeight="1" x14ac:dyDescent="0.3">
      <c r="A17"/>
      <c r="B17" s="378">
        <v>15</v>
      </c>
      <c r="C17" s="1190"/>
      <c r="D17" s="384" t="s">
        <v>3382</v>
      </c>
      <c r="E17" s="352">
        <v>-19339744</v>
      </c>
      <c r="F17" s="352"/>
      <c r="G17" s="352">
        <v>-12554185</v>
      </c>
      <c r="H17" s="352">
        <v>-18304811</v>
      </c>
      <c r="I17" s="352">
        <v>-11393260</v>
      </c>
      <c r="J17" s="352"/>
      <c r="K17" s="352"/>
      <c r="L17" s="352">
        <v>-61592000</v>
      </c>
      <c r="M17" s="420">
        <f>H17-'1 kari főtábla'!J100</f>
        <v>1034932.9999999963</v>
      </c>
    </row>
    <row r="18" spans="1:13" ht="28.2" customHeight="1" x14ac:dyDescent="0.3">
      <c r="A18"/>
      <c r="B18" s="378">
        <v>16</v>
      </c>
      <c r="C18" s="1190"/>
      <c r="D18" s="384"/>
      <c r="E18" s="352"/>
      <c r="F18" s="352"/>
      <c r="G18" s="352"/>
      <c r="H18" s="352"/>
      <c r="I18" s="352"/>
      <c r="J18" s="352"/>
      <c r="K18" s="352"/>
      <c r="L18" s="352">
        <v>0</v>
      </c>
      <c r="M18" s="420"/>
    </row>
    <row r="19" spans="1:13" ht="28.2" customHeight="1" x14ac:dyDescent="0.3">
      <c r="A19" t="s">
        <v>3383</v>
      </c>
      <c r="B19" s="378">
        <v>17</v>
      </c>
      <c r="C19" s="1190"/>
      <c r="D19" s="384" t="s">
        <v>38</v>
      </c>
      <c r="E19" s="352">
        <v>-40180860</v>
      </c>
      <c r="F19" s="352">
        <v>-16398787</v>
      </c>
      <c r="G19" s="352">
        <v>-20297333</v>
      </c>
      <c r="H19" s="352">
        <v>-19812858</v>
      </c>
      <c r="I19" s="352">
        <v>-5762840</v>
      </c>
      <c r="J19" s="352"/>
      <c r="K19" s="352">
        <v>-134672</v>
      </c>
      <c r="L19" s="352">
        <v>-102587350</v>
      </c>
      <c r="M19" s="420">
        <f>H19-'1 kari főtábla'!J101</f>
        <v>20368002.000000007</v>
      </c>
    </row>
    <row r="20" spans="1:13" ht="28.2" customHeight="1" x14ac:dyDescent="0.3">
      <c r="A20" t="s">
        <v>3384</v>
      </c>
      <c r="B20" s="378" t="s">
        <v>2768</v>
      </c>
      <c r="C20" s="1190"/>
      <c r="D20" s="384" t="s">
        <v>2771</v>
      </c>
      <c r="E20" s="352"/>
      <c r="F20" s="352">
        <v>-492228</v>
      </c>
      <c r="G20" s="352"/>
      <c r="H20" s="352"/>
      <c r="I20" s="352"/>
      <c r="J20" s="352"/>
      <c r="K20" s="352"/>
      <c r="L20" s="352"/>
      <c r="M20" s="420">
        <f>H20-'1 kari főtábla'!J102</f>
        <v>0</v>
      </c>
    </row>
    <row r="21" spans="1:13" ht="28.2" customHeight="1" x14ac:dyDescent="0.3">
      <c r="A21" t="s">
        <v>3385</v>
      </c>
      <c r="B21" s="378" t="s">
        <v>2769</v>
      </c>
      <c r="C21" s="1190"/>
      <c r="D21" s="384" t="s">
        <v>2772</v>
      </c>
      <c r="E21" s="352"/>
      <c r="F21" s="352"/>
      <c r="G21" s="352"/>
      <c r="H21" s="352"/>
      <c r="I21" s="352"/>
      <c r="J21" s="352"/>
      <c r="K21" s="352"/>
      <c r="L21" s="352"/>
      <c r="M21" s="420">
        <f>H21-'1 kari főtábla'!J109</f>
        <v>0</v>
      </c>
    </row>
    <row r="22" spans="1:13" ht="28.2" customHeight="1" x14ac:dyDescent="0.3">
      <c r="A22" t="s">
        <v>3386</v>
      </c>
      <c r="B22" s="378" t="s">
        <v>2770</v>
      </c>
      <c r="C22" s="1190"/>
      <c r="D22" s="384" t="s">
        <v>2773</v>
      </c>
      <c r="E22" s="352">
        <v>-1911197</v>
      </c>
      <c r="F22" s="352"/>
      <c r="G22" s="352">
        <v>-846170</v>
      </c>
      <c r="H22" s="352">
        <v>7926901</v>
      </c>
      <c r="I22" s="352">
        <v>-5169534</v>
      </c>
      <c r="J22" s="352"/>
      <c r="K22" s="352"/>
      <c r="L22" s="352">
        <v>0</v>
      </c>
      <c r="M22" s="420">
        <f>H22-'1 kari főtábla'!J112</f>
        <v>9838098</v>
      </c>
    </row>
    <row r="23" spans="1:13" ht="28.2" customHeight="1" x14ac:dyDescent="0.3">
      <c r="A23" t="s">
        <v>3387</v>
      </c>
      <c r="B23" s="378">
        <v>19</v>
      </c>
      <c r="C23" s="1190"/>
      <c r="D23" s="384" t="s">
        <v>39</v>
      </c>
      <c r="E23" s="352">
        <v>-157177.689758725</v>
      </c>
      <c r="F23" s="352"/>
      <c r="G23" s="352">
        <v>-1102822</v>
      </c>
      <c r="H23" s="352"/>
      <c r="I23" s="352"/>
      <c r="J23" s="352"/>
      <c r="K23" s="352"/>
      <c r="L23" s="352">
        <v>-1259999.689758725</v>
      </c>
      <c r="M23" s="420">
        <f>H23-'1 kari főtábla'!J123</f>
        <v>157177.68975872546</v>
      </c>
    </row>
    <row r="24" spans="1:13" ht="28.2" customHeight="1" x14ac:dyDescent="0.3">
      <c r="A24"/>
      <c r="B24" s="380">
        <v>20</v>
      </c>
      <c r="C24" s="381" t="s">
        <v>40</v>
      </c>
      <c r="D24" s="382" t="s">
        <v>40</v>
      </c>
      <c r="E24" s="383">
        <v>564014676.05954194</v>
      </c>
      <c r="F24" s="383">
        <v>356245007.42138278</v>
      </c>
      <c r="G24" s="383">
        <v>190179315.15742928</v>
      </c>
      <c r="H24" s="383">
        <v>273781357.04123801</v>
      </c>
      <c r="I24" s="383">
        <v>75429587.316980973</v>
      </c>
      <c r="J24" s="383">
        <v>24252474.812821165</v>
      </c>
      <c r="K24" s="383">
        <v>4674049.1556993965</v>
      </c>
      <c r="L24" s="383">
        <v>1488576466.9650939</v>
      </c>
      <c r="M24" s="420"/>
    </row>
    <row r="25" spans="1:13" ht="28.2" customHeight="1" x14ac:dyDescent="0.3">
      <c r="A25"/>
      <c r="B25" s="378">
        <v>21</v>
      </c>
      <c r="C25" s="1191" t="s">
        <v>53</v>
      </c>
      <c r="D25" s="388" t="s">
        <v>3388</v>
      </c>
      <c r="E25" s="352">
        <v>82890777</v>
      </c>
      <c r="F25" s="352">
        <v>134376750</v>
      </c>
      <c r="G25" s="352">
        <v>21673685</v>
      </c>
      <c r="H25" s="352">
        <v>20773868</v>
      </c>
      <c r="I25" s="352">
        <v>39585343</v>
      </c>
      <c r="J25" s="352">
        <v>24695931</v>
      </c>
      <c r="K25" s="352">
        <v>8625180</v>
      </c>
      <c r="L25" s="352">
        <v>332621534</v>
      </c>
      <c r="M25" s="420">
        <f>H25-'1 kari főtábla'!J127</f>
        <v>-62116909</v>
      </c>
    </row>
    <row r="26" spans="1:13" ht="28.2" customHeight="1" x14ac:dyDescent="0.3">
      <c r="A26"/>
      <c r="B26" s="378">
        <v>22</v>
      </c>
      <c r="C26" s="1191"/>
      <c r="D26" s="388" t="s">
        <v>3389</v>
      </c>
      <c r="E26" s="352">
        <v>-21362145</v>
      </c>
      <c r="F26" s="352">
        <v>-124888885</v>
      </c>
      <c r="G26" s="352">
        <v>-18498513</v>
      </c>
      <c r="H26" s="352">
        <v>-16072225</v>
      </c>
      <c r="I26" s="352">
        <v>-7155174</v>
      </c>
      <c r="J26" s="352">
        <v>-11923242</v>
      </c>
      <c r="K26" s="352">
        <v>-684656</v>
      </c>
      <c r="L26" s="352">
        <v>-200584840</v>
      </c>
      <c r="M26" s="420">
        <f>H26-'1 kari főtábla'!J128</f>
        <v>-6633322</v>
      </c>
    </row>
    <row r="27" spans="1:13" ht="28.2" customHeight="1" x14ac:dyDescent="0.3">
      <c r="A27"/>
      <c r="B27" s="378">
        <v>23</v>
      </c>
      <c r="C27" s="1191"/>
      <c r="D27" s="388" t="s">
        <v>3390</v>
      </c>
      <c r="E27" s="352">
        <v>482684</v>
      </c>
      <c r="F27" s="352"/>
      <c r="G27" s="352">
        <v>6074447</v>
      </c>
      <c r="H27" s="352">
        <v>16628320</v>
      </c>
      <c r="I27" s="352">
        <v>-110461</v>
      </c>
      <c r="J27" s="352"/>
      <c r="K27" s="352">
        <v>54339</v>
      </c>
      <c r="L27" s="352">
        <v>23129329</v>
      </c>
      <c r="M27" s="420">
        <f>H27-'1 kari főtábla'!J129</f>
        <v>16145636</v>
      </c>
    </row>
    <row r="28" spans="1:13" ht="28.2" customHeight="1" x14ac:dyDescent="0.3">
      <c r="A28" t="s">
        <v>3391</v>
      </c>
      <c r="B28" s="378">
        <v>24</v>
      </c>
      <c r="C28" s="1191"/>
      <c r="D28" s="388" t="s">
        <v>0</v>
      </c>
      <c r="E28" s="352">
        <v>705842</v>
      </c>
      <c r="F28" s="352"/>
      <c r="G28" s="352">
        <v>-3696455.7014509551</v>
      </c>
      <c r="H28" s="352">
        <v>2513706.3283308968</v>
      </c>
      <c r="I28" s="352">
        <v>476907.16576256696</v>
      </c>
      <c r="J28" s="352"/>
      <c r="K28" s="352"/>
      <c r="L28" s="352">
        <v>-0.20735749136656523</v>
      </c>
      <c r="M28" s="420">
        <f>H28-'1 kari főtábla'!J130</f>
        <v>1807864.3283308968</v>
      </c>
    </row>
    <row r="29" spans="1:13" ht="28.2" customHeight="1" x14ac:dyDescent="0.3">
      <c r="A29" t="s">
        <v>3392</v>
      </c>
      <c r="B29" s="378">
        <v>25</v>
      </c>
      <c r="C29" s="1191"/>
      <c r="D29" s="388" t="s">
        <v>3393</v>
      </c>
      <c r="E29" s="352"/>
      <c r="F29" s="352"/>
      <c r="G29" s="352"/>
      <c r="H29" s="352"/>
      <c r="I29" s="352"/>
      <c r="J29" s="352"/>
      <c r="K29" s="352"/>
      <c r="L29" s="352">
        <v>0</v>
      </c>
      <c r="M29" s="420">
        <f>H29-'1 kari főtábla'!J131</f>
        <v>0</v>
      </c>
    </row>
    <row r="30" spans="1:13" ht="28.2" customHeight="1" x14ac:dyDescent="0.3">
      <c r="A30" t="s">
        <v>3394</v>
      </c>
      <c r="B30" s="378">
        <v>26</v>
      </c>
      <c r="C30" s="1191"/>
      <c r="D30" s="388" t="s">
        <v>1</v>
      </c>
      <c r="E30" s="352">
        <v>-122301</v>
      </c>
      <c r="F30" s="352">
        <v>61150.5</v>
      </c>
      <c r="G30" s="352"/>
      <c r="H30" s="352"/>
      <c r="I30" s="352"/>
      <c r="J30" s="352"/>
      <c r="K30" s="352"/>
      <c r="L30" s="352">
        <v>-61150.5</v>
      </c>
      <c r="M30" s="420">
        <f>H30-'1 kari főtábla'!J132</f>
        <v>122301</v>
      </c>
    </row>
    <row r="31" spans="1:13" ht="28.2" customHeight="1" x14ac:dyDescent="0.3">
      <c r="A31" t="s">
        <v>3395</v>
      </c>
      <c r="B31" s="378">
        <v>27</v>
      </c>
      <c r="C31" s="1191"/>
      <c r="D31" s="388" t="s">
        <v>3396</v>
      </c>
      <c r="E31" s="352"/>
      <c r="F31" s="352">
        <v>0</v>
      </c>
      <c r="G31" s="352"/>
      <c r="H31" s="352"/>
      <c r="I31" s="352"/>
      <c r="J31" s="352"/>
      <c r="K31" s="352"/>
      <c r="L31" s="352">
        <v>0</v>
      </c>
      <c r="M31" s="420">
        <f>H31-'1 kari főtábla'!J133</f>
        <v>0</v>
      </c>
    </row>
    <row r="32" spans="1:13" ht="28.2" customHeight="1" x14ac:dyDescent="0.3">
      <c r="A32" t="s">
        <v>3392</v>
      </c>
      <c r="B32" s="378" t="s">
        <v>3397</v>
      </c>
      <c r="C32" s="1191"/>
      <c r="D32" s="388" t="s">
        <v>3398</v>
      </c>
      <c r="E32" s="352"/>
      <c r="F32" s="352"/>
      <c r="G32" s="352">
        <v>1064000</v>
      </c>
      <c r="H32" s="352"/>
      <c r="I32" s="352"/>
      <c r="J32" s="352"/>
      <c r="K32" s="352"/>
      <c r="L32" s="352">
        <v>1064000</v>
      </c>
      <c r="M32" s="420">
        <f>H32-'1 kari főtábla'!J134</f>
        <v>0</v>
      </c>
    </row>
    <row r="33" spans="1:13" ht="28.2" customHeight="1" x14ac:dyDescent="0.3">
      <c r="A33" t="s">
        <v>3399</v>
      </c>
      <c r="B33" s="378" t="s">
        <v>3400</v>
      </c>
      <c r="C33" s="1191"/>
      <c r="D33" s="388" t="s">
        <v>3485</v>
      </c>
      <c r="E33" s="352">
        <v>1327183</v>
      </c>
      <c r="F33" s="352"/>
      <c r="G33" s="352">
        <v>-1006</v>
      </c>
      <c r="H33" s="352">
        <v>-18178</v>
      </c>
      <c r="I33" s="352">
        <v>-1308000</v>
      </c>
      <c r="J33" s="352"/>
      <c r="K33" s="352"/>
      <c r="L33" s="352">
        <v>-1</v>
      </c>
      <c r="M33" s="420">
        <f>H33-'1 kari főtábla'!J135</f>
        <v>-1345361</v>
      </c>
    </row>
    <row r="34" spans="1:13" ht="28.2" customHeight="1" x14ac:dyDescent="0.3">
      <c r="A34" t="s">
        <v>3402</v>
      </c>
      <c r="B34" s="378" t="s">
        <v>3403</v>
      </c>
      <c r="C34" s="1191"/>
      <c r="D34" s="388" t="s">
        <v>3404</v>
      </c>
      <c r="E34" s="352">
        <v>-252164.77</v>
      </c>
      <c r="F34" s="352">
        <v>202159.81</v>
      </c>
      <c r="G34" s="352">
        <v>-201968.86000000002</v>
      </c>
      <c r="H34" s="352">
        <v>3453.82</v>
      </c>
      <c r="I34" s="352">
        <v>248520</v>
      </c>
      <c r="J34" s="352">
        <v>0</v>
      </c>
      <c r="K34" s="352">
        <v>0</v>
      </c>
      <c r="L34" s="352">
        <v>0</v>
      </c>
      <c r="M34" s="420">
        <f>H34-'1 kari főtábla'!J136</f>
        <v>255618.59</v>
      </c>
    </row>
    <row r="35" spans="1:13" ht="28.2" customHeight="1" x14ac:dyDescent="0.3">
      <c r="A35"/>
      <c r="B35" s="378" t="s">
        <v>3405</v>
      </c>
      <c r="C35" s="1191"/>
      <c r="D35" s="388" t="s">
        <v>3406</v>
      </c>
      <c r="E35" s="352">
        <v>-19907.744999999999</v>
      </c>
      <c r="F35" s="352">
        <v>0</v>
      </c>
      <c r="G35" s="352">
        <v>-15944.91</v>
      </c>
      <c r="H35" s="352">
        <v>272.67</v>
      </c>
      <c r="I35" s="352">
        <v>19620</v>
      </c>
      <c r="J35" s="352">
        <v>0</v>
      </c>
      <c r="K35" s="352">
        <v>0</v>
      </c>
      <c r="L35" s="352">
        <v>-15959.985000000001</v>
      </c>
      <c r="M35" s="420">
        <f>H35-'1 kari főtábla'!J137</f>
        <v>272.67</v>
      </c>
    </row>
    <row r="36" spans="1:13" ht="28.2" customHeight="1" x14ac:dyDescent="0.3">
      <c r="A36"/>
      <c r="B36" s="378" t="s">
        <v>3407</v>
      </c>
      <c r="C36" s="1191"/>
      <c r="D36" s="388" t="s">
        <v>3408</v>
      </c>
      <c r="E36" s="352">
        <v>19907.744999999999</v>
      </c>
      <c r="F36" s="352">
        <v>0</v>
      </c>
      <c r="G36" s="352">
        <v>15944.91</v>
      </c>
      <c r="H36" s="352">
        <v>-272.67</v>
      </c>
      <c r="I36" s="352">
        <v>-19620</v>
      </c>
      <c r="J36" s="352">
        <v>0</v>
      </c>
      <c r="K36" s="352">
        <v>0</v>
      </c>
      <c r="L36" s="352">
        <v>15959.985000000001</v>
      </c>
      <c r="M36" s="420">
        <f>H36-'1 kari főtábla'!J138</f>
        <v>-272.67</v>
      </c>
    </row>
    <row r="37" spans="1:13" ht="28.2" customHeight="1" x14ac:dyDescent="0.3">
      <c r="A37"/>
      <c r="B37" s="378" t="s">
        <v>3409</v>
      </c>
      <c r="C37" s="1191"/>
      <c r="D37" s="388" t="s">
        <v>3486</v>
      </c>
      <c r="E37" s="352">
        <v>-6635.915</v>
      </c>
      <c r="F37" s="352">
        <v>0</v>
      </c>
      <c r="G37" s="352">
        <v>-5314.97</v>
      </c>
      <c r="H37" s="352">
        <v>90.89</v>
      </c>
      <c r="I37" s="352">
        <v>6540</v>
      </c>
      <c r="J37" s="352">
        <v>0</v>
      </c>
      <c r="K37" s="352">
        <v>0</v>
      </c>
      <c r="L37" s="352">
        <v>-5319.9950000000008</v>
      </c>
      <c r="M37" s="420">
        <f>H37-'1 kari főtábla'!J139</f>
        <v>6726.8049999999985</v>
      </c>
    </row>
    <row r="38" spans="1:13" ht="28.2" customHeight="1" x14ac:dyDescent="0.3">
      <c r="A38"/>
      <c r="B38" s="378">
        <v>30</v>
      </c>
      <c r="C38" s="1191"/>
      <c r="D38" s="388" t="s">
        <v>3411</v>
      </c>
      <c r="E38" s="352"/>
      <c r="F38" s="352"/>
      <c r="G38" s="352"/>
      <c r="H38" s="352"/>
      <c r="I38" s="352"/>
      <c r="J38" s="352"/>
      <c r="K38" s="352"/>
      <c r="L38" s="352">
        <v>0</v>
      </c>
      <c r="M38" s="420">
        <f>H38-'1 kari főtábla'!J140</f>
        <v>0</v>
      </c>
    </row>
    <row r="39" spans="1:13" ht="28.2" customHeight="1" x14ac:dyDescent="0.3">
      <c r="A39" t="s">
        <v>3412</v>
      </c>
      <c r="B39" s="378">
        <v>31</v>
      </c>
      <c r="C39" s="1191"/>
      <c r="D39" s="388" t="s">
        <v>3413</v>
      </c>
      <c r="E39" s="352">
        <v>-56692</v>
      </c>
      <c r="F39" s="352">
        <v>-154303</v>
      </c>
      <c r="G39" s="352">
        <v>-12192</v>
      </c>
      <c r="H39" s="352">
        <v>-104956</v>
      </c>
      <c r="I39" s="352">
        <v>-121097</v>
      </c>
      <c r="J39" s="352"/>
      <c r="K39" s="352">
        <v>0</v>
      </c>
      <c r="L39" s="352">
        <v>-449240</v>
      </c>
      <c r="M39" s="420">
        <f>H39-'1 kari főtábla'!J141</f>
        <v>-48264</v>
      </c>
    </row>
    <row r="40" spans="1:13" ht="28.2" customHeight="1" x14ac:dyDescent="0.3">
      <c r="A40"/>
      <c r="B40" s="378">
        <v>32</v>
      </c>
      <c r="C40" s="1191"/>
      <c r="D40" s="388" t="s">
        <v>3414</v>
      </c>
      <c r="E40" s="352">
        <v>56692</v>
      </c>
      <c r="F40" s="352">
        <v>154303</v>
      </c>
      <c r="G40" s="352">
        <v>0</v>
      </c>
      <c r="H40" s="352">
        <v>51421</v>
      </c>
      <c r="I40" s="352">
        <v>0</v>
      </c>
      <c r="J40" s="352"/>
      <c r="K40" s="352">
        <v>0</v>
      </c>
      <c r="L40" s="352">
        <v>262416</v>
      </c>
      <c r="M40" s="420">
        <f>H40-'1 kari főtábla'!J142</f>
        <v>-5271</v>
      </c>
    </row>
    <row r="41" spans="1:13" ht="28.2" customHeight="1" x14ac:dyDescent="0.3">
      <c r="A41"/>
      <c r="B41" s="380">
        <v>33</v>
      </c>
      <c r="C41" s="381" t="s">
        <v>41</v>
      </c>
      <c r="D41" s="382" t="s">
        <v>41</v>
      </c>
      <c r="E41" s="383">
        <v>627677915.374542</v>
      </c>
      <c r="F41" s="383">
        <v>365996182.73138279</v>
      </c>
      <c r="G41" s="383">
        <v>196575996.62597832</v>
      </c>
      <c r="H41" s="383">
        <v>297556858.07956886</v>
      </c>
      <c r="I41" s="383">
        <v>107052165.48274355</v>
      </c>
      <c r="J41" s="383">
        <v>37025163.812821165</v>
      </c>
      <c r="K41" s="383">
        <v>12668912.155699397</v>
      </c>
      <c r="L41" s="383">
        <v>1644553194.2627361</v>
      </c>
      <c r="M41" s="420"/>
    </row>
    <row r="42" spans="1:13" ht="28.2" customHeight="1" x14ac:dyDescent="0.3">
      <c r="A42" t="s">
        <v>3415</v>
      </c>
      <c r="B42" s="378">
        <v>34</v>
      </c>
      <c r="C42" s="1192" t="s">
        <v>54</v>
      </c>
      <c r="D42" s="389" t="s">
        <v>3416</v>
      </c>
      <c r="E42" s="352">
        <v>6276492</v>
      </c>
      <c r="F42" s="352">
        <v>0</v>
      </c>
      <c r="G42" s="352">
        <v>130545</v>
      </c>
      <c r="H42" s="352">
        <v>14730418</v>
      </c>
      <c r="I42" s="352">
        <v>-242899</v>
      </c>
      <c r="J42" s="352">
        <v>324626</v>
      </c>
      <c r="K42" s="352">
        <v>-1387521</v>
      </c>
      <c r="L42" s="352">
        <v>19831661</v>
      </c>
      <c r="M42" s="420">
        <f>H42-'1 kari főtábla'!J144</f>
        <v>8453926</v>
      </c>
    </row>
    <row r="43" spans="1:13" ht="28.2" customHeight="1" x14ac:dyDescent="0.3">
      <c r="A43"/>
      <c r="B43" s="378">
        <v>35</v>
      </c>
      <c r="C43" s="1192"/>
      <c r="D43" s="389" t="s">
        <v>3417</v>
      </c>
      <c r="E43" s="352">
        <v>191422</v>
      </c>
      <c r="F43" s="352"/>
      <c r="G43" s="352">
        <v>31075</v>
      </c>
      <c r="H43" s="352">
        <v>403975</v>
      </c>
      <c r="I43" s="352"/>
      <c r="J43" s="352"/>
      <c r="K43" s="352"/>
      <c r="L43" s="352">
        <v>658196</v>
      </c>
      <c r="M43" s="420">
        <f>H43-'1 kari főtábla'!J145</f>
        <v>212553</v>
      </c>
    </row>
    <row r="44" spans="1:13" ht="28.2" customHeight="1" x14ac:dyDescent="0.3">
      <c r="A44"/>
      <c r="B44" s="378"/>
      <c r="C44" s="1192"/>
      <c r="D44" s="389">
        <v>0</v>
      </c>
      <c r="E44" s="352"/>
      <c r="F44" s="352"/>
      <c r="G44" s="352"/>
      <c r="H44" s="352"/>
      <c r="I44" s="352"/>
      <c r="J44" s="352"/>
      <c r="K44" s="352"/>
      <c r="L44" s="352">
        <v>0</v>
      </c>
      <c r="M44" s="420">
        <f>H44-'1 kari főtábla'!J146</f>
        <v>-34091614</v>
      </c>
    </row>
    <row r="45" spans="1:13" ht="28.2" customHeight="1" x14ac:dyDescent="0.3">
      <c r="A45"/>
      <c r="B45" s="378">
        <v>36</v>
      </c>
      <c r="C45" s="1192"/>
      <c r="D45" s="389" t="s">
        <v>3418</v>
      </c>
      <c r="E45" s="352">
        <v>34091614</v>
      </c>
      <c r="F45" s="352"/>
      <c r="G45" s="352"/>
      <c r="H45" s="352"/>
      <c r="I45" s="352"/>
      <c r="J45" s="352"/>
      <c r="K45" s="352"/>
      <c r="L45" s="352">
        <v>34091614</v>
      </c>
      <c r="M45" s="420">
        <f>H45-'1 kari főtábla'!J147</f>
        <v>-73628928.691871852</v>
      </c>
    </row>
    <row r="46" spans="1:13" ht="28.2" customHeight="1" x14ac:dyDescent="0.3">
      <c r="A46"/>
      <c r="B46" s="378" t="s">
        <v>3419</v>
      </c>
      <c r="C46" s="1192"/>
      <c r="D46" s="389" t="s">
        <v>3420</v>
      </c>
      <c r="E46" s="352">
        <v>73628928.370859295</v>
      </c>
      <c r="F46" s="352">
        <v>0</v>
      </c>
      <c r="G46" s="352">
        <v>25718285.556891575</v>
      </c>
      <c r="H46" s="352">
        <v>60948583.842276096</v>
      </c>
      <c r="I46" s="352">
        <v>11978045.258921873</v>
      </c>
      <c r="J46" s="352">
        <v>2024774.4021382066</v>
      </c>
      <c r="K46" s="352">
        <v>1235750.1206671838</v>
      </c>
      <c r="L46" s="352">
        <v>175534367.55175424</v>
      </c>
      <c r="M46" s="420">
        <f>H46-'1 kari főtábla'!J154</f>
        <v>60948583.842276096</v>
      </c>
    </row>
    <row r="47" spans="1:13" ht="28.2" customHeight="1" x14ac:dyDescent="0.3">
      <c r="A47"/>
      <c r="B47" s="378" t="s">
        <v>3421</v>
      </c>
      <c r="C47" s="1192"/>
      <c r="D47" s="389" t="s">
        <v>3422</v>
      </c>
      <c r="E47" s="352"/>
      <c r="F47" s="352"/>
      <c r="G47" s="352"/>
      <c r="H47" s="352"/>
      <c r="I47" s="352"/>
      <c r="J47" s="352"/>
      <c r="K47" s="352"/>
      <c r="L47" s="352">
        <v>0</v>
      </c>
      <c r="M47" s="420">
        <f>H47-'1 kari főtábla'!J155</f>
        <v>-32246232</v>
      </c>
    </row>
    <row r="48" spans="1:13" ht="28.2" customHeight="1" x14ac:dyDescent="0.3">
      <c r="A48"/>
      <c r="B48" s="378">
        <v>38</v>
      </c>
      <c r="C48" s="1192"/>
      <c r="D48" s="389" t="s">
        <v>3985</v>
      </c>
      <c r="E48" s="352">
        <v>32246232</v>
      </c>
      <c r="F48" s="352"/>
      <c r="G48" s="352">
        <v>7380165</v>
      </c>
      <c r="H48" s="352">
        <v>13150078</v>
      </c>
      <c r="I48" s="352">
        <v>3809164</v>
      </c>
      <c r="J48" s="352"/>
      <c r="K48" s="352"/>
      <c r="L48" s="352">
        <v>56585639</v>
      </c>
      <c r="M48" s="420">
        <f>H48-'1 kari főtábla'!J156</f>
        <v>7910821.6747091506</v>
      </c>
    </row>
    <row r="49" spans="1:13" ht="28.2" customHeight="1" x14ac:dyDescent="0.3">
      <c r="A49" t="s">
        <v>3374</v>
      </c>
      <c r="B49" s="378">
        <v>39</v>
      </c>
      <c r="C49" s="1192"/>
      <c r="D49" s="427" t="s">
        <v>3423</v>
      </c>
      <c r="E49" s="387">
        <v>5239256.3252908494</v>
      </c>
      <c r="F49" s="387">
        <v>0</v>
      </c>
      <c r="G49" s="387">
        <v>35681443.674728706</v>
      </c>
      <c r="H49" s="387">
        <v>0</v>
      </c>
      <c r="I49" s="387">
        <v>0</v>
      </c>
      <c r="J49" s="387">
        <v>0</v>
      </c>
      <c r="K49" s="387">
        <v>0</v>
      </c>
      <c r="L49" s="387">
        <v>40920700.000019558</v>
      </c>
      <c r="M49" s="420">
        <f>H49-'1 kari főtábla'!J157</f>
        <v>0</v>
      </c>
    </row>
    <row r="50" spans="1:13" ht="28.2" customHeight="1" x14ac:dyDescent="0.3">
      <c r="A50" t="s">
        <v>3392</v>
      </c>
      <c r="B50" s="378">
        <v>40</v>
      </c>
      <c r="C50" s="1192"/>
      <c r="D50" s="427" t="s">
        <v>3424</v>
      </c>
      <c r="E50" s="387"/>
      <c r="F50" s="387"/>
      <c r="G50" s="387">
        <v>5121250</v>
      </c>
      <c r="H50" s="387"/>
      <c r="I50" s="387"/>
      <c r="J50" s="387"/>
      <c r="K50" s="387"/>
      <c r="L50" s="387">
        <v>5121250</v>
      </c>
      <c r="M50" s="420">
        <f>H50-'1 kari főtábla'!J168</f>
        <v>0</v>
      </c>
    </row>
    <row r="51" spans="1:13" ht="28.2" customHeight="1" x14ac:dyDescent="0.3">
      <c r="A51"/>
      <c r="B51" s="378" t="s">
        <v>2832</v>
      </c>
      <c r="C51" s="1192"/>
      <c r="D51" s="389" t="s">
        <v>2838</v>
      </c>
      <c r="E51" s="352">
        <v>-28818049.492268525</v>
      </c>
      <c r="F51" s="352">
        <v>63531031.034837022</v>
      </c>
      <c r="G51" s="352">
        <v>-14071925.204007853</v>
      </c>
      <c r="H51" s="352">
        <v>-16954280.42003246</v>
      </c>
      <c r="I51" s="352">
        <v>-2999569.7591951559</v>
      </c>
      <c r="J51" s="352">
        <v>-446386.07640625926</v>
      </c>
      <c r="K51" s="352">
        <v>-234792.52292676491</v>
      </c>
      <c r="L51" s="352">
        <v>9.2550180852413177E-9</v>
      </c>
      <c r="M51" s="420">
        <f>H51-'1 kari főtábla'!J169</f>
        <v>11863769.133228455</v>
      </c>
    </row>
    <row r="52" spans="1:13" ht="28.2" customHeight="1" x14ac:dyDescent="0.3">
      <c r="A52"/>
      <c r="B52" s="378" t="s">
        <v>2833</v>
      </c>
      <c r="C52" s="1192"/>
      <c r="D52" s="389" t="s">
        <v>2839</v>
      </c>
      <c r="E52" s="352"/>
      <c r="F52" s="352">
        <v>-309779.8</v>
      </c>
      <c r="G52" s="352"/>
      <c r="H52" s="352">
        <v>0</v>
      </c>
      <c r="I52" s="352">
        <v>46150.81</v>
      </c>
      <c r="J52" s="352">
        <v>0</v>
      </c>
      <c r="K52" s="352">
        <v>263628.99</v>
      </c>
      <c r="L52" s="352">
        <v>0</v>
      </c>
      <c r="M52" s="420">
        <f>H52-'1 kari főtábla'!J170</f>
        <v>28818049.553260915</v>
      </c>
    </row>
    <row r="53" spans="1:13" ht="28.2" customHeight="1" x14ac:dyDescent="0.3">
      <c r="A53"/>
      <c r="B53" s="378">
        <v>41</v>
      </c>
      <c r="C53" s="1192"/>
      <c r="D53" s="389" t="s">
        <v>43</v>
      </c>
      <c r="E53" s="352">
        <v>-28818049.492268525</v>
      </c>
      <c r="F53" s="352">
        <v>63221251.234837025</v>
      </c>
      <c r="G53" s="352">
        <v>-14071925.204007853</v>
      </c>
      <c r="H53" s="352">
        <v>-16954280.42003246</v>
      </c>
      <c r="I53" s="352">
        <v>-2953418.9491951559</v>
      </c>
      <c r="J53" s="352">
        <v>-446386.07640625926</v>
      </c>
      <c r="K53" s="352">
        <v>28836.467073235082</v>
      </c>
      <c r="L53" s="352">
        <v>-2.6157067622989416E-9</v>
      </c>
      <c r="M53" s="420">
        <f>H53-'1 kari főtábla'!J171</f>
        <v>-16954280.42003246</v>
      </c>
    </row>
    <row r="54" spans="1:13" ht="28.2" customHeight="1" x14ac:dyDescent="0.3">
      <c r="A54"/>
      <c r="B54" s="378" t="s">
        <v>2834</v>
      </c>
      <c r="C54" s="1192"/>
      <c r="D54" s="389" t="s">
        <v>3487</v>
      </c>
      <c r="E54" s="352">
        <v>-758369.72348075069</v>
      </c>
      <c r="F54" s="352">
        <v>0</v>
      </c>
      <c r="G54" s="352">
        <v>-370313.82115810143</v>
      </c>
      <c r="H54" s="352">
        <v>-446165.27421138051</v>
      </c>
      <c r="I54" s="352">
        <v>-78936.046294609361</v>
      </c>
      <c r="J54" s="352">
        <v>-11747.002010691034</v>
      </c>
      <c r="K54" s="352">
        <v>-6178.7506033359186</v>
      </c>
      <c r="L54" s="352">
        <v>-1671869.2377588691</v>
      </c>
      <c r="M54" s="420">
        <f>H54-'1 kari főtábla'!J172</f>
        <v>312204.45087443304</v>
      </c>
    </row>
    <row r="55" spans="1:13" ht="28.2" customHeight="1" x14ac:dyDescent="0.3">
      <c r="A55"/>
      <c r="B55" s="378" t="s">
        <v>2835</v>
      </c>
      <c r="C55" s="1192"/>
      <c r="D55" s="389" t="s">
        <v>3488</v>
      </c>
      <c r="E55" s="352"/>
      <c r="F55" s="352">
        <v>0</v>
      </c>
      <c r="G55" s="352"/>
      <c r="H55" s="352"/>
      <c r="I55" s="352">
        <v>1214.4950000000001</v>
      </c>
      <c r="J55" s="352">
        <v>0</v>
      </c>
      <c r="K55" s="352">
        <v>6937.6050000000005</v>
      </c>
      <c r="L55" s="352">
        <v>8152.1</v>
      </c>
      <c r="M55" s="420">
        <f>H55-'1 kari főtábla'!J173</f>
        <v>758369.72508581355</v>
      </c>
    </row>
    <row r="56" spans="1:13" ht="28.2" customHeight="1" x14ac:dyDescent="0.3">
      <c r="A56"/>
      <c r="B56" s="378">
        <v>42</v>
      </c>
      <c r="C56" s="1192"/>
      <c r="D56" s="389" t="s">
        <v>3489</v>
      </c>
      <c r="E56" s="352">
        <v>-758369.72348075069</v>
      </c>
      <c r="F56" s="352">
        <v>0</v>
      </c>
      <c r="G56" s="352">
        <v>-370313.82115810143</v>
      </c>
      <c r="H56" s="352">
        <v>-446165.27421138051</v>
      </c>
      <c r="I56" s="352">
        <v>-77721.551294609366</v>
      </c>
      <c r="J56" s="352">
        <v>-11747.002010691034</v>
      </c>
      <c r="K56" s="352">
        <v>758.85439666408115</v>
      </c>
      <c r="L56" s="352">
        <v>-1663717.1377588692</v>
      </c>
      <c r="M56" s="420">
        <f>H56-'1 kari főtábla'!J174</f>
        <v>-446165.27421138051</v>
      </c>
    </row>
    <row r="57" spans="1:13" ht="28.2" customHeight="1" x14ac:dyDescent="0.3">
      <c r="A57"/>
      <c r="B57" s="378" t="s">
        <v>2840</v>
      </c>
      <c r="C57" s="1192"/>
      <c r="D57" s="389" t="s">
        <v>2844</v>
      </c>
      <c r="E57" s="352">
        <v>-2275109.170442252</v>
      </c>
      <c r="F57" s="352">
        <v>0</v>
      </c>
      <c r="G57" s="352">
        <v>-1110941.4634743042</v>
      </c>
      <c r="H57" s="352">
        <v>-1338495.8226341414</v>
      </c>
      <c r="I57" s="352">
        <v>-236808.13888382807</v>
      </c>
      <c r="J57" s="352">
        <v>-35241.006032073099</v>
      </c>
      <c r="K57" s="352">
        <v>-18536.251810007754</v>
      </c>
      <c r="L57" s="352">
        <v>-5015607.713276607</v>
      </c>
      <c r="M57" s="420">
        <f>H57-'1 kari főtábla'!J175</f>
        <v>-1338495.8178189532</v>
      </c>
    </row>
    <row r="58" spans="1:13" ht="28.2" customHeight="1" x14ac:dyDescent="0.3">
      <c r="A58"/>
      <c r="B58" s="378" t="s">
        <v>2841</v>
      </c>
      <c r="C58" s="1192"/>
      <c r="D58" s="389" t="s">
        <v>2845</v>
      </c>
      <c r="E58" s="352"/>
      <c r="F58" s="352"/>
      <c r="G58" s="352"/>
      <c r="H58" s="352"/>
      <c r="I58" s="352">
        <v>3643.4849999999997</v>
      </c>
      <c r="J58" s="352">
        <v>0</v>
      </c>
      <c r="K58" s="352">
        <v>20812.814999999999</v>
      </c>
      <c r="L58" s="352">
        <v>24456.3</v>
      </c>
      <c r="M58" s="420">
        <f>H58-'1 kari főtábla'!J176</f>
        <v>4.8151882365345955E-3</v>
      </c>
    </row>
    <row r="59" spans="1:13" ht="14.4" customHeight="1" x14ac:dyDescent="0.3">
      <c r="A59"/>
      <c r="B59" s="378">
        <v>43</v>
      </c>
      <c r="C59" s="1192"/>
      <c r="D59" s="389" t="s">
        <v>44</v>
      </c>
      <c r="E59" s="352">
        <v>-2275109.170442252</v>
      </c>
      <c r="F59" s="352">
        <v>0</v>
      </c>
      <c r="G59" s="352">
        <v>-1110941.4634743042</v>
      </c>
      <c r="H59" s="352">
        <v>-1338495.8226341414</v>
      </c>
      <c r="I59" s="352">
        <v>-233164.65388382808</v>
      </c>
      <c r="J59" s="352">
        <v>-35241.006032073099</v>
      </c>
      <c r="K59" s="352">
        <v>2276.5631899922432</v>
      </c>
      <c r="L59" s="352">
        <v>-4991151.4132766062</v>
      </c>
      <c r="M59" s="420">
        <f>H59-'1 kari főtábla'!J177</f>
        <v>-1338495.8226341414</v>
      </c>
    </row>
    <row r="60" spans="1:13" ht="15.6" customHeight="1" x14ac:dyDescent="0.3">
      <c r="A60"/>
      <c r="B60" s="378" t="s">
        <v>2842</v>
      </c>
      <c r="C60" s="1192"/>
      <c r="D60" s="389" t="s">
        <v>2846</v>
      </c>
      <c r="E60" s="352">
        <f>-E59</f>
        <v>2275109.170442252</v>
      </c>
      <c r="F60" s="352">
        <v>0</v>
      </c>
      <c r="G60" s="352">
        <v>1110941.4634743042</v>
      </c>
      <c r="H60" s="352">
        <v>1338495.8226341414</v>
      </c>
      <c r="I60" s="352">
        <v>236808.13888382807</v>
      </c>
      <c r="J60" s="352">
        <v>35241.006032073099</v>
      </c>
      <c r="K60" s="352">
        <v>18536.251810007754</v>
      </c>
      <c r="L60" s="352">
        <v>5015607.713276607</v>
      </c>
      <c r="M60" s="420">
        <f>H60-'1 kari főtábla'!J178</f>
        <v>1338495.8226341414</v>
      </c>
    </row>
    <row r="61" spans="1:13" ht="14.4" customHeight="1" x14ac:dyDescent="0.3">
      <c r="A61"/>
      <c r="B61" s="378" t="s">
        <v>2843</v>
      </c>
      <c r="C61" s="1192"/>
      <c r="D61" s="389" t="s">
        <v>2847</v>
      </c>
      <c r="E61" s="352">
        <v>0</v>
      </c>
      <c r="F61" s="352">
        <v>0</v>
      </c>
      <c r="G61" s="352">
        <v>0</v>
      </c>
      <c r="H61" s="352">
        <v>0</v>
      </c>
      <c r="I61" s="352">
        <v>-3643.4849999999997</v>
      </c>
      <c r="J61" s="352">
        <v>0</v>
      </c>
      <c r="K61" s="352">
        <v>-20812.814999999999</v>
      </c>
      <c r="L61" s="352">
        <v>-24456.3</v>
      </c>
      <c r="M61" s="420">
        <f>H61-'1 kari főtábla'!J179</f>
        <v>0</v>
      </c>
    </row>
    <row r="62" spans="1:13" ht="15.6" x14ac:dyDescent="0.3">
      <c r="A62"/>
      <c r="B62" s="378">
        <v>44</v>
      </c>
      <c r="C62" s="1192"/>
      <c r="D62" s="389" t="s">
        <v>31</v>
      </c>
      <c r="E62" s="352">
        <f>+E60</f>
        <v>2275109.170442252</v>
      </c>
      <c r="F62" s="352">
        <v>0</v>
      </c>
      <c r="G62" s="352">
        <v>1110941.4634743042</v>
      </c>
      <c r="H62" s="352">
        <v>1338495.8226341414</v>
      </c>
      <c r="I62" s="352">
        <v>233164.65388382808</v>
      </c>
      <c r="J62" s="352">
        <v>35241.006032073099</v>
      </c>
      <c r="K62" s="352">
        <v>-2276.5631899922432</v>
      </c>
      <c r="L62" s="352">
        <v>4991151.4132766062</v>
      </c>
      <c r="M62" s="420">
        <f>H62-'1 kari főtábla'!J180</f>
        <v>1338495.8226341414</v>
      </c>
    </row>
    <row r="63" spans="1:13" ht="31.2" x14ac:dyDescent="0.3">
      <c r="A63"/>
      <c r="B63" s="380">
        <v>45</v>
      </c>
      <c r="C63" s="130"/>
      <c r="D63" s="382" t="s">
        <v>45</v>
      </c>
      <c r="E63" s="383">
        <v>749775440.8549428</v>
      </c>
      <c r="F63" s="383">
        <v>429217433.96621978</v>
      </c>
      <c r="G63" s="383">
        <v>256196521.8324326</v>
      </c>
      <c r="H63" s="383">
        <v>369389467.22760111</v>
      </c>
      <c r="I63" s="383">
        <v>119565335.24117567</v>
      </c>
      <c r="J63" s="383">
        <v>38916431.136542417</v>
      </c>
      <c r="K63" s="383">
        <v>12546736.59783648</v>
      </c>
      <c r="L63" s="383">
        <v>1975632904.6767509</v>
      </c>
      <c r="M63" s="421"/>
    </row>
    <row r="64" spans="1:13" ht="15.6" x14ac:dyDescent="0.3">
      <c r="A64"/>
      <c r="B64" s="390">
        <v>46</v>
      </c>
      <c r="C64" s="130"/>
      <c r="D64" s="391" t="s">
        <v>46</v>
      </c>
      <c r="E64" s="392">
        <v>736997000.16114736</v>
      </c>
      <c r="F64" s="392">
        <v>422996296</v>
      </c>
      <c r="G64" s="392">
        <v>306135246.79858166</v>
      </c>
      <c r="H64" s="392">
        <v>367762718.04354352</v>
      </c>
      <c r="I64" s="392">
        <v>86160023.781933159</v>
      </c>
      <c r="J64" s="392">
        <v>38852277.006032072</v>
      </c>
      <c r="K64" s="392">
        <v>1594266.4366056486</v>
      </c>
      <c r="L64" s="392">
        <v>1960498304.0878432</v>
      </c>
      <c r="M64" s="421"/>
    </row>
    <row r="65" spans="1:13" ht="31.2" x14ac:dyDescent="0.3">
      <c r="A65"/>
      <c r="B65" s="380">
        <v>47</v>
      </c>
      <c r="C65" s="130"/>
      <c r="D65" s="382" t="s">
        <v>47</v>
      </c>
      <c r="E65" s="383">
        <v>12778440.693795443</v>
      </c>
      <c r="F65" s="383">
        <v>6221137.9662197828</v>
      </c>
      <c r="G65" s="383">
        <v>-49938724.966149062</v>
      </c>
      <c r="H65" s="383">
        <v>1626749.1840575933</v>
      </c>
      <c r="I65" s="383">
        <v>33405311.459242508</v>
      </c>
      <c r="J65" s="383">
        <v>64154.130510345101</v>
      </c>
      <c r="K65" s="383">
        <v>10952470.16123083</v>
      </c>
      <c r="L65" s="383">
        <v>15134600.588907598</v>
      </c>
      <c r="M65" s="421"/>
    </row>
    <row r="66" spans="1:13" ht="15.6" x14ac:dyDescent="0.3">
      <c r="A66" t="s">
        <v>3428</v>
      </c>
      <c r="B66" s="393">
        <v>48</v>
      </c>
      <c r="C66" s="130"/>
      <c r="D66" s="394" t="s">
        <v>49</v>
      </c>
      <c r="E66" s="395"/>
      <c r="F66" s="395">
        <v>60095841</v>
      </c>
      <c r="G66" s="395"/>
      <c r="H66" s="395"/>
      <c r="I66" s="395"/>
      <c r="J66" s="395"/>
      <c r="K66" s="395"/>
      <c r="L66" s="395">
        <v>60095841</v>
      </c>
      <c r="M66" s="422">
        <f>H66-'1 kari főtábla'!J182</f>
        <v>0</v>
      </c>
    </row>
    <row r="67" spans="1:13" ht="31.2" x14ac:dyDescent="0.3">
      <c r="A67" t="s">
        <v>51</v>
      </c>
      <c r="B67" s="380">
        <v>49</v>
      </c>
      <c r="C67" s="130"/>
      <c r="D67" s="382" t="s">
        <v>50</v>
      </c>
      <c r="E67" s="383">
        <v>12778440.693795443</v>
      </c>
      <c r="F67" s="383">
        <v>66316978.966219783</v>
      </c>
      <c r="G67" s="383">
        <v>-49938724.966149062</v>
      </c>
      <c r="H67" s="383">
        <v>1626749.1840575933</v>
      </c>
      <c r="I67" s="383">
        <v>33405311.459242508</v>
      </c>
      <c r="J67" s="383">
        <v>64154.130510345101</v>
      </c>
      <c r="K67" s="383">
        <v>10952470.16123083</v>
      </c>
      <c r="L67" s="383">
        <v>75230441.588907599</v>
      </c>
      <c r="M67" s="421"/>
    </row>
    <row r="68" spans="1:13" ht="15.6" x14ac:dyDescent="0.3">
      <c r="A68"/>
      <c r="B68" s="396">
        <v>50</v>
      </c>
      <c r="C68" s="130"/>
      <c r="D68" s="397" t="s">
        <v>2774</v>
      </c>
      <c r="E68" s="398"/>
      <c r="F68" s="398"/>
      <c r="G68" s="398"/>
      <c r="H68" s="398"/>
      <c r="I68" s="398"/>
      <c r="J68" s="398"/>
      <c r="K68" s="398"/>
      <c r="L68" s="398">
        <v>0</v>
      </c>
      <c r="M68" s="421"/>
    </row>
    <row r="69" spans="1:13" ht="15.6" hidden="1" x14ac:dyDescent="0.3">
      <c r="A69"/>
      <c r="B69" s="380">
        <v>51</v>
      </c>
      <c r="C69" s="130"/>
      <c r="D69" s="382" t="s">
        <v>2775</v>
      </c>
      <c r="E69" s="383">
        <v>12803502.6537956</v>
      </c>
      <c r="F69" s="383">
        <v>66316978.966219783</v>
      </c>
      <c r="G69" s="383">
        <v>-49938724.966149062</v>
      </c>
      <c r="H69" s="383">
        <v>1626749.1840575933</v>
      </c>
      <c r="I69" s="383">
        <v>33405311.459242508</v>
      </c>
      <c r="J69" s="383">
        <v>64154.130510345101</v>
      </c>
      <c r="K69" s="383">
        <v>10952470.16123083</v>
      </c>
      <c r="L69" s="383">
        <v>75230441.588907599</v>
      </c>
      <c r="M69" s="421"/>
    </row>
    <row r="70" spans="1:13" ht="15.6" hidden="1" x14ac:dyDescent="0.3">
      <c r="A70"/>
      <c r="B70" s="378"/>
      <c r="C70" s="130"/>
      <c r="D70" s="399"/>
      <c r="E70">
        <v>-18656743</v>
      </c>
      <c r="F70"/>
      <c r="G70">
        <v>-772413.00000000012</v>
      </c>
      <c r="H70">
        <v>-23980480</v>
      </c>
      <c r="I70">
        <v>-2538</v>
      </c>
      <c r="J70"/>
      <c r="K70"/>
      <c r="L70">
        <v>-43412174</v>
      </c>
      <c r="M70" s="421"/>
    </row>
    <row r="71" spans="1:13" ht="31.2" hidden="1" x14ac:dyDescent="0.3">
      <c r="A71"/>
      <c r="B71" s="378"/>
      <c r="C71" s="130"/>
      <c r="D71" s="399" t="s">
        <v>3429</v>
      </c>
      <c r="E71">
        <v>0</v>
      </c>
      <c r="F71"/>
      <c r="G71">
        <v>0</v>
      </c>
      <c r="H71">
        <v>0</v>
      </c>
      <c r="I71">
        <v>0</v>
      </c>
      <c r="J71">
        <v>0</v>
      </c>
      <c r="K71">
        <v>0</v>
      </c>
      <c r="L71">
        <v>0</v>
      </c>
      <c r="M71" s="421"/>
    </row>
    <row r="72" spans="1:13" ht="15.6" hidden="1" x14ac:dyDescent="0.3">
      <c r="A72"/>
      <c r="B72" s="378"/>
      <c r="C72" s="130"/>
      <c r="D72" s="399" t="s">
        <v>3430</v>
      </c>
      <c r="E72">
        <v>12803502.6537956</v>
      </c>
      <c r="F72">
        <v>66316978.966219783</v>
      </c>
      <c r="G72">
        <v>-49938724.966149062</v>
      </c>
      <c r="H72">
        <v>1626749.1840575933</v>
      </c>
      <c r="I72">
        <v>33405311.459242508</v>
      </c>
      <c r="J72">
        <v>64154.130510345101</v>
      </c>
      <c r="K72">
        <v>10952470.16123083</v>
      </c>
      <c r="L72">
        <v>75230441.588907599</v>
      </c>
      <c r="M72" s="421"/>
    </row>
    <row r="73" spans="1:13" ht="15.6" hidden="1" x14ac:dyDescent="0.3">
      <c r="A73"/>
      <c r="B73" s="378"/>
      <c r="C73" s="130"/>
      <c r="D73" s="399" t="s">
        <v>3431</v>
      </c>
      <c r="E73">
        <v>0</v>
      </c>
      <c r="F73">
        <v>0</v>
      </c>
      <c r="G73"/>
      <c r="H73"/>
      <c r="I73"/>
      <c r="J73"/>
      <c r="K73"/>
      <c r="L73"/>
      <c r="M73" s="421"/>
    </row>
    <row r="74" spans="1:13" ht="15.6" hidden="1" x14ac:dyDescent="0.3">
      <c r="A74"/>
      <c r="B74" s="378"/>
      <c r="C74" s="130"/>
      <c r="D74" s="399" t="s">
        <v>3432</v>
      </c>
      <c r="E74">
        <v>12803502.6537956</v>
      </c>
      <c r="F74"/>
      <c r="G74"/>
      <c r="H74"/>
      <c r="I74"/>
      <c r="J74"/>
      <c r="K74"/>
      <c r="L74"/>
      <c r="M74" s="421"/>
    </row>
    <row r="75" spans="1:13" ht="15.6" hidden="1" x14ac:dyDescent="0.3">
      <c r="A75"/>
      <c r="B75" s="396">
        <v>52</v>
      </c>
      <c r="C75" s="130"/>
      <c r="D75" s="397" t="s">
        <v>3433</v>
      </c>
      <c r="E75" s="398"/>
      <c r="F75" s="398"/>
      <c r="G75" s="398"/>
      <c r="H75" s="398"/>
      <c r="I75" s="398"/>
      <c r="J75" s="398"/>
      <c r="K75" s="398"/>
      <c r="L75" s="398">
        <v>0</v>
      </c>
      <c r="M75" s="423">
        <f>H75-'1 kari főtábla'!J487</f>
        <v>0</v>
      </c>
    </row>
    <row r="76" spans="1:13" ht="15.6" hidden="1" x14ac:dyDescent="0.3">
      <c r="A76"/>
      <c r="B76" s="380">
        <v>53</v>
      </c>
      <c r="C76" s="130"/>
      <c r="D76" s="382" t="s">
        <v>3432</v>
      </c>
      <c r="E76" s="383">
        <v>12803502.6537956</v>
      </c>
      <c r="F76" s="383">
        <v>66316978.966219783</v>
      </c>
      <c r="G76" s="383">
        <v>-49938724.966149062</v>
      </c>
      <c r="H76" s="383">
        <v>1626749.1840575933</v>
      </c>
      <c r="I76" s="383">
        <v>33405311.459242508</v>
      </c>
      <c r="J76" s="383">
        <v>64154.130510345101</v>
      </c>
      <c r="K76" s="383">
        <v>10952470.16123083</v>
      </c>
      <c r="L76" s="383">
        <v>75230441.588907599</v>
      </c>
      <c r="M76" s="421"/>
    </row>
    <row r="77" spans="1:13" x14ac:dyDescent="0.3">
      <c r="A77" s="130"/>
      <c r="B77" s="400"/>
      <c r="C77" s="130"/>
      <c r="D77" s="401"/>
      <c r="E77" s="130"/>
      <c r="F77" s="130"/>
      <c r="G77" s="130"/>
      <c r="H77" s="130"/>
      <c r="I77" s="130"/>
      <c r="J77" s="130"/>
      <c r="K77" s="130"/>
      <c r="L77" s="130"/>
    </row>
    <row r="78" spans="1:13" ht="15.6" x14ac:dyDescent="0.3">
      <c r="A78" s="130"/>
      <c r="B78" s="400"/>
      <c r="C78" s="130"/>
      <c r="D78" t="s">
        <v>3456</v>
      </c>
      <c r="E78" s="2">
        <f t="shared" ref="E78:L78" si="0">E63+E66+E75</f>
        <v>749775440.8549428</v>
      </c>
      <c r="F78" s="2">
        <f t="shared" si="0"/>
        <v>489313274.96621978</v>
      </c>
      <c r="G78" s="2">
        <f>G63+G66+G75</f>
        <v>256196521.8324326</v>
      </c>
      <c r="H78" s="2">
        <f>H63+H66+H75</f>
        <v>369389467.22760111</v>
      </c>
      <c r="I78" s="2">
        <f t="shared" si="0"/>
        <v>119565335.24117567</v>
      </c>
      <c r="J78" s="2">
        <f t="shared" si="0"/>
        <v>38916431.136542417</v>
      </c>
      <c r="K78" s="2">
        <f t="shared" si="0"/>
        <v>12546736.59783648</v>
      </c>
      <c r="L78" s="2">
        <f t="shared" si="0"/>
        <v>2035728745.6767509</v>
      </c>
    </row>
    <row r="79" spans="1:13" ht="15.6" x14ac:dyDescent="0.3">
      <c r="A79" s="130"/>
      <c r="B79" s="400"/>
      <c r="C79" s="130"/>
      <c r="D79" t="s">
        <v>3362</v>
      </c>
      <c r="E79" s="2">
        <f t="shared" ref="E79:L79" si="1">E78-E80</f>
        <v>686112201.53994274</v>
      </c>
      <c r="F79" s="2">
        <f t="shared" si="1"/>
        <v>479562099.65621978</v>
      </c>
      <c r="G79" s="2">
        <f t="shared" si="1"/>
        <v>249799840.36388355</v>
      </c>
      <c r="H79" s="2">
        <f t="shared" si="1"/>
        <v>345613966.1892702</v>
      </c>
      <c r="I79" s="2">
        <f t="shared" si="1"/>
        <v>87942757.075413108</v>
      </c>
      <c r="J79" s="2">
        <f t="shared" si="1"/>
        <v>26143742.136542417</v>
      </c>
      <c r="K79" s="2">
        <f t="shared" si="1"/>
        <v>4551873.5978364795</v>
      </c>
      <c r="L79" s="2">
        <f t="shared" si="1"/>
        <v>1879752018.3791084</v>
      </c>
    </row>
    <row r="80" spans="1:13" ht="15.6" x14ac:dyDescent="0.3">
      <c r="A80" s="130"/>
      <c r="B80" s="400"/>
      <c r="C80" s="130"/>
      <c r="D80" t="s">
        <v>2</v>
      </c>
      <c r="E80" s="2">
        <f t="shared" ref="E80:L80" si="2">SUM(E25:E40)</f>
        <v>63663239.314999998</v>
      </c>
      <c r="F80" s="2">
        <f t="shared" si="2"/>
        <v>9751175.3100000005</v>
      </c>
      <c r="G80" s="2">
        <f>SUM(G25:G40)</f>
        <v>6396681.4685490448</v>
      </c>
      <c r="H80" s="2">
        <f>SUM(H25:H40)</f>
        <v>23775501.038330898</v>
      </c>
      <c r="I80" s="2">
        <f t="shared" si="2"/>
        <v>31622578.165762566</v>
      </c>
      <c r="J80" s="2">
        <f t="shared" si="2"/>
        <v>12772689</v>
      </c>
      <c r="K80" s="2">
        <f t="shared" si="2"/>
        <v>7994863</v>
      </c>
      <c r="L80" s="2">
        <f t="shared" si="2"/>
        <v>155976727.2976425</v>
      </c>
    </row>
    <row r="81" spans="1:12" ht="15.6" x14ac:dyDescent="0.3">
      <c r="A81" s="130"/>
      <c r="B81" s="400"/>
      <c r="C81" s="130"/>
      <c r="D81"/>
      <c r="E81" s="399"/>
      <c r="F81"/>
      <c r="G81"/>
      <c r="H81"/>
      <c r="I81"/>
      <c r="J81" s="130"/>
      <c r="K81" s="130"/>
      <c r="L81" s="130"/>
    </row>
    <row r="82" spans="1:12" ht="15.6" x14ac:dyDescent="0.3">
      <c r="A82" s="130"/>
      <c r="B82" s="400"/>
      <c r="C82" s="130"/>
      <c r="D82"/>
      <c r="E82" s="399"/>
      <c r="F82"/>
      <c r="G82" s="410" t="s">
        <v>3457</v>
      </c>
      <c r="H82" s="411">
        <f>H79-'1 kari főtábla'!I493</f>
        <v>-340498234.95067257</v>
      </c>
      <c r="J82" s="130"/>
      <c r="K82" s="130"/>
      <c r="L82" s="130"/>
    </row>
    <row r="83" spans="1:12" ht="15.6" x14ac:dyDescent="0.3">
      <c r="A83" s="130"/>
      <c r="B83" s="400"/>
      <c r="C83" s="130"/>
      <c r="D83"/>
      <c r="E83" s="399"/>
      <c r="F83"/>
      <c r="G83" s="410" t="s">
        <v>3458</v>
      </c>
      <c r="H83" s="411">
        <f>H80-'1 kari főtábla'!I497</f>
        <v>-51810980.2766691</v>
      </c>
      <c r="J83" s="130"/>
      <c r="K83" s="130"/>
      <c r="L83" s="130"/>
    </row>
    <row r="84" spans="1:12" ht="15.6" x14ac:dyDescent="0.3">
      <c r="A84" s="130"/>
      <c r="B84" s="400"/>
      <c r="C84" s="130"/>
      <c r="D84" s="130"/>
      <c r="E84" s="401"/>
      <c r="F84" s="130"/>
      <c r="G84" s="410" t="s">
        <v>3459</v>
      </c>
      <c r="H84" s="411">
        <f>H64-'1 kari főtábla'!I499</f>
        <v>-376248829.11760384</v>
      </c>
      <c r="J84" s="130"/>
      <c r="K84" s="130"/>
      <c r="L84" s="130"/>
    </row>
    <row r="85" spans="1:12" x14ac:dyDescent="0.3">
      <c r="A85" s="130"/>
      <c r="B85" s="400"/>
      <c r="C85" s="130"/>
      <c r="D85" s="401"/>
      <c r="E85" s="130"/>
      <c r="F85" s="130"/>
      <c r="G85" s="130"/>
      <c r="H85" s="130"/>
      <c r="I85" s="130"/>
      <c r="J85" s="130"/>
      <c r="K85" s="130"/>
      <c r="L85" s="130"/>
    </row>
    <row r="86" spans="1:12" x14ac:dyDescent="0.3">
      <c r="A86" s="130"/>
      <c r="B86" s="400"/>
      <c r="C86" s="130"/>
      <c r="D86" s="401"/>
      <c r="E86" s="130"/>
      <c r="F86" s="130"/>
      <c r="G86" s="130"/>
      <c r="H86" s="130"/>
      <c r="I86" s="130"/>
      <c r="J86" s="130"/>
      <c r="K86" s="130"/>
      <c r="L86" s="130"/>
    </row>
    <row r="87" spans="1:12" x14ac:dyDescent="0.3">
      <c r="A87" s="130"/>
      <c r="B87" s="400"/>
      <c r="C87" s="130"/>
      <c r="D87" s="401"/>
      <c r="E87" s="130"/>
      <c r="F87" s="130"/>
      <c r="G87" s="130"/>
      <c r="H87" s="130"/>
      <c r="I87" s="130"/>
      <c r="J87" s="130"/>
      <c r="K87" s="130"/>
      <c r="L87" s="130"/>
    </row>
    <row r="88" spans="1:12" x14ac:dyDescent="0.3">
      <c r="A88" s="130"/>
      <c r="B88" s="400"/>
      <c r="C88" s="130"/>
      <c r="D88" s="401"/>
      <c r="E88" s="130"/>
      <c r="F88" s="130"/>
      <c r="G88" s="130"/>
      <c r="H88" s="130"/>
      <c r="I88" s="130"/>
      <c r="J88" s="130"/>
      <c r="K88" s="130"/>
      <c r="L88" s="130"/>
    </row>
    <row r="89" spans="1:12" x14ac:dyDescent="0.3">
      <c r="A89" s="130"/>
      <c r="B89" s="400"/>
      <c r="C89" s="130"/>
      <c r="D89" s="401"/>
      <c r="E89" s="130"/>
      <c r="F89" s="130"/>
      <c r="G89" s="130"/>
      <c r="H89" s="130"/>
      <c r="I89" s="130"/>
      <c r="J89" s="130"/>
      <c r="K89" s="130"/>
      <c r="L89" s="130"/>
    </row>
    <row r="90" spans="1:12" x14ac:dyDescent="0.3">
      <c r="A90" s="130"/>
      <c r="B90" s="400"/>
      <c r="C90" s="130"/>
      <c r="D90" s="401"/>
      <c r="E90" s="130"/>
      <c r="F90" s="130"/>
      <c r="G90" s="130"/>
      <c r="H90" s="130"/>
      <c r="I90" s="130"/>
      <c r="J90" s="130"/>
      <c r="K90" s="130"/>
      <c r="L90" s="130"/>
    </row>
    <row r="91" spans="1:12" x14ac:dyDescent="0.3">
      <c r="A91" s="130"/>
      <c r="B91" s="400"/>
      <c r="C91" s="130"/>
      <c r="D91" s="401"/>
      <c r="E91" s="130"/>
      <c r="F91" s="130"/>
      <c r="G91" s="130"/>
      <c r="H91" s="130"/>
      <c r="I91" s="130"/>
      <c r="J91" s="130"/>
      <c r="K91" s="130"/>
      <c r="L91" s="130"/>
    </row>
    <row r="92" spans="1:12" x14ac:dyDescent="0.3">
      <c r="A92" s="130"/>
      <c r="B92" s="400"/>
      <c r="C92" s="130"/>
      <c r="D92" s="401"/>
      <c r="E92" s="130"/>
      <c r="F92" s="130"/>
      <c r="G92" s="130"/>
      <c r="H92" s="130"/>
      <c r="I92" s="130"/>
      <c r="J92" s="130"/>
      <c r="K92" s="130"/>
      <c r="L92" s="130"/>
    </row>
    <row r="93" spans="1:12" x14ac:dyDescent="0.3">
      <c r="A93" s="130"/>
      <c r="B93" s="400"/>
      <c r="C93" s="130"/>
      <c r="D93" s="401"/>
      <c r="E93" s="130"/>
      <c r="F93" s="130"/>
      <c r="G93" s="130"/>
      <c r="H93" s="130"/>
      <c r="I93" s="130"/>
      <c r="J93" s="130"/>
      <c r="K93" s="130"/>
      <c r="L93" s="130"/>
    </row>
    <row r="94" spans="1:12" x14ac:dyDescent="0.3">
      <c r="A94" s="130"/>
      <c r="B94" s="400"/>
      <c r="C94" s="130"/>
      <c r="D94" s="401"/>
      <c r="E94" s="130"/>
      <c r="F94" s="130"/>
      <c r="G94" s="130"/>
      <c r="H94" s="130"/>
      <c r="I94" s="130"/>
      <c r="J94" s="130"/>
      <c r="K94" s="130"/>
      <c r="L94" s="130"/>
    </row>
    <row r="95" spans="1:12" x14ac:dyDescent="0.3">
      <c r="A95" s="130"/>
      <c r="B95" s="400"/>
      <c r="C95" s="130"/>
      <c r="D95" s="401"/>
      <c r="E95" s="130"/>
      <c r="F95" s="130"/>
      <c r="G95" s="130"/>
      <c r="H95" s="130"/>
      <c r="I95" s="130"/>
      <c r="J95" s="130"/>
      <c r="K95" s="130"/>
      <c r="L95" s="130"/>
    </row>
    <row r="96" spans="1:12" x14ac:dyDescent="0.3">
      <c r="A96" s="130"/>
      <c r="B96" s="400"/>
      <c r="C96" s="130"/>
      <c r="D96" s="401"/>
      <c r="E96" s="130"/>
      <c r="F96" s="130"/>
      <c r="G96" s="130"/>
      <c r="H96" s="130"/>
      <c r="I96" s="130"/>
      <c r="J96" s="130"/>
      <c r="K96" s="130"/>
      <c r="L96" s="130"/>
    </row>
    <row r="97" spans="1:12" x14ac:dyDescent="0.3">
      <c r="A97" s="130"/>
      <c r="B97" s="400"/>
      <c r="C97" s="130"/>
      <c r="D97" s="401"/>
      <c r="E97" s="130"/>
      <c r="F97" s="130"/>
      <c r="G97" s="130"/>
      <c r="H97" s="130"/>
      <c r="I97" s="130"/>
      <c r="J97" s="130"/>
      <c r="K97" s="130"/>
      <c r="L97" s="130"/>
    </row>
    <row r="98" spans="1:12" x14ac:dyDescent="0.3">
      <c r="A98" s="130"/>
      <c r="B98" s="400"/>
      <c r="C98" s="130"/>
      <c r="D98" s="401"/>
      <c r="E98" s="130"/>
      <c r="F98" s="130"/>
      <c r="G98" s="130"/>
      <c r="H98" s="130"/>
      <c r="I98" s="130"/>
      <c r="J98" s="130"/>
      <c r="K98" s="130"/>
      <c r="L98" s="130"/>
    </row>
    <row r="99" spans="1:12" x14ac:dyDescent="0.3">
      <c r="A99" s="130"/>
      <c r="B99" s="400"/>
      <c r="C99" s="130"/>
      <c r="D99" s="401"/>
      <c r="E99" s="130"/>
      <c r="F99" s="130"/>
      <c r="G99" s="130"/>
      <c r="H99" s="130"/>
      <c r="I99" s="130"/>
      <c r="J99" s="130"/>
      <c r="K99" s="130"/>
      <c r="L99" s="130"/>
    </row>
    <row r="100" spans="1:12" x14ac:dyDescent="0.3">
      <c r="A100" s="130"/>
      <c r="B100" s="400"/>
      <c r="C100" s="130"/>
      <c r="D100" s="401"/>
      <c r="E100" s="130"/>
      <c r="F100" s="130"/>
      <c r="G100" s="130"/>
      <c r="H100" s="130"/>
      <c r="I100" s="130"/>
      <c r="J100" s="130"/>
      <c r="K100" s="130"/>
      <c r="L100" s="130"/>
    </row>
    <row r="101" spans="1:12" x14ac:dyDescent="0.3">
      <c r="A101" s="130"/>
      <c r="B101" s="400"/>
      <c r="C101" s="130"/>
      <c r="D101" s="401"/>
      <c r="E101" s="130"/>
      <c r="F101" s="130"/>
      <c r="G101" s="130"/>
      <c r="H101" s="130"/>
      <c r="I101" s="130"/>
      <c r="J101" s="130"/>
      <c r="K101" s="130"/>
      <c r="L101" s="130"/>
    </row>
    <row r="102" spans="1:12" x14ac:dyDescent="0.3">
      <c r="A102" s="130"/>
      <c r="B102" s="400"/>
      <c r="C102" s="130"/>
      <c r="D102" s="401"/>
      <c r="E102" s="130"/>
      <c r="F102" s="130"/>
      <c r="G102" s="130"/>
      <c r="H102" s="130"/>
      <c r="I102" s="130"/>
      <c r="J102" s="130"/>
      <c r="K102" s="130"/>
      <c r="L102" s="130"/>
    </row>
    <row r="103" spans="1:12" x14ac:dyDescent="0.3">
      <c r="A103" s="130"/>
      <c r="B103" s="400"/>
      <c r="C103" s="130"/>
      <c r="D103" s="401"/>
      <c r="E103" s="130"/>
      <c r="F103" s="130"/>
      <c r="G103" s="130"/>
      <c r="H103" s="130"/>
      <c r="I103" s="130"/>
      <c r="J103" s="130"/>
      <c r="K103" s="130"/>
      <c r="L103" s="130"/>
    </row>
    <row r="104" spans="1:12" x14ac:dyDescent="0.3">
      <c r="A104" s="130"/>
      <c r="B104" s="400"/>
      <c r="C104" s="130"/>
      <c r="D104" s="401"/>
      <c r="E104" s="130"/>
      <c r="F104" s="130"/>
      <c r="G104" s="130"/>
      <c r="H104" s="130"/>
      <c r="I104" s="130"/>
      <c r="J104" s="130"/>
      <c r="K104" s="130"/>
      <c r="L104" s="130"/>
    </row>
    <row r="105" spans="1:12" x14ac:dyDescent="0.3">
      <c r="A105" s="130"/>
      <c r="B105" s="400"/>
      <c r="C105" s="130"/>
      <c r="D105" s="401"/>
      <c r="E105" s="130"/>
      <c r="F105" s="130"/>
      <c r="G105" s="130"/>
      <c r="H105" s="130"/>
      <c r="I105" s="130"/>
      <c r="J105" s="130"/>
      <c r="K105" s="130"/>
      <c r="L105" s="130"/>
    </row>
    <row r="106" spans="1:12" x14ac:dyDescent="0.3">
      <c r="A106" s="130"/>
      <c r="B106" s="400"/>
      <c r="C106" s="130"/>
      <c r="D106" s="401"/>
      <c r="E106" s="130"/>
      <c r="F106" s="130"/>
      <c r="G106" s="130"/>
      <c r="H106" s="130"/>
      <c r="I106" s="130"/>
      <c r="J106" s="130"/>
      <c r="K106" s="130"/>
      <c r="L106" s="130"/>
    </row>
    <row r="107" spans="1:12" x14ac:dyDescent="0.3">
      <c r="A107" s="130"/>
      <c r="B107" s="400"/>
      <c r="C107" s="130"/>
      <c r="D107" s="401"/>
      <c r="E107" s="130"/>
      <c r="F107" s="130"/>
      <c r="G107" s="130"/>
      <c r="H107" s="130"/>
      <c r="I107" s="130"/>
      <c r="J107" s="130"/>
      <c r="K107" s="130"/>
      <c r="L107" s="130"/>
    </row>
    <row r="108" spans="1:12" x14ac:dyDescent="0.3">
      <c r="A108" s="130"/>
      <c r="B108" s="400"/>
      <c r="C108" s="130"/>
      <c r="D108" s="401"/>
      <c r="E108" s="130"/>
      <c r="F108" s="130"/>
      <c r="G108" s="130"/>
      <c r="H108" s="130"/>
      <c r="I108" s="130"/>
      <c r="J108" s="130"/>
      <c r="K108" s="130"/>
      <c r="L108" s="130"/>
    </row>
    <row r="109" spans="1:12" x14ac:dyDescent="0.3">
      <c r="A109" s="130"/>
      <c r="B109" s="400"/>
      <c r="C109" s="130"/>
      <c r="D109" s="401"/>
      <c r="E109" s="130"/>
      <c r="F109" s="130"/>
      <c r="G109" s="130"/>
      <c r="H109" s="130"/>
      <c r="I109" s="130"/>
      <c r="J109" s="130"/>
      <c r="K109" s="130"/>
      <c r="L109" s="130"/>
    </row>
    <row r="110" spans="1:12" x14ac:dyDescent="0.3">
      <c r="A110" s="130"/>
      <c r="B110" s="400"/>
      <c r="C110" s="130"/>
      <c r="D110" s="401"/>
      <c r="E110" s="130"/>
      <c r="F110" s="130"/>
      <c r="G110" s="130"/>
      <c r="H110" s="130"/>
      <c r="I110" s="130"/>
      <c r="J110" s="130"/>
      <c r="K110" s="130"/>
      <c r="L110" s="130"/>
    </row>
    <row r="111" spans="1:12" x14ac:dyDescent="0.3">
      <c r="A111" s="130"/>
      <c r="B111" s="400"/>
      <c r="C111" s="130"/>
      <c r="D111" s="401"/>
      <c r="E111" s="130"/>
      <c r="F111" s="130"/>
      <c r="G111" s="130"/>
      <c r="H111" s="130"/>
      <c r="I111" s="130"/>
      <c r="J111" s="130"/>
      <c r="K111" s="130"/>
      <c r="L111" s="130"/>
    </row>
    <row r="112" spans="1:12" x14ac:dyDescent="0.3">
      <c r="A112" s="130"/>
      <c r="B112" s="400"/>
      <c r="C112" s="130"/>
      <c r="D112" s="401"/>
      <c r="E112" s="130"/>
      <c r="F112" s="130"/>
      <c r="G112" s="130"/>
      <c r="H112" s="130"/>
      <c r="I112" s="130"/>
      <c r="J112" s="130"/>
      <c r="K112" s="130"/>
      <c r="L112" s="130"/>
    </row>
    <row r="113" spans="1:12" x14ac:dyDescent="0.3">
      <c r="A113" s="130"/>
      <c r="B113" s="400"/>
      <c r="C113" s="130"/>
      <c r="D113" s="401"/>
      <c r="E113" s="130"/>
      <c r="F113" s="130"/>
      <c r="G113" s="130"/>
      <c r="H113" s="130"/>
      <c r="I113" s="130"/>
      <c r="J113" s="130"/>
      <c r="K113" s="130"/>
      <c r="L113" s="130"/>
    </row>
    <row r="114" spans="1:12" x14ac:dyDescent="0.3">
      <c r="A114" s="130"/>
      <c r="B114" s="400"/>
      <c r="C114" s="130"/>
      <c r="D114" s="401"/>
      <c r="E114" s="130"/>
      <c r="F114" s="130"/>
      <c r="G114" s="130"/>
      <c r="H114" s="130"/>
      <c r="I114" s="130"/>
      <c r="J114" s="130"/>
      <c r="K114" s="130"/>
      <c r="L114" s="130"/>
    </row>
    <row r="115" spans="1:12" x14ac:dyDescent="0.3">
      <c r="A115" s="130"/>
      <c r="B115" s="400"/>
      <c r="C115" s="130"/>
      <c r="D115" s="401"/>
      <c r="E115" s="130"/>
      <c r="F115" s="130"/>
      <c r="G115" s="130"/>
      <c r="H115" s="130"/>
      <c r="I115" s="130"/>
      <c r="J115" s="130"/>
      <c r="K115" s="130"/>
      <c r="L115" s="130"/>
    </row>
    <row r="116" spans="1:12" x14ac:dyDescent="0.3">
      <c r="A116" s="130"/>
      <c r="B116" s="400"/>
      <c r="C116" s="130"/>
      <c r="D116" s="401"/>
      <c r="E116" s="130"/>
      <c r="F116" s="130"/>
      <c r="G116" s="130"/>
      <c r="H116" s="130"/>
      <c r="I116" s="130"/>
      <c r="J116" s="130"/>
      <c r="K116" s="130"/>
      <c r="L116" s="130"/>
    </row>
    <row r="117" spans="1:12" x14ac:dyDescent="0.3">
      <c r="A117" s="130"/>
      <c r="B117" s="400"/>
      <c r="C117" s="130"/>
      <c r="D117" s="401"/>
      <c r="E117" s="130"/>
      <c r="F117" s="130"/>
      <c r="G117" s="130"/>
      <c r="H117" s="130"/>
      <c r="I117" s="130"/>
      <c r="J117" s="130"/>
      <c r="K117" s="130"/>
      <c r="L117" s="130"/>
    </row>
    <row r="118" spans="1:12" x14ac:dyDescent="0.3">
      <c r="A118" s="130"/>
      <c r="B118" s="400"/>
      <c r="C118" s="130"/>
      <c r="D118" s="401"/>
      <c r="E118" s="130"/>
      <c r="F118" s="130"/>
      <c r="G118" s="130"/>
      <c r="H118" s="130"/>
      <c r="I118" s="130"/>
      <c r="J118" s="130"/>
      <c r="K118" s="130"/>
      <c r="L118" s="130"/>
    </row>
    <row r="119" spans="1:12" x14ac:dyDescent="0.3">
      <c r="A119" s="130"/>
      <c r="B119" s="400"/>
      <c r="C119" s="130"/>
      <c r="D119" s="401"/>
      <c r="E119" s="130"/>
      <c r="F119" s="130"/>
      <c r="G119" s="130"/>
      <c r="H119" s="130"/>
      <c r="I119" s="130"/>
      <c r="J119" s="130"/>
      <c r="K119" s="130"/>
      <c r="L119" s="130"/>
    </row>
  </sheetData>
  <autoFilter ref="A1:M76"/>
  <mergeCells count="4">
    <mergeCell ref="C2:C8"/>
    <mergeCell ref="C10:C23"/>
    <mergeCell ref="C25:C40"/>
    <mergeCell ref="C42:C62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"/>
  <sheetViews>
    <sheetView zoomScale="85" zoomScaleNormal="85" workbookViewId="0">
      <selection activeCell="C13" sqref="C13"/>
    </sheetView>
  </sheetViews>
  <sheetFormatPr defaultColWidth="8.88671875" defaultRowHeight="14.4" x14ac:dyDescent="0.3"/>
  <cols>
    <col min="1" max="1" width="8.88671875" style="131"/>
    <col min="2" max="2" width="36" style="131" customWidth="1"/>
    <col min="3" max="3" width="15.44140625" style="131" customWidth="1"/>
    <col min="4" max="4" width="18.88671875" style="131" customWidth="1"/>
    <col min="5" max="5" width="15.44140625" style="131" customWidth="1"/>
    <col min="6" max="6" width="14.88671875" style="131" customWidth="1"/>
    <col min="7" max="7" width="16" style="131" customWidth="1"/>
    <col min="8" max="8" width="15.6640625" style="131" customWidth="1"/>
    <col min="9" max="9" width="15.21875" style="131" customWidth="1"/>
    <col min="10" max="10" width="19.88671875" style="131" customWidth="1"/>
    <col min="11" max="11" width="12.88671875" style="131" customWidth="1"/>
    <col min="12" max="16384" width="8.88671875" style="131"/>
  </cols>
  <sheetData>
    <row r="1" spans="1:11" ht="39.75" customHeight="1" x14ac:dyDescent="0.3">
      <c r="A1" s="377"/>
      <c r="B1" s="377" t="s">
        <v>3</v>
      </c>
      <c r="C1" s="377" t="s">
        <v>804</v>
      </c>
      <c r="D1" s="377" t="s">
        <v>16</v>
      </c>
      <c r="E1" s="377" t="s">
        <v>2777</v>
      </c>
      <c r="F1" s="377" t="s">
        <v>2778</v>
      </c>
      <c r="G1" s="377" t="s">
        <v>2779</v>
      </c>
      <c r="H1" s="377" t="s">
        <v>3490</v>
      </c>
      <c r="I1" s="377" t="s">
        <v>2780</v>
      </c>
      <c r="J1" s="377" t="s">
        <v>17</v>
      </c>
      <c r="K1" s="267" t="s">
        <v>3035</v>
      </c>
    </row>
    <row r="2" spans="1:11" ht="26.4" customHeight="1" x14ac:dyDescent="0.3">
      <c r="A2" s="5" t="s">
        <v>55</v>
      </c>
      <c r="B2" s="80" t="s">
        <v>3434</v>
      </c>
      <c r="C2" s="402">
        <v>485269691.62384039</v>
      </c>
      <c r="D2" s="402">
        <v>188357398</v>
      </c>
      <c r="E2" s="402">
        <v>210375139.77500001</v>
      </c>
      <c r="F2" s="402">
        <v>201044277.80000001</v>
      </c>
      <c r="G2" s="402">
        <v>62049330.200000003</v>
      </c>
      <c r="H2" s="402">
        <v>36614992</v>
      </c>
      <c r="I2" s="402">
        <v>1393825.5</v>
      </c>
      <c r="J2" s="402">
        <v>1183710829.3988404</v>
      </c>
      <c r="K2" s="268">
        <f>F2-'1 kari főtábla'!J199</f>
        <v>-401557305.19999999</v>
      </c>
    </row>
    <row r="3" spans="1:11" ht="26.4" customHeight="1" x14ac:dyDescent="0.3">
      <c r="A3" s="5"/>
      <c r="B3" s="80" t="s">
        <v>3435</v>
      </c>
      <c r="C3" s="402">
        <v>117331891.11000001</v>
      </c>
      <c r="D3" s="402">
        <v>24915935</v>
      </c>
      <c r="E3" s="402">
        <v>26853639.995000001</v>
      </c>
      <c r="F3" s="402">
        <v>47848181.675000004</v>
      </c>
      <c r="G3" s="402">
        <v>13860114.065000001</v>
      </c>
      <c r="H3" s="402">
        <v>0</v>
      </c>
      <c r="I3" s="402">
        <v>0</v>
      </c>
      <c r="J3" s="402">
        <v>230809761.84500003</v>
      </c>
      <c r="K3" s="268">
        <f>F3-'1 kari főtábla'!J200</f>
        <v>47848181.675000004</v>
      </c>
    </row>
    <row r="4" spans="1:11" ht="26.4" customHeight="1" x14ac:dyDescent="0.3">
      <c r="A4" s="5" t="s">
        <v>58</v>
      </c>
      <c r="B4" s="80" t="s">
        <v>69</v>
      </c>
      <c r="C4" s="402"/>
      <c r="D4" s="402"/>
      <c r="E4" s="402"/>
      <c r="F4" s="402"/>
      <c r="G4" s="402"/>
      <c r="H4" s="402"/>
      <c r="I4" s="402"/>
      <c r="J4" s="402">
        <v>0</v>
      </c>
      <c r="K4" s="268" t="e">
        <f>F4-'1 kari főtábla'!#REF!</f>
        <v>#REF!</v>
      </c>
    </row>
    <row r="5" spans="1:11" ht="26.4" customHeight="1" x14ac:dyDescent="0.3">
      <c r="A5" s="5" t="s">
        <v>59</v>
      </c>
      <c r="B5" s="80" t="s">
        <v>2776</v>
      </c>
      <c r="C5" s="402">
        <v>116492759</v>
      </c>
      <c r="D5" s="402">
        <v>149230949</v>
      </c>
      <c r="E5" s="402">
        <v>37359950</v>
      </c>
      <c r="F5" s="402">
        <v>83846155</v>
      </c>
      <c r="G5" s="402">
        <v>7432101</v>
      </c>
      <c r="H5" s="402"/>
      <c r="I5" s="402"/>
      <c r="J5" s="402">
        <v>394361914</v>
      </c>
      <c r="K5" s="268">
        <f>F5-'1 kari főtábla'!J257</f>
        <v>-32646603.557914212</v>
      </c>
    </row>
    <row r="6" spans="1:11" ht="26.4" customHeight="1" x14ac:dyDescent="0.3">
      <c r="A6" s="403"/>
      <c r="B6" s="80"/>
      <c r="C6" s="402"/>
      <c r="D6" s="402"/>
      <c r="E6" s="402"/>
      <c r="F6" s="402"/>
      <c r="G6" s="402"/>
      <c r="H6" s="402"/>
      <c r="I6" s="402"/>
      <c r="J6" s="402"/>
      <c r="K6" s="268"/>
    </row>
    <row r="7" spans="1:11" ht="26.4" customHeight="1" x14ac:dyDescent="0.3">
      <c r="A7" s="5" t="s">
        <v>60</v>
      </c>
      <c r="B7" s="80" t="s">
        <v>74</v>
      </c>
      <c r="C7" s="402"/>
      <c r="D7" s="402"/>
      <c r="E7" s="402"/>
      <c r="F7" s="402"/>
      <c r="G7" s="402"/>
      <c r="H7" s="402"/>
      <c r="I7" s="402"/>
      <c r="J7" s="402">
        <v>0</v>
      </c>
      <c r="K7" s="268"/>
    </row>
    <row r="8" spans="1:11" ht="26.4" customHeight="1" x14ac:dyDescent="0.3">
      <c r="A8" s="5" t="s">
        <v>61</v>
      </c>
      <c r="B8" s="80" t="s">
        <v>3436</v>
      </c>
      <c r="C8" s="402">
        <v>0</v>
      </c>
      <c r="D8" s="402">
        <v>0</v>
      </c>
      <c r="E8" s="402">
        <v>0</v>
      </c>
      <c r="F8" s="402">
        <v>0</v>
      </c>
      <c r="G8" s="402">
        <v>0</v>
      </c>
      <c r="H8" s="402">
        <v>0</v>
      </c>
      <c r="I8" s="402"/>
      <c r="J8" s="402">
        <v>0</v>
      </c>
      <c r="K8" s="268">
        <f>F8-'1 kari főtábla'!J262</f>
        <v>0</v>
      </c>
    </row>
    <row r="9" spans="1:11" ht="26.4" customHeight="1" x14ac:dyDescent="0.3">
      <c r="A9" s="5" t="s">
        <v>62</v>
      </c>
      <c r="B9" s="80" t="s">
        <v>3437</v>
      </c>
      <c r="C9" s="402">
        <v>109881</v>
      </c>
      <c r="D9" s="402">
        <v>299070</v>
      </c>
      <c r="E9" s="402">
        <v>24239</v>
      </c>
      <c r="F9" s="402">
        <v>164696</v>
      </c>
      <c r="G9" s="402">
        <v>229375</v>
      </c>
      <c r="H9" s="402">
        <v>0</v>
      </c>
      <c r="I9" s="402"/>
      <c r="J9" s="402">
        <v>827261</v>
      </c>
      <c r="K9" s="268">
        <f>F9-'1 kari főtábla'!J267</f>
        <v>54815.000000000015</v>
      </c>
    </row>
    <row r="10" spans="1:11" ht="26.4" customHeight="1" x14ac:dyDescent="0.3">
      <c r="A10" s="5" t="s">
        <v>63</v>
      </c>
      <c r="B10" s="80" t="s">
        <v>3438</v>
      </c>
      <c r="C10" s="402">
        <v>3185709</v>
      </c>
      <c r="D10" s="402">
        <v>60192944</v>
      </c>
      <c r="E10" s="402">
        <v>20128774</v>
      </c>
      <c r="F10" s="402">
        <v>10785286</v>
      </c>
      <c r="G10" s="402">
        <v>664494</v>
      </c>
      <c r="H10" s="402">
        <v>2202044</v>
      </c>
      <c r="I10" s="402">
        <v>58775</v>
      </c>
      <c r="J10" s="402">
        <v>97218026</v>
      </c>
      <c r="K10" s="268">
        <f>F10-'1 kari főtábla'!J274</f>
        <v>585030</v>
      </c>
    </row>
    <row r="11" spans="1:11" ht="26.4" customHeight="1" x14ac:dyDescent="0.3">
      <c r="A11" s="5" t="s">
        <v>64</v>
      </c>
      <c r="B11" s="80" t="s">
        <v>3439</v>
      </c>
      <c r="C11" s="402"/>
      <c r="D11" s="402"/>
      <c r="E11" s="402"/>
      <c r="F11" s="402">
        <v>308000</v>
      </c>
      <c r="G11" s="402"/>
      <c r="H11" s="402"/>
      <c r="I11" s="402"/>
      <c r="J11" s="402">
        <v>308000</v>
      </c>
      <c r="K11" s="268">
        <f>F11-'1 kari főtábla'!J347</f>
        <v>308000</v>
      </c>
    </row>
    <row r="12" spans="1:11" ht="26.4" customHeight="1" x14ac:dyDescent="0.3">
      <c r="A12" s="5"/>
      <c r="B12" s="80"/>
      <c r="C12" s="402"/>
      <c r="D12" s="402"/>
      <c r="E12" s="402"/>
      <c r="F12" s="402"/>
      <c r="G12" s="402"/>
      <c r="H12" s="402"/>
      <c r="I12" s="402"/>
      <c r="J12" s="402">
        <v>0</v>
      </c>
      <c r="K12" s="268"/>
    </row>
    <row r="13" spans="1:11" ht="26.4" customHeight="1" x14ac:dyDescent="0.3">
      <c r="A13" s="5" t="s">
        <v>66</v>
      </c>
      <c r="B13" s="80" t="s">
        <v>3440</v>
      </c>
      <c r="C13" s="402">
        <v>14607068.427306892</v>
      </c>
      <c r="D13" s="402">
        <v>0</v>
      </c>
      <c r="E13" s="402">
        <v>11393504.028581683</v>
      </c>
      <c r="F13" s="402">
        <v>23766121.568543509</v>
      </c>
      <c r="G13" s="402">
        <v>1924609.5169331629</v>
      </c>
      <c r="H13" s="402">
        <v>35241.006032073099</v>
      </c>
      <c r="I13" s="402">
        <v>141665.93660564866</v>
      </c>
      <c r="J13" s="402">
        <v>51727020.407397322</v>
      </c>
      <c r="K13" s="268">
        <f>F13-'1 kari főtábla'!J355</f>
        <v>9159052.8362366166</v>
      </c>
    </row>
    <row r="14" spans="1:11" ht="26.4" customHeight="1" x14ac:dyDescent="0.3">
      <c r="A14" s="5" t="s">
        <v>67</v>
      </c>
      <c r="B14" s="80" t="s">
        <v>71</v>
      </c>
      <c r="C14" s="402">
        <v>0</v>
      </c>
      <c r="D14" s="402"/>
      <c r="E14" s="402"/>
      <c r="F14" s="402"/>
      <c r="G14" s="402"/>
      <c r="H14" s="402"/>
      <c r="I14" s="402"/>
      <c r="J14" s="402">
        <v>0</v>
      </c>
      <c r="K14" s="268">
        <f>F14-'1 kari főtábla'!J478</f>
        <v>0</v>
      </c>
    </row>
    <row r="15" spans="1:11" ht="15.6" x14ac:dyDescent="0.3">
      <c r="A15" s="377"/>
      <c r="B15" s="377" t="s">
        <v>46</v>
      </c>
      <c r="C15" s="404">
        <v>736997476.02114737</v>
      </c>
      <c r="D15" s="404">
        <v>422996296</v>
      </c>
      <c r="E15" s="404">
        <v>306135246.79858166</v>
      </c>
      <c r="F15" s="404">
        <v>367762718.04354352</v>
      </c>
      <c r="G15" s="404">
        <v>86160023.781933159</v>
      </c>
      <c r="H15" s="404">
        <v>38852277.006032072</v>
      </c>
      <c r="I15" s="404">
        <v>1594266.4366056486</v>
      </c>
      <c r="J15" s="404">
        <v>1958904037.6512375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35"/>
  <sheetViews>
    <sheetView zoomScale="70" zoomScaleNormal="70" workbookViewId="0">
      <pane xSplit="4" ySplit="8" topLeftCell="E9" activePane="bottomRight" state="frozen"/>
      <selection pane="topRight" activeCell="E1" sqref="E1"/>
      <selection pane="bottomLeft" activeCell="A9" sqref="A9"/>
      <selection pane="bottomRight" activeCell="E9" sqref="E9"/>
    </sheetView>
  </sheetViews>
  <sheetFormatPr defaultColWidth="9.109375" defaultRowHeight="15.6" x14ac:dyDescent="0.3"/>
  <cols>
    <col min="1" max="1" width="13.21875" style="74" customWidth="1"/>
    <col min="2" max="2" width="21.44140625" style="76" bestFit="1" customWidth="1"/>
    <col min="3" max="3" width="26" style="76" customWidth="1"/>
    <col min="4" max="4" width="30.33203125" style="74" customWidth="1"/>
    <col min="5" max="5" width="17.88671875" style="76" customWidth="1"/>
    <col min="6" max="6" width="20.109375" style="76" customWidth="1"/>
    <col min="7" max="7" width="20.88671875" style="76" customWidth="1"/>
    <col min="8" max="8" width="16.6640625" style="76" customWidth="1"/>
    <col min="9" max="9" width="16.33203125" style="76" customWidth="1"/>
    <col min="10" max="10" width="9.109375" style="74"/>
    <col min="11" max="11" width="16" style="74" bestFit="1" customWidth="1"/>
    <col min="12" max="12" width="12.44140625" style="74" bestFit="1" customWidth="1"/>
    <col min="13" max="16384" width="9.109375" style="74"/>
  </cols>
  <sheetData>
    <row r="1" spans="1:9" ht="28.5" customHeight="1" x14ac:dyDescent="0.3">
      <c r="A1" s="80" t="s">
        <v>1164</v>
      </c>
      <c r="B1" s="80"/>
      <c r="C1" s="80"/>
      <c r="E1" s="80"/>
      <c r="F1" s="80"/>
      <c r="G1" s="80"/>
      <c r="H1" s="80"/>
      <c r="I1" s="80"/>
    </row>
    <row r="2" spans="1:9" ht="15.6" customHeight="1" x14ac:dyDescent="0.3">
      <c r="A2" s="81" t="s">
        <v>1165</v>
      </c>
      <c r="B2" s="81"/>
      <c r="C2" s="81"/>
      <c r="E2" s="81"/>
      <c r="F2" s="81"/>
      <c r="G2" s="81"/>
      <c r="H2" s="81"/>
      <c r="I2" s="81"/>
    </row>
    <row r="3" spans="1:9" x14ac:dyDescent="0.3">
      <c r="A3" s="81"/>
      <c r="B3" s="81"/>
      <c r="C3" s="81"/>
      <c r="E3" s="81"/>
      <c r="F3" s="81"/>
      <c r="G3" s="81"/>
      <c r="H3" s="81"/>
      <c r="I3" s="81"/>
    </row>
    <row r="4" spans="1:9" x14ac:dyDescent="0.3">
      <c r="A4" s="754"/>
      <c r="B4" s="754"/>
      <c r="C4" s="754"/>
      <c r="E4" s="754"/>
      <c r="F4" s="754"/>
      <c r="G4" s="754"/>
      <c r="H4" s="754"/>
      <c r="I4" s="754"/>
    </row>
    <row r="5" spans="1:9" x14ac:dyDescent="0.3">
      <c r="A5" s="74" t="s">
        <v>735</v>
      </c>
      <c r="B5" s="74" t="s">
        <v>1166</v>
      </c>
      <c r="C5" s="75"/>
      <c r="E5" s="75"/>
      <c r="F5" s="75"/>
      <c r="G5" s="75"/>
      <c r="H5" s="754"/>
      <c r="I5" s="754"/>
    </row>
    <row r="6" spans="1:9" x14ac:dyDescent="0.3">
      <c r="A6" s="74" t="s">
        <v>737</v>
      </c>
      <c r="B6" s="74" t="s">
        <v>134</v>
      </c>
      <c r="C6" s="75"/>
      <c r="E6" s="75"/>
      <c r="F6" s="75"/>
      <c r="G6" s="75"/>
      <c r="H6" s="754"/>
      <c r="I6" s="754"/>
    </row>
    <row r="7" spans="1:9" x14ac:dyDescent="0.3">
      <c r="A7" s="754"/>
      <c r="B7" s="75"/>
      <c r="C7" s="75"/>
      <c r="E7" s="75"/>
      <c r="F7" s="75"/>
      <c r="G7" s="75"/>
      <c r="H7" s="754"/>
      <c r="I7" s="754"/>
    </row>
    <row r="8" spans="1:9" ht="31.2" x14ac:dyDescent="0.3">
      <c r="A8" s="570" t="s">
        <v>1167</v>
      </c>
      <c r="B8" s="570" t="s">
        <v>738</v>
      </c>
      <c r="C8" s="570" t="s">
        <v>744</v>
      </c>
      <c r="D8" s="571" t="s">
        <v>3742</v>
      </c>
      <c r="E8" s="570" t="s">
        <v>741</v>
      </c>
      <c r="F8" s="572" t="s">
        <v>740</v>
      </c>
      <c r="G8" s="572" t="s">
        <v>743</v>
      </c>
      <c r="H8" s="572" t="s">
        <v>742</v>
      </c>
      <c r="I8" s="572" t="s">
        <v>742</v>
      </c>
    </row>
    <row r="9" spans="1:9" x14ac:dyDescent="0.3">
      <c r="A9" s="74" t="s">
        <v>749</v>
      </c>
      <c r="B9" s="74" t="s">
        <v>761</v>
      </c>
      <c r="C9" s="74" t="s">
        <v>1192</v>
      </c>
      <c r="D9" s="131" t="s">
        <v>2971</v>
      </c>
      <c r="E9" s="573">
        <v>7631959.404864056</v>
      </c>
      <c r="F9" s="573">
        <v>79870783.83592537</v>
      </c>
      <c r="G9" s="573">
        <v>0</v>
      </c>
      <c r="H9" s="573">
        <v>0</v>
      </c>
      <c r="I9" s="573">
        <v>0</v>
      </c>
    </row>
    <row r="10" spans="1:9" x14ac:dyDescent="0.3">
      <c r="A10" s="74" t="s">
        <v>749</v>
      </c>
      <c r="B10" s="74" t="s">
        <v>761</v>
      </c>
      <c r="C10" s="74" t="s">
        <v>1193</v>
      </c>
      <c r="D10" s="131" t="s">
        <v>1160</v>
      </c>
      <c r="E10" s="573">
        <v>1232186.1643571001</v>
      </c>
      <c r="F10" s="573">
        <v>7872278.1218143404</v>
      </c>
      <c r="G10" s="573">
        <v>0</v>
      </c>
      <c r="H10" s="573">
        <v>0</v>
      </c>
      <c r="I10" s="573">
        <v>-42430.290749218657</v>
      </c>
    </row>
    <row r="11" spans="1:9" x14ac:dyDescent="0.3">
      <c r="A11" s="74" t="s">
        <v>749</v>
      </c>
      <c r="B11" s="74" t="s">
        <v>761</v>
      </c>
      <c r="C11" s="74" t="s">
        <v>1194</v>
      </c>
      <c r="D11" s="131" t="s">
        <v>2972</v>
      </c>
      <c r="E11" s="573">
        <v>670240.58083892171</v>
      </c>
      <c r="F11" s="573">
        <v>906494.55487603997</v>
      </c>
      <c r="G11" s="573">
        <v>0</v>
      </c>
      <c r="H11" s="573">
        <v>0</v>
      </c>
      <c r="I11" s="573">
        <v>0</v>
      </c>
    </row>
    <row r="12" spans="1:9" x14ac:dyDescent="0.3">
      <c r="A12" s="74" t="s">
        <v>749</v>
      </c>
      <c r="B12" s="74" t="s">
        <v>761</v>
      </c>
      <c r="C12" s="74" t="s">
        <v>1195</v>
      </c>
      <c r="D12" s="131" t="s">
        <v>2973</v>
      </c>
      <c r="E12" s="573">
        <v>1978317.907934254</v>
      </c>
      <c r="F12" s="573">
        <v>10991607.686148765</v>
      </c>
      <c r="G12" s="573">
        <v>0</v>
      </c>
      <c r="H12" s="573">
        <v>0</v>
      </c>
      <c r="I12" s="573">
        <v>0</v>
      </c>
    </row>
    <row r="13" spans="1:9" x14ac:dyDescent="0.3">
      <c r="A13" s="74" t="s">
        <v>749</v>
      </c>
      <c r="B13" s="74" t="s">
        <v>761</v>
      </c>
      <c r="C13" s="74" t="s">
        <v>1196</v>
      </c>
      <c r="D13" s="131" t="s">
        <v>2974</v>
      </c>
      <c r="E13" s="573">
        <v>1673367.7933566354</v>
      </c>
      <c r="F13" s="573">
        <v>2933818.8061901554</v>
      </c>
      <c r="G13" s="573">
        <v>0</v>
      </c>
      <c r="H13" s="573">
        <v>0</v>
      </c>
      <c r="I13" s="573">
        <v>0</v>
      </c>
    </row>
    <row r="14" spans="1:9" x14ac:dyDescent="0.3">
      <c r="A14" s="74" t="s">
        <v>749</v>
      </c>
      <c r="B14" s="74" t="s">
        <v>761</v>
      </c>
      <c r="C14" s="74" t="s">
        <v>1197</v>
      </c>
      <c r="D14" s="131" t="s">
        <v>2975</v>
      </c>
      <c r="E14" s="573">
        <v>907360.27764439094</v>
      </c>
      <c r="F14" s="573">
        <v>24200314.387251604</v>
      </c>
      <c r="G14" s="573">
        <v>0</v>
      </c>
      <c r="H14" s="573">
        <v>0</v>
      </c>
      <c r="I14" s="573">
        <v>0</v>
      </c>
    </row>
    <row r="15" spans="1:9" x14ac:dyDescent="0.3">
      <c r="A15" s="74" t="s">
        <v>749</v>
      </c>
      <c r="B15" s="74" t="s">
        <v>761</v>
      </c>
      <c r="C15" s="74" t="s">
        <v>1198</v>
      </c>
      <c r="D15" s="131" t="s">
        <v>2976</v>
      </c>
      <c r="E15" s="573">
        <v>531913.6270672133</v>
      </c>
      <c r="F15" s="573">
        <v>11205068.190847438</v>
      </c>
      <c r="G15" s="573">
        <v>0</v>
      </c>
      <c r="H15" s="573">
        <v>0</v>
      </c>
      <c r="I15" s="573">
        <v>0</v>
      </c>
    </row>
    <row r="16" spans="1:9" x14ac:dyDescent="0.3">
      <c r="A16" s="74" t="s">
        <v>749</v>
      </c>
      <c r="B16" s="74" t="s">
        <v>761</v>
      </c>
      <c r="C16" s="74" t="s">
        <v>1199</v>
      </c>
      <c r="D16" s="131" t="s">
        <v>2977</v>
      </c>
      <c r="E16" s="573">
        <v>8297140.1139270067</v>
      </c>
      <c r="F16" s="573">
        <v>11189953.775497641</v>
      </c>
      <c r="G16" s="573">
        <v>0</v>
      </c>
      <c r="H16" s="573">
        <v>-36777.314139706265</v>
      </c>
      <c r="I16" s="573">
        <v>-28286.860500061422</v>
      </c>
    </row>
    <row r="17" spans="1:9" x14ac:dyDescent="0.3">
      <c r="A17" s="74" t="s">
        <v>749</v>
      </c>
      <c r="B17" s="74" t="s">
        <v>761</v>
      </c>
      <c r="C17" s="74" t="s">
        <v>1200</v>
      </c>
      <c r="D17" s="131" t="s">
        <v>2978</v>
      </c>
      <c r="E17" s="573">
        <v>2128158.7613123013</v>
      </c>
      <c r="F17" s="573">
        <v>16329869.981175339</v>
      </c>
      <c r="G17" s="573">
        <v>0</v>
      </c>
      <c r="H17" s="573">
        <v>0</v>
      </c>
      <c r="I17" s="573">
        <v>0</v>
      </c>
    </row>
    <row r="18" spans="1:9" x14ac:dyDescent="0.3">
      <c r="A18" s="74" t="s">
        <v>749</v>
      </c>
      <c r="B18" s="74" t="s">
        <v>761</v>
      </c>
      <c r="C18" s="713" t="s">
        <v>804</v>
      </c>
      <c r="D18" s="131" t="s">
        <v>1555</v>
      </c>
      <c r="E18" s="573">
        <v>22149492.991732113</v>
      </c>
      <c r="F18" s="573">
        <v>121396098.10801895</v>
      </c>
      <c r="G18" s="573">
        <v>0</v>
      </c>
      <c r="H18" s="573">
        <v>-496493.74089045811</v>
      </c>
      <c r="I18" s="573">
        <v>-239350.35806602039</v>
      </c>
    </row>
    <row r="19" spans="1:9" x14ac:dyDescent="0.3">
      <c r="A19" s="74" t="s">
        <v>749</v>
      </c>
      <c r="B19" s="74" t="s">
        <v>761</v>
      </c>
      <c r="C19" s="74" t="s">
        <v>1201</v>
      </c>
      <c r="D19" s="131" t="s">
        <v>2979</v>
      </c>
      <c r="E19" s="573">
        <v>0</v>
      </c>
      <c r="F19" s="573">
        <v>2014300.9677227451</v>
      </c>
      <c r="G19" s="573">
        <v>0</v>
      </c>
      <c r="H19" s="573">
        <v>0</v>
      </c>
      <c r="I19" s="573">
        <v>0</v>
      </c>
    </row>
    <row r="20" spans="1:9" x14ac:dyDescent="0.3">
      <c r="A20" s="74" t="s">
        <v>749</v>
      </c>
      <c r="B20" s="74" t="s">
        <v>761</v>
      </c>
      <c r="C20" s="74" t="s">
        <v>1202</v>
      </c>
      <c r="D20" s="131" t="s">
        <v>2980</v>
      </c>
      <c r="E20" s="573">
        <v>4512755.7741820076</v>
      </c>
      <c r="F20" s="573">
        <v>65178170.775206514</v>
      </c>
      <c r="G20" s="573">
        <v>0</v>
      </c>
      <c r="H20" s="573">
        <v>-36777.314141917996</v>
      </c>
      <c r="I20" s="573">
        <v>-128378.82841206768</v>
      </c>
    </row>
    <row r="21" spans="1:9" x14ac:dyDescent="0.3">
      <c r="A21" s="74" t="s">
        <v>749</v>
      </c>
      <c r="B21" s="74" t="s">
        <v>761</v>
      </c>
      <c r="C21" s="74" t="s">
        <v>1203</v>
      </c>
      <c r="D21" s="131" t="s">
        <v>2981</v>
      </c>
      <c r="E21" s="573">
        <v>1748923.3506992606</v>
      </c>
      <c r="F21" s="573">
        <v>29187295.234910671</v>
      </c>
      <c r="G21" s="573">
        <v>0</v>
      </c>
      <c r="H21" s="573">
        <v>0</v>
      </c>
      <c r="I21" s="573">
        <v>0</v>
      </c>
    </row>
    <row r="22" spans="1:9" x14ac:dyDescent="0.3">
      <c r="A22" s="74" t="s">
        <v>749</v>
      </c>
      <c r="B22" s="74" t="s">
        <v>761</v>
      </c>
      <c r="C22" s="74" t="s">
        <v>1204</v>
      </c>
      <c r="D22" s="131" t="s">
        <v>2982</v>
      </c>
      <c r="E22" s="573">
        <v>415884.16640252003</v>
      </c>
      <c r="F22" s="573">
        <v>5716295.6441906244</v>
      </c>
      <c r="G22" s="573">
        <v>0</v>
      </c>
      <c r="H22" s="573">
        <v>0</v>
      </c>
      <c r="I22" s="573">
        <v>-28286.860494820561</v>
      </c>
    </row>
    <row r="23" spans="1:9" x14ac:dyDescent="0.3">
      <c r="A23" s="74" t="s">
        <v>749</v>
      </c>
      <c r="B23" s="74" t="s">
        <v>1205</v>
      </c>
      <c r="C23" s="74"/>
      <c r="D23" s="131" t="e">
        <v>#N/A</v>
      </c>
      <c r="E23" s="573">
        <v>53877700.914317779</v>
      </c>
      <c r="F23" s="573">
        <v>388992350.06977618</v>
      </c>
      <c r="G23" s="573">
        <v>0</v>
      </c>
      <c r="H23" s="573">
        <v>-570048.3691720824</v>
      </c>
      <c r="I23" s="573">
        <v>-466733.19822218874</v>
      </c>
    </row>
    <row r="24" spans="1:9" x14ac:dyDescent="0.3">
      <c r="A24" s="74" t="s">
        <v>1206</v>
      </c>
      <c r="B24" s="74"/>
      <c r="C24" s="74"/>
      <c r="D24" s="131" t="e">
        <v>#N/A</v>
      </c>
      <c r="E24" s="573">
        <v>53877700.914317779</v>
      </c>
      <c r="F24" s="573">
        <v>388992350.06977618</v>
      </c>
      <c r="G24" s="573">
        <v>0</v>
      </c>
      <c r="H24" s="573">
        <v>-570048.3691720824</v>
      </c>
      <c r="I24" s="573">
        <v>-466733.19822218874</v>
      </c>
    </row>
    <row r="25" spans="1:9" x14ac:dyDescent="0.3">
      <c r="A25"/>
      <c r="B25"/>
      <c r="C25"/>
      <c r="E25"/>
      <c r="F25"/>
      <c r="G25"/>
      <c r="H25"/>
      <c r="I25"/>
    </row>
    <row r="26" spans="1:9" x14ac:dyDescent="0.3">
      <c r="A26"/>
      <c r="B26"/>
      <c r="C26"/>
      <c r="E26"/>
      <c r="F26"/>
      <c r="G26"/>
      <c r="H26"/>
      <c r="I26"/>
    </row>
    <row r="27" spans="1:9" x14ac:dyDescent="0.3">
      <c r="A27"/>
      <c r="B27"/>
      <c r="C27"/>
      <c r="E27"/>
      <c r="F27"/>
      <c r="G27"/>
      <c r="H27"/>
      <c r="I27"/>
    </row>
    <row r="28" spans="1:9" x14ac:dyDescent="0.3">
      <c r="A28"/>
      <c r="B28"/>
      <c r="C28"/>
      <c r="E28"/>
      <c r="F28"/>
      <c r="G28"/>
      <c r="H28"/>
      <c r="I28"/>
    </row>
    <row r="29" spans="1:9" x14ac:dyDescent="0.3">
      <c r="A29"/>
      <c r="B29"/>
      <c r="C29"/>
      <c r="E29"/>
      <c r="F29"/>
      <c r="G29"/>
      <c r="H29"/>
      <c r="I29"/>
    </row>
    <row r="30" spans="1:9" x14ac:dyDescent="0.3">
      <c r="A30"/>
      <c r="B30"/>
      <c r="C30"/>
      <c r="E30"/>
      <c r="F30"/>
      <c r="G30"/>
      <c r="H30"/>
      <c r="I30"/>
    </row>
    <row r="31" spans="1:9" x14ac:dyDescent="0.3">
      <c r="A31"/>
      <c r="B31"/>
      <c r="C31"/>
      <c r="E31"/>
      <c r="F31"/>
      <c r="G31"/>
      <c r="H31"/>
      <c r="I31"/>
    </row>
    <row r="32" spans="1:9" x14ac:dyDescent="0.3">
      <c r="A32"/>
      <c r="B32"/>
      <c r="C32"/>
      <c r="E32"/>
      <c r="F32"/>
      <c r="G32"/>
      <c r="H32"/>
      <c r="I32"/>
    </row>
    <row r="33" spans="1:9" x14ac:dyDescent="0.3">
      <c r="A33"/>
      <c r="B33"/>
      <c r="C33"/>
      <c r="E33"/>
      <c r="F33"/>
      <c r="G33"/>
      <c r="H33"/>
      <c r="I33"/>
    </row>
    <row r="34" spans="1:9" x14ac:dyDescent="0.3">
      <c r="A34"/>
      <c r="B34"/>
      <c r="C34"/>
      <c r="E34"/>
      <c r="F34"/>
      <c r="G34"/>
      <c r="H34"/>
      <c r="I34"/>
    </row>
    <row r="35" spans="1:9" x14ac:dyDescent="0.3">
      <c r="A35"/>
      <c r="B35"/>
      <c r="C35"/>
      <c r="E35"/>
      <c r="F35"/>
      <c r="G35"/>
      <c r="H35"/>
      <c r="I35"/>
    </row>
    <row r="36" spans="1:9" x14ac:dyDescent="0.3">
      <c r="A36"/>
      <c r="B36"/>
      <c r="C36"/>
      <c r="E36"/>
      <c r="F36"/>
      <c r="G36"/>
      <c r="H36"/>
      <c r="I36"/>
    </row>
    <row r="37" spans="1:9" x14ac:dyDescent="0.3">
      <c r="A37"/>
      <c r="B37"/>
      <c r="C37"/>
      <c r="E37"/>
      <c r="F37"/>
      <c r="G37"/>
      <c r="H37"/>
      <c r="I37"/>
    </row>
    <row r="38" spans="1:9" x14ac:dyDescent="0.3">
      <c r="A38"/>
      <c r="B38"/>
      <c r="C38"/>
      <c r="E38"/>
      <c r="F38"/>
      <c r="G38"/>
      <c r="H38"/>
      <c r="I38"/>
    </row>
    <row r="39" spans="1:9" x14ac:dyDescent="0.3">
      <c r="A39"/>
      <c r="B39"/>
      <c r="C39"/>
      <c r="E39"/>
      <c r="F39"/>
      <c r="G39"/>
      <c r="H39"/>
      <c r="I39"/>
    </row>
    <row r="40" spans="1:9" x14ac:dyDescent="0.3">
      <c r="A40"/>
      <c r="B40"/>
      <c r="C40"/>
      <c r="E40"/>
      <c r="F40"/>
      <c r="G40"/>
      <c r="H40"/>
      <c r="I40"/>
    </row>
    <row r="41" spans="1:9" x14ac:dyDescent="0.3">
      <c r="A41"/>
      <c r="B41"/>
      <c r="C41"/>
      <c r="E41"/>
      <c r="F41"/>
      <c r="G41"/>
      <c r="H41"/>
      <c r="I41"/>
    </row>
    <row r="42" spans="1:9" x14ac:dyDescent="0.3">
      <c r="A42"/>
      <c r="B42"/>
      <c r="C42"/>
      <c r="E42"/>
      <c r="F42"/>
      <c r="G42"/>
      <c r="H42"/>
      <c r="I42"/>
    </row>
    <row r="43" spans="1:9" x14ac:dyDescent="0.3">
      <c r="A43"/>
      <c r="B43"/>
      <c r="C43"/>
      <c r="E43"/>
      <c r="F43"/>
      <c r="G43"/>
      <c r="H43"/>
      <c r="I43"/>
    </row>
    <row r="44" spans="1:9" x14ac:dyDescent="0.3">
      <c r="A44"/>
      <c r="B44"/>
      <c r="C44"/>
      <c r="E44"/>
      <c r="F44"/>
      <c r="G44"/>
    </row>
    <row r="45" spans="1:9" x14ac:dyDescent="0.3">
      <c r="A45"/>
      <c r="B45"/>
      <c r="C45"/>
      <c r="E45"/>
      <c r="F45"/>
      <c r="G45"/>
    </row>
    <row r="46" spans="1:9" x14ac:dyDescent="0.3">
      <c r="A46"/>
      <c r="B46"/>
      <c r="C46"/>
      <c r="E46"/>
      <c r="F46"/>
      <c r="G46"/>
    </row>
    <row r="47" spans="1:9" x14ac:dyDescent="0.3">
      <c r="A47"/>
      <c r="B47"/>
      <c r="C47"/>
      <c r="E47"/>
      <c r="F47"/>
      <c r="G47"/>
    </row>
    <row r="48" spans="1:9" x14ac:dyDescent="0.3">
      <c r="A48"/>
      <c r="B48"/>
      <c r="C48"/>
      <c r="E48"/>
      <c r="F48"/>
      <c r="G48"/>
    </row>
    <row r="49" spans="1:7" x14ac:dyDescent="0.3">
      <c r="A49"/>
      <c r="B49"/>
      <c r="C49"/>
      <c r="E49"/>
      <c r="F49"/>
      <c r="G49"/>
    </row>
    <row r="50" spans="1:7" x14ac:dyDescent="0.3">
      <c r="A50"/>
      <c r="B50"/>
      <c r="C50"/>
      <c r="E50"/>
      <c r="F50"/>
      <c r="G50"/>
    </row>
    <row r="51" spans="1:7" x14ac:dyDescent="0.3">
      <c r="A51"/>
      <c r="B51"/>
      <c r="C51"/>
      <c r="E51"/>
      <c r="F51"/>
      <c r="G51"/>
    </row>
    <row r="52" spans="1:7" x14ac:dyDescent="0.3">
      <c r="A52"/>
      <c r="B52"/>
      <c r="C52"/>
      <c r="E52"/>
      <c r="F52"/>
      <c r="G52"/>
    </row>
    <row r="53" spans="1:7" x14ac:dyDescent="0.3">
      <c r="A53"/>
      <c r="B53"/>
      <c r="C53"/>
      <c r="E53"/>
      <c r="F53"/>
      <c r="G53"/>
    </row>
    <row r="54" spans="1:7" x14ac:dyDescent="0.3">
      <c r="A54"/>
      <c r="B54"/>
      <c r="C54"/>
      <c r="E54"/>
      <c r="F54"/>
      <c r="G54"/>
    </row>
    <row r="55" spans="1:7" x14ac:dyDescent="0.3">
      <c r="A55"/>
      <c r="B55"/>
      <c r="C55"/>
      <c r="E55"/>
      <c r="F55"/>
      <c r="G55"/>
    </row>
    <row r="56" spans="1:7" x14ac:dyDescent="0.3">
      <c r="A56"/>
      <c r="B56"/>
      <c r="C56"/>
      <c r="E56"/>
      <c r="F56"/>
      <c r="G56"/>
    </row>
    <row r="57" spans="1:7" x14ac:dyDescent="0.3">
      <c r="A57"/>
      <c r="B57"/>
      <c r="C57"/>
      <c r="E57"/>
      <c r="F57"/>
      <c r="G57"/>
    </row>
    <row r="58" spans="1:7" x14ac:dyDescent="0.3">
      <c r="A58"/>
      <c r="B58"/>
      <c r="C58"/>
      <c r="E58"/>
      <c r="F58"/>
      <c r="G58"/>
    </row>
    <row r="59" spans="1:7" x14ac:dyDescent="0.3">
      <c r="A59"/>
      <c r="B59"/>
      <c r="C59"/>
      <c r="E59"/>
      <c r="F59"/>
      <c r="G59"/>
    </row>
    <row r="60" spans="1:7" x14ac:dyDescent="0.3">
      <c r="A60"/>
      <c r="B60"/>
      <c r="C60"/>
      <c r="E60"/>
      <c r="F60"/>
      <c r="G60"/>
    </row>
    <row r="61" spans="1:7" x14ac:dyDescent="0.3">
      <c r="A61"/>
      <c r="B61"/>
      <c r="C61"/>
      <c r="E61"/>
      <c r="F61"/>
      <c r="G61"/>
    </row>
    <row r="62" spans="1:7" x14ac:dyDescent="0.3">
      <c r="A62"/>
      <c r="B62"/>
      <c r="C62"/>
      <c r="E62"/>
      <c r="F62"/>
      <c r="G62"/>
    </row>
    <row r="63" spans="1:7" x14ac:dyDescent="0.3">
      <c r="A63"/>
      <c r="B63"/>
      <c r="C63"/>
      <c r="E63"/>
      <c r="F63"/>
      <c r="G63"/>
    </row>
    <row r="64" spans="1:7" x14ac:dyDescent="0.3">
      <c r="A64"/>
      <c r="B64"/>
      <c r="C64"/>
      <c r="E64"/>
      <c r="F64"/>
      <c r="G64"/>
    </row>
    <row r="65" spans="1:7" x14ac:dyDescent="0.3">
      <c r="A65"/>
      <c r="B65"/>
      <c r="C65"/>
      <c r="E65"/>
      <c r="F65"/>
      <c r="G65"/>
    </row>
    <row r="66" spans="1:7" x14ac:dyDescent="0.3">
      <c r="A66"/>
      <c r="B66"/>
      <c r="C66"/>
      <c r="E66"/>
      <c r="F66"/>
      <c r="G66"/>
    </row>
    <row r="67" spans="1:7" x14ac:dyDescent="0.3">
      <c r="A67"/>
      <c r="B67"/>
      <c r="C67"/>
      <c r="E67"/>
      <c r="F67"/>
      <c r="G67"/>
    </row>
    <row r="68" spans="1:7" x14ac:dyDescent="0.3">
      <c r="A68"/>
      <c r="B68"/>
      <c r="C68"/>
      <c r="E68"/>
      <c r="F68"/>
      <c r="G68"/>
    </row>
    <row r="69" spans="1:7" x14ac:dyDescent="0.3">
      <c r="A69"/>
      <c r="B69"/>
      <c r="C69"/>
      <c r="E69"/>
      <c r="F69"/>
      <c r="G69"/>
    </row>
    <row r="70" spans="1:7" x14ac:dyDescent="0.3">
      <c r="A70"/>
      <c r="B70"/>
      <c r="C70"/>
      <c r="E70"/>
      <c r="F70"/>
      <c r="G70"/>
    </row>
    <row r="71" spans="1:7" x14ac:dyDescent="0.3">
      <c r="A71"/>
      <c r="B71"/>
      <c r="C71"/>
      <c r="E71"/>
      <c r="F71"/>
      <c r="G71"/>
    </row>
    <row r="72" spans="1:7" x14ac:dyDescent="0.3">
      <c r="A72"/>
      <c r="B72"/>
      <c r="C72"/>
      <c r="E72"/>
      <c r="F72"/>
      <c r="G72"/>
    </row>
    <row r="73" spans="1:7" x14ac:dyDescent="0.3">
      <c r="A73"/>
      <c r="B73"/>
      <c r="C73"/>
      <c r="E73"/>
      <c r="F73"/>
      <c r="G73"/>
    </row>
    <row r="74" spans="1:7" x14ac:dyDescent="0.3">
      <c r="A74"/>
      <c r="B74"/>
      <c r="C74"/>
      <c r="E74"/>
      <c r="F74"/>
      <c r="G74"/>
    </row>
    <row r="75" spans="1:7" x14ac:dyDescent="0.3">
      <c r="A75"/>
      <c r="B75"/>
      <c r="C75"/>
      <c r="E75"/>
      <c r="F75"/>
      <c r="G75"/>
    </row>
    <row r="76" spans="1:7" x14ac:dyDescent="0.3">
      <c r="A76"/>
      <c r="B76"/>
      <c r="C76"/>
      <c r="E76"/>
      <c r="F76"/>
      <c r="G76"/>
    </row>
    <row r="77" spans="1:7" x14ac:dyDescent="0.3">
      <c r="A77"/>
      <c r="B77"/>
      <c r="C77"/>
      <c r="E77"/>
      <c r="F77"/>
      <c r="G77"/>
    </row>
    <row r="78" spans="1:7" x14ac:dyDescent="0.3">
      <c r="A78"/>
      <c r="B78"/>
      <c r="C78"/>
      <c r="E78"/>
      <c r="F78"/>
      <c r="G78"/>
    </row>
    <row r="79" spans="1:7" x14ac:dyDescent="0.3">
      <c r="A79"/>
      <c r="B79"/>
      <c r="C79"/>
      <c r="E79"/>
      <c r="F79"/>
      <c r="G79"/>
    </row>
    <row r="80" spans="1:7" x14ac:dyDescent="0.3">
      <c r="A80"/>
      <c r="B80"/>
      <c r="C80"/>
      <c r="E80"/>
      <c r="F80"/>
      <c r="G80"/>
    </row>
    <row r="81" spans="1:7" x14ac:dyDescent="0.3">
      <c r="A81"/>
      <c r="B81"/>
      <c r="C81"/>
      <c r="E81"/>
      <c r="F81"/>
      <c r="G81"/>
    </row>
    <row r="82" spans="1:7" x14ac:dyDescent="0.3">
      <c r="A82"/>
      <c r="B82"/>
      <c r="C82"/>
      <c r="E82"/>
      <c r="F82"/>
      <c r="G82"/>
    </row>
    <row r="83" spans="1:7" x14ac:dyDescent="0.3">
      <c r="A83"/>
      <c r="B83"/>
      <c r="C83"/>
      <c r="E83"/>
      <c r="F83"/>
      <c r="G83"/>
    </row>
    <row r="84" spans="1:7" x14ac:dyDescent="0.3">
      <c r="A84"/>
      <c r="B84"/>
      <c r="C84"/>
      <c r="E84"/>
      <c r="F84"/>
      <c r="G84"/>
    </row>
    <row r="85" spans="1:7" x14ac:dyDescent="0.3">
      <c r="A85"/>
      <c r="B85"/>
      <c r="C85"/>
      <c r="E85"/>
      <c r="F85"/>
      <c r="G85"/>
    </row>
    <row r="86" spans="1:7" x14ac:dyDescent="0.3">
      <c r="A86"/>
      <c r="B86"/>
      <c r="C86"/>
      <c r="E86"/>
      <c r="F86"/>
      <c r="G86"/>
    </row>
    <row r="87" spans="1:7" x14ac:dyDescent="0.3">
      <c r="A87"/>
      <c r="B87"/>
      <c r="C87"/>
      <c r="E87"/>
      <c r="F87"/>
      <c r="G87"/>
    </row>
    <row r="208" spans="10:13" x14ac:dyDescent="0.3">
      <c r="J208" s="5"/>
      <c r="K208" s="5"/>
      <c r="L208" s="5"/>
      <c r="M208" s="5"/>
    </row>
    <row r="209" spans="1:13" x14ac:dyDescent="0.3">
      <c r="J209" s="5"/>
      <c r="K209" s="5"/>
      <c r="L209" s="5"/>
      <c r="M209" s="5"/>
    </row>
    <row r="210" spans="1:13" x14ac:dyDescent="0.3">
      <c r="J210" s="5"/>
      <c r="K210" s="5"/>
      <c r="L210" s="5"/>
      <c r="M210" s="5"/>
    </row>
    <row r="211" spans="1:13" x14ac:dyDescent="0.3">
      <c r="J211" s="5"/>
      <c r="K211" s="5"/>
      <c r="L211" s="5"/>
      <c r="M211" s="5"/>
    </row>
    <row r="212" spans="1:13" x14ac:dyDescent="0.3">
      <c r="J212" s="5"/>
      <c r="K212" s="5"/>
      <c r="L212" s="5"/>
      <c r="M212" s="5"/>
    </row>
    <row r="213" spans="1:13" x14ac:dyDescent="0.3">
      <c r="J213" s="5"/>
      <c r="K213" s="5"/>
      <c r="L213" s="5"/>
      <c r="M213" s="5"/>
    </row>
    <row r="214" spans="1:13" x14ac:dyDescent="0.3">
      <c r="J214" s="5"/>
      <c r="K214" s="5"/>
      <c r="L214" s="5"/>
      <c r="M214" s="5"/>
    </row>
    <row r="215" spans="1:13" x14ac:dyDescent="0.3">
      <c r="J215" s="5"/>
      <c r="K215" s="5"/>
      <c r="L215" s="5"/>
      <c r="M215" s="5"/>
    </row>
    <row r="216" spans="1:13" x14ac:dyDescent="0.3">
      <c r="J216" s="5"/>
      <c r="K216" s="5"/>
      <c r="L216" s="5"/>
      <c r="M216" s="5"/>
    </row>
    <row r="217" spans="1:13" x14ac:dyDescent="0.3">
      <c r="J217" s="5"/>
      <c r="K217" s="5"/>
      <c r="L217" s="5"/>
      <c r="M217" s="5"/>
    </row>
    <row r="218" spans="1:13" x14ac:dyDescent="0.3">
      <c r="J218" s="5"/>
      <c r="K218" s="5"/>
      <c r="L218" s="5"/>
      <c r="M218" s="5"/>
    </row>
    <row r="219" spans="1:13" x14ac:dyDescent="0.3">
      <c r="J219" s="5"/>
      <c r="K219" s="5"/>
      <c r="L219" s="5"/>
      <c r="M219" s="5"/>
    </row>
    <row r="220" spans="1:13" s="5" customFormat="1" x14ac:dyDescent="0.3">
      <c r="A220" s="74"/>
      <c r="B220" s="76"/>
      <c r="C220" s="76"/>
      <c r="D220" s="74"/>
      <c r="E220" s="76"/>
      <c r="F220" s="76"/>
      <c r="G220" s="76"/>
      <c r="H220" s="76"/>
      <c r="I220" s="76"/>
    </row>
    <row r="221" spans="1:13" s="5" customFormat="1" x14ac:dyDescent="0.3">
      <c r="A221" s="74"/>
      <c r="B221" s="76"/>
      <c r="C221" s="76"/>
      <c r="D221" s="74"/>
      <c r="E221" s="76"/>
      <c r="F221" s="76"/>
      <c r="G221" s="76"/>
      <c r="H221" s="76"/>
      <c r="I221" s="76"/>
    </row>
    <row r="222" spans="1:13" s="5" customFormat="1" x14ac:dyDescent="0.3">
      <c r="A222" s="74"/>
      <c r="B222" s="76"/>
      <c r="C222" s="76"/>
      <c r="D222" s="74"/>
      <c r="E222" s="76"/>
      <c r="F222" s="76"/>
      <c r="G222" s="76"/>
      <c r="H222" s="76"/>
      <c r="I222" s="76"/>
    </row>
    <row r="223" spans="1:13" s="5" customFormat="1" x14ac:dyDescent="0.3">
      <c r="A223" s="74"/>
      <c r="B223" s="76"/>
      <c r="C223" s="76"/>
      <c r="D223" s="74"/>
      <c r="E223" s="76"/>
      <c r="F223" s="76"/>
      <c r="G223" s="76"/>
      <c r="H223" s="76"/>
      <c r="I223" s="76"/>
      <c r="J223" s="74"/>
      <c r="K223" s="74"/>
      <c r="L223" s="74"/>
      <c r="M223" s="74"/>
    </row>
    <row r="224" spans="1:13" s="5" customFormat="1" x14ac:dyDescent="0.3">
      <c r="A224" s="74"/>
      <c r="B224" s="76"/>
      <c r="C224" s="76"/>
      <c r="D224" s="74"/>
      <c r="E224" s="76"/>
      <c r="F224" s="76"/>
      <c r="G224" s="76"/>
      <c r="H224" s="76"/>
      <c r="I224" s="76"/>
      <c r="J224" s="74"/>
      <c r="K224" s="74"/>
      <c r="L224" s="74"/>
      <c r="M224" s="74"/>
    </row>
    <row r="225" spans="1:13" s="5" customFormat="1" x14ac:dyDescent="0.3">
      <c r="A225" s="74"/>
      <c r="B225" s="76"/>
      <c r="C225" s="76"/>
      <c r="D225" s="74"/>
      <c r="E225" s="76"/>
      <c r="F225" s="76"/>
      <c r="G225" s="76"/>
      <c r="H225" s="76"/>
      <c r="I225" s="76"/>
      <c r="J225" s="74"/>
      <c r="K225" s="577">
        <v>1288407827.3092146</v>
      </c>
      <c r="L225" s="74"/>
      <c r="M225" s="74"/>
    </row>
    <row r="226" spans="1:13" x14ac:dyDescent="0.3">
      <c r="J226" s="5"/>
      <c r="K226" s="5"/>
      <c r="L226" s="5"/>
      <c r="M226" s="5"/>
    </row>
    <row r="227" spans="1:13" x14ac:dyDescent="0.3">
      <c r="J227" s="5"/>
      <c r="K227" s="5"/>
      <c r="L227" s="5"/>
      <c r="M227" s="5"/>
    </row>
    <row r="228" spans="1:13" x14ac:dyDescent="0.3">
      <c r="J228" s="5"/>
      <c r="K228" s="5"/>
      <c r="L228" s="5"/>
      <c r="M228" s="5"/>
    </row>
    <row r="235" spans="1:13" s="5" customFormat="1" x14ac:dyDescent="0.3">
      <c r="A235" s="74"/>
      <c r="B235" s="76"/>
      <c r="C235" s="76"/>
      <c r="D235" s="74"/>
      <c r="E235" s="76"/>
      <c r="F235" s="76"/>
      <c r="G235" s="76"/>
      <c r="H235" s="76"/>
      <c r="I235" s="76"/>
      <c r="J235" s="74"/>
      <c r="K235" s="577"/>
      <c r="L235" s="74"/>
      <c r="M235" s="74"/>
    </row>
  </sheetData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354"/>
  <sheetViews>
    <sheetView zoomScale="70" zoomScaleNormal="70" workbookViewId="0">
      <pane xSplit="4" ySplit="8" topLeftCell="E253" activePane="bottomRight" state="frozen"/>
      <selection pane="topRight" activeCell="E1" sqref="E1"/>
      <selection pane="bottomLeft" activeCell="A9" sqref="A9"/>
      <selection pane="bottomRight" activeCell="F263" sqref="F263"/>
    </sheetView>
  </sheetViews>
  <sheetFormatPr defaultColWidth="9.109375" defaultRowHeight="15.6" x14ac:dyDescent="0.3"/>
  <cols>
    <col min="1" max="1" width="30.44140625" style="74" bestFit="1" customWidth="1"/>
    <col min="2" max="2" width="19.33203125" style="74" bestFit="1" customWidth="1"/>
    <col min="3" max="4" width="30.109375" style="74" customWidth="1"/>
    <col min="5" max="5" width="20.109375" style="76" customWidth="1"/>
    <col min="6" max="6" width="20.88671875" style="76" customWidth="1"/>
    <col min="7" max="7" width="13.33203125" style="76" customWidth="1"/>
    <col min="8" max="8" width="16.33203125" style="76" customWidth="1"/>
    <col min="9" max="9" width="9.109375" style="74"/>
    <col min="10" max="10" width="15" style="74" bestFit="1" customWidth="1"/>
    <col min="11" max="11" width="16" style="74" bestFit="1" customWidth="1"/>
    <col min="12" max="16384" width="9.109375" style="74"/>
  </cols>
  <sheetData>
    <row r="1" spans="1:9" ht="27.75" customHeight="1" x14ac:dyDescent="0.3">
      <c r="A1" s="5" t="s">
        <v>1425</v>
      </c>
      <c r="B1" s="76"/>
      <c r="C1" s="76"/>
      <c r="D1" s="76"/>
      <c r="F1" s="74"/>
      <c r="G1" s="74"/>
      <c r="H1" s="74"/>
    </row>
    <row r="2" spans="1:9" ht="15.75" customHeight="1" x14ac:dyDescent="0.3">
      <c r="A2" s="1193" t="s">
        <v>1165</v>
      </c>
      <c r="B2" s="1193"/>
      <c r="C2" s="1193"/>
      <c r="D2" s="1193"/>
      <c r="E2" s="1193"/>
      <c r="F2" s="1193"/>
      <c r="G2" s="1193"/>
      <c r="H2" s="81"/>
    </row>
    <row r="3" spans="1:9" x14ac:dyDescent="0.3">
      <c r="A3" s="1193"/>
      <c r="B3" s="1193"/>
      <c r="C3" s="1193"/>
      <c r="D3" s="1193"/>
      <c r="E3" s="1193"/>
      <c r="F3" s="1193"/>
      <c r="G3" s="1193"/>
      <c r="H3" s="81"/>
    </row>
    <row r="4" spans="1:9" x14ac:dyDescent="0.3">
      <c r="A4" s="721"/>
      <c r="B4" s="721"/>
      <c r="C4" s="721"/>
      <c r="D4" s="721"/>
      <c r="E4" s="721"/>
      <c r="F4" s="721"/>
      <c r="G4" s="721"/>
      <c r="H4" s="721"/>
    </row>
    <row r="5" spans="1:9" x14ac:dyDescent="0.3">
      <c r="A5" s="721" t="s">
        <v>735</v>
      </c>
      <c r="B5" s="721" t="s">
        <v>736</v>
      </c>
      <c r="C5" s="721"/>
      <c r="D5" s="721"/>
      <c r="E5" s="721"/>
      <c r="F5" s="721"/>
      <c r="G5" s="721"/>
      <c r="H5" s="721"/>
    </row>
    <row r="6" spans="1:9" x14ac:dyDescent="0.3">
      <c r="A6" s="74" t="s">
        <v>737</v>
      </c>
      <c r="B6" s="74" t="s">
        <v>134</v>
      </c>
    </row>
    <row r="7" spans="1:9" x14ac:dyDescent="0.3">
      <c r="A7" s="74" t="s">
        <v>739</v>
      </c>
      <c r="B7" s="74" t="s">
        <v>3719</v>
      </c>
    </row>
    <row r="9" spans="1:9" ht="31.2" x14ac:dyDescent="0.3">
      <c r="A9" s="570" t="s">
        <v>1167</v>
      </c>
      <c r="B9" s="570" t="s">
        <v>738</v>
      </c>
      <c r="C9" s="570" t="s">
        <v>744</v>
      </c>
      <c r="D9" s="571" t="s">
        <v>3742</v>
      </c>
      <c r="E9" s="572" t="s">
        <v>741</v>
      </c>
      <c r="F9" s="572" t="s">
        <v>740</v>
      </c>
      <c r="G9" s="572" t="s">
        <v>743</v>
      </c>
      <c r="H9" s="572" t="s">
        <v>742</v>
      </c>
      <c r="I9" s="727" t="s">
        <v>4059</v>
      </c>
    </row>
    <row r="10" spans="1:9" x14ac:dyDescent="0.3">
      <c r="A10" s="74" t="s">
        <v>5</v>
      </c>
      <c r="B10" s="74" t="s">
        <v>746</v>
      </c>
      <c r="C10" s="74" t="s">
        <v>5</v>
      </c>
      <c r="D10" s="74" t="s">
        <v>796</v>
      </c>
      <c r="E10" s="76">
        <v>31554.086070740981</v>
      </c>
      <c r="F10" s="76">
        <v>908222.65592083998</v>
      </c>
      <c r="G10" s="76">
        <v>0</v>
      </c>
      <c r="H10" s="76">
        <v>194392.48371487937</v>
      </c>
    </row>
    <row r="11" spans="1:9" x14ac:dyDescent="0.3">
      <c r="A11" s="74" t="s">
        <v>5</v>
      </c>
      <c r="B11" s="74" t="s">
        <v>746</v>
      </c>
      <c r="C11" s="74" t="s">
        <v>1169</v>
      </c>
      <c r="D11" s="74" t="s">
        <v>96</v>
      </c>
      <c r="E11" s="76">
        <v>0</v>
      </c>
      <c r="F11" s="76">
        <v>139976.968458925</v>
      </c>
      <c r="G11" s="76">
        <v>130842.59628585172</v>
      </c>
      <c r="H11" s="76">
        <v>122769.48203840542</v>
      </c>
    </row>
    <row r="12" spans="1:9" x14ac:dyDescent="0.3">
      <c r="A12" s="74" t="s">
        <v>5</v>
      </c>
      <c r="B12" s="74" t="s">
        <v>746</v>
      </c>
      <c r="C12" s="74" t="s">
        <v>1170</v>
      </c>
      <c r="D12" s="74" t="s">
        <v>97</v>
      </c>
      <c r="E12" s="76">
        <v>1037502.3877436417</v>
      </c>
      <c r="F12" s="76">
        <v>45573.896711590001</v>
      </c>
      <c r="G12" s="76">
        <v>0</v>
      </c>
      <c r="H12" s="76">
        <v>0</v>
      </c>
    </row>
    <row r="13" spans="1:9" x14ac:dyDescent="0.3">
      <c r="A13" s="74" t="s">
        <v>5</v>
      </c>
      <c r="B13" s="74" t="s">
        <v>746</v>
      </c>
      <c r="C13" s="74" t="s">
        <v>1171</v>
      </c>
      <c r="D13" s="74" t="s">
        <v>2651</v>
      </c>
      <c r="E13" s="76">
        <v>144819.37992472763</v>
      </c>
      <c r="F13" s="76">
        <v>29297.50503615</v>
      </c>
      <c r="G13" s="76">
        <v>0</v>
      </c>
      <c r="H13" s="76">
        <v>324367.27491945773</v>
      </c>
    </row>
    <row r="14" spans="1:9" x14ac:dyDescent="0.3">
      <c r="A14" s="74" t="s">
        <v>5</v>
      </c>
      <c r="B14" s="74" t="s">
        <v>746</v>
      </c>
      <c r="C14" s="74" t="s">
        <v>1173</v>
      </c>
      <c r="D14" s="74" t="s">
        <v>2652</v>
      </c>
      <c r="E14" s="76">
        <v>250058.70932066429</v>
      </c>
      <c r="F14" s="76">
        <v>374644.05847648002</v>
      </c>
      <c r="G14" s="76">
        <v>104674.07702747179</v>
      </c>
      <c r="H14" s="76">
        <v>0</v>
      </c>
    </row>
    <row r="15" spans="1:9" x14ac:dyDescent="0.3">
      <c r="A15" s="74" t="s">
        <v>5</v>
      </c>
      <c r="B15" s="74" t="s">
        <v>746</v>
      </c>
      <c r="C15" s="74" t="s">
        <v>1174</v>
      </c>
      <c r="D15" s="74" t="s">
        <v>98</v>
      </c>
      <c r="E15" s="76">
        <v>122499.43267341636</v>
      </c>
      <c r="F15" s="76">
        <v>1350940.5096873399</v>
      </c>
      <c r="G15" s="76">
        <v>52337.038513735897</v>
      </c>
      <c r="H15" s="76">
        <v>122769.48203698674</v>
      </c>
    </row>
    <row r="16" spans="1:9" x14ac:dyDescent="0.3">
      <c r="A16" s="74" t="s">
        <v>5</v>
      </c>
      <c r="B16" s="74" t="s">
        <v>746</v>
      </c>
      <c r="C16" s="74" t="s">
        <v>1175</v>
      </c>
      <c r="D16" s="74" t="s">
        <v>105</v>
      </c>
      <c r="E16" s="76">
        <v>1332856.1525565668</v>
      </c>
      <c r="F16" s="76">
        <v>195316.70019576</v>
      </c>
      <c r="G16" s="76">
        <v>0</v>
      </c>
      <c r="H16" s="76">
        <v>0</v>
      </c>
    </row>
    <row r="17" spans="1:8" x14ac:dyDescent="0.3">
      <c r="A17" s="74" t="s">
        <v>5</v>
      </c>
      <c r="B17" s="74" t="s">
        <v>746</v>
      </c>
      <c r="C17" s="74" t="s">
        <v>1177</v>
      </c>
      <c r="D17" s="74" t="s">
        <v>99</v>
      </c>
      <c r="E17" s="76">
        <v>84625.787463909001</v>
      </c>
      <c r="F17" s="76">
        <v>390633.40039152</v>
      </c>
      <c r="G17" s="76">
        <v>130842.59628433974</v>
      </c>
      <c r="H17" s="76">
        <v>0</v>
      </c>
    </row>
    <row r="18" spans="1:8" x14ac:dyDescent="0.3">
      <c r="A18" s="74" t="s">
        <v>5</v>
      </c>
      <c r="B18" s="74" t="s">
        <v>746</v>
      </c>
      <c r="C18" s="74" t="s">
        <v>1179</v>
      </c>
      <c r="D18" s="74" t="s">
        <v>2655</v>
      </c>
      <c r="E18" s="76">
        <v>92179.658756190285</v>
      </c>
      <c r="F18" s="76">
        <v>1035178.511026595</v>
      </c>
      <c r="G18" s="76">
        <v>0</v>
      </c>
      <c r="H18" s="76">
        <v>275271.95030341041</v>
      </c>
    </row>
    <row r="19" spans="1:8" x14ac:dyDescent="0.3">
      <c r="A19" s="74" t="s">
        <v>5</v>
      </c>
      <c r="B19" s="74" t="s">
        <v>746</v>
      </c>
      <c r="C19" s="74" t="s">
        <v>1180</v>
      </c>
      <c r="D19" s="74" t="s">
        <v>100</v>
      </c>
      <c r="E19" s="76">
        <v>0</v>
      </c>
      <c r="F19" s="76">
        <v>162763.9168298</v>
      </c>
      <c r="G19" s="76">
        <v>0</v>
      </c>
      <c r="H19" s="76">
        <v>0</v>
      </c>
    </row>
    <row r="20" spans="1:8" x14ac:dyDescent="0.3">
      <c r="A20" s="74" t="s">
        <v>5</v>
      </c>
      <c r="B20" s="74" t="s">
        <v>746</v>
      </c>
      <c r="C20" s="74" t="s">
        <v>1181</v>
      </c>
      <c r="D20" s="74" t="s">
        <v>2656</v>
      </c>
      <c r="E20" s="76">
        <v>0</v>
      </c>
      <c r="F20" s="76">
        <v>0</v>
      </c>
      <c r="G20" s="76">
        <v>0</v>
      </c>
      <c r="H20" s="76">
        <v>173596.69258782183</v>
      </c>
    </row>
    <row r="21" spans="1:8" x14ac:dyDescent="0.3">
      <c r="A21" s="74" t="s">
        <v>5</v>
      </c>
      <c r="B21" s="74" t="s">
        <v>746</v>
      </c>
      <c r="C21" s="74" t="s">
        <v>1182</v>
      </c>
      <c r="D21" s="74" t="s">
        <v>101</v>
      </c>
      <c r="E21" s="76">
        <v>122769.48203698674</v>
      </c>
      <c r="F21" s="76">
        <v>293477.38738376502</v>
      </c>
      <c r="G21" s="76">
        <v>0</v>
      </c>
      <c r="H21" s="76">
        <v>245538.96407397348</v>
      </c>
    </row>
    <row r="22" spans="1:8" x14ac:dyDescent="0.3">
      <c r="A22" s="74" t="s">
        <v>5</v>
      </c>
      <c r="B22" s="74" t="s">
        <v>746</v>
      </c>
      <c r="C22" s="74" t="s">
        <v>1183</v>
      </c>
      <c r="D22" s="74" t="s">
        <v>2657</v>
      </c>
      <c r="E22" s="76">
        <v>0</v>
      </c>
      <c r="F22" s="76">
        <v>65249.091615890007</v>
      </c>
      <c r="G22" s="76">
        <v>135454.46655500628</v>
      </c>
      <c r="H22" s="76">
        <v>730469.30421426892</v>
      </c>
    </row>
    <row r="23" spans="1:8" x14ac:dyDescent="0.3">
      <c r="A23" s="74" t="s">
        <v>5</v>
      </c>
      <c r="B23" s="74" t="s">
        <v>746</v>
      </c>
      <c r="C23" s="74" t="s">
        <v>1185</v>
      </c>
      <c r="D23" s="74" t="s">
        <v>103</v>
      </c>
      <c r="E23" s="76">
        <v>173298.25939548379</v>
      </c>
      <c r="F23" s="76">
        <v>32552.783365960004</v>
      </c>
      <c r="G23" s="76">
        <v>0</v>
      </c>
      <c r="H23" s="76">
        <v>122769.48203698674</v>
      </c>
    </row>
    <row r="24" spans="1:8" x14ac:dyDescent="0.3">
      <c r="A24" s="74" t="s">
        <v>5</v>
      </c>
      <c r="B24" s="74" t="s">
        <v>746</v>
      </c>
      <c r="C24" s="74" t="s">
        <v>1186</v>
      </c>
      <c r="D24" s="74" t="s">
        <v>2659</v>
      </c>
      <c r="E24" s="76">
        <v>551645.52078825235</v>
      </c>
      <c r="F24" s="76">
        <v>1694108.2214200948</v>
      </c>
      <c r="G24" s="76">
        <v>789667.44797670492</v>
      </c>
      <c r="H24" s="76">
        <v>1401351.9624301556</v>
      </c>
    </row>
    <row r="25" spans="1:8" x14ac:dyDescent="0.3">
      <c r="A25" s="74" t="s">
        <v>5</v>
      </c>
      <c r="B25" s="74" t="s">
        <v>746</v>
      </c>
      <c r="C25" s="74" t="s">
        <v>1187</v>
      </c>
      <c r="D25" s="74" t="s">
        <v>102</v>
      </c>
      <c r="E25" s="76">
        <v>0</v>
      </c>
      <c r="F25" s="76">
        <v>48829.17504894</v>
      </c>
      <c r="G25" s="76">
        <v>0</v>
      </c>
      <c r="H25" s="76">
        <v>396607.97959820437</v>
      </c>
    </row>
    <row r="26" spans="1:8" x14ac:dyDescent="0.3">
      <c r="A26" s="74" t="s">
        <v>5</v>
      </c>
      <c r="B26" s="74" t="s">
        <v>746</v>
      </c>
      <c r="C26" s="74" t="s">
        <v>1188</v>
      </c>
      <c r="D26" s="74" t="s">
        <v>104</v>
      </c>
      <c r="E26" s="76">
        <v>0</v>
      </c>
      <c r="F26" s="76">
        <v>97658.350097880015</v>
      </c>
      <c r="G26" s="76">
        <v>0</v>
      </c>
      <c r="H26" s="76">
        <v>0</v>
      </c>
    </row>
    <row r="27" spans="1:8" x14ac:dyDescent="0.3">
      <c r="A27" s="74" t="s">
        <v>5</v>
      </c>
      <c r="B27" s="74" t="s">
        <v>1190</v>
      </c>
      <c r="D27" s="74" t="e">
        <v>#N/A</v>
      </c>
      <c r="E27" s="76">
        <v>3943808.8567305803</v>
      </c>
      <c r="F27" s="76">
        <v>6864423.1316675302</v>
      </c>
      <c r="G27" s="76">
        <v>1343818.2226431104</v>
      </c>
      <c r="H27" s="76">
        <v>4109905.0579545507</v>
      </c>
    </row>
    <row r="28" spans="1:8" x14ac:dyDescent="0.3">
      <c r="A28" s="74" t="s">
        <v>1191</v>
      </c>
      <c r="D28" s="74" t="e">
        <v>#N/A</v>
      </c>
      <c r="E28" s="76">
        <v>3943808.8567305803</v>
      </c>
      <c r="F28" s="76">
        <v>6864423.1316675302</v>
      </c>
      <c r="G28" s="76">
        <v>1343818.2226431104</v>
      </c>
      <c r="H28" s="76">
        <v>4109905.0579545507</v>
      </c>
    </row>
    <row r="29" spans="1:8" x14ac:dyDescent="0.3">
      <c r="A29" s="74" t="s">
        <v>11</v>
      </c>
      <c r="B29" s="74" t="s">
        <v>746</v>
      </c>
      <c r="C29" s="74" t="s">
        <v>11</v>
      </c>
      <c r="D29" s="74" t="s">
        <v>802</v>
      </c>
      <c r="E29" s="76">
        <v>0</v>
      </c>
      <c r="F29" s="76">
        <v>16276.391682980002</v>
      </c>
      <c r="G29" s="76">
        <v>0</v>
      </c>
      <c r="H29" s="76">
        <v>0</v>
      </c>
    </row>
    <row r="30" spans="1:8" x14ac:dyDescent="0.3">
      <c r="A30" s="74" t="s">
        <v>11</v>
      </c>
      <c r="B30" s="74" t="s">
        <v>746</v>
      </c>
      <c r="C30" s="74" t="s">
        <v>1207</v>
      </c>
      <c r="D30" s="74" t="s">
        <v>1580</v>
      </c>
      <c r="E30" s="76">
        <v>61390.940276412322</v>
      </c>
      <c r="F30" s="76">
        <v>823452.06666261505</v>
      </c>
      <c r="G30" s="76">
        <v>0</v>
      </c>
      <c r="H30" s="76">
        <v>0</v>
      </c>
    </row>
    <row r="31" spans="1:8" x14ac:dyDescent="0.3">
      <c r="A31" s="74" t="s">
        <v>11</v>
      </c>
      <c r="B31" s="74" t="s">
        <v>746</v>
      </c>
      <c r="C31" s="74" t="s">
        <v>1208</v>
      </c>
      <c r="D31" s="74" t="s">
        <v>1583</v>
      </c>
      <c r="E31" s="76">
        <v>349212.291076425</v>
      </c>
      <c r="F31" s="76">
        <v>2318355.794578135</v>
      </c>
      <c r="G31" s="76">
        <v>0</v>
      </c>
      <c r="H31" s="76">
        <v>258410.26768026379</v>
      </c>
    </row>
    <row r="32" spans="1:8" x14ac:dyDescent="0.3">
      <c r="A32" s="74" t="s">
        <v>11</v>
      </c>
      <c r="B32" s="74" t="s">
        <v>746</v>
      </c>
      <c r="C32" s="74" t="s">
        <v>1210</v>
      </c>
      <c r="D32" s="74" t="s">
        <v>1588</v>
      </c>
      <c r="E32" s="76">
        <v>121342.45883002582</v>
      </c>
      <c r="F32" s="76">
        <v>1041689.0677107201</v>
      </c>
      <c r="G32" s="76">
        <v>0</v>
      </c>
      <c r="H32" s="76">
        <v>0</v>
      </c>
    </row>
    <row r="33" spans="1:8" x14ac:dyDescent="0.3">
      <c r="A33" s="74" t="s">
        <v>11</v>
      </c>
      <c r="B33" s="74" t="s">
        <v>746</v>
      </c>
      <c r="C33" s="74" t="s">
        <v>1211</v>
      </c>
      <c r="D33" s="74" t="s">
        <v>1595</v>
      </c>
      <c r="E33" s="76">
        <v>354952.9192805374</v>
      </c>
      <c r="F33" s="76">
        <v>1231232.8561216448</v>
      </c>
      <c r="G33" s="76">
        <v>0</v>
      </c>
      <c r="H33" s="76">
        <v>213905.02269986743</v>
      </c>
    </row>
    <row r="34" spans="1:8" x14ac:dyDescent="0.3">
      <c r="A34" s="74" t="s">
        <v>11</v>
      </c>
      <c r="B34" s="74" t="s">
        <v>746</v>
      </c>
      <c r="C34" s="74" t="s">
        <v>1212</v>
      </c>
      <c r="D34" s="74" t="s">
        <v>1598</v>
      </c>
      <c r="E34" s="76">
        <v>308199.08075996127</v>
      </c>
      <c r="F34" s="76">
        <v>1299381.6047232149</v>
      </c>
      <c r="G34" s="76">
        <v>0</v>
      </c>
      <c r="H34" s="76">
        <v>0</v>
      </c>
    </row>
    <row r="35" spans="1:8" x14ac:dyDescent="0.3">
      <c r="A35" s="74" t="s">
        <v>11</v>
      </c>
      <c r="B35" s="74" t="s">
        <v>1190</v>
      </c>
      <c r="D35" s="74" t="e">
        <v>#N/A</v>
      </c>
      <c r="E35" s="76">
        <v>1195097.6902233618</v>
      </c>
      <c r="F35" s="76">
        <v>6730387.7814793102</v>
      </c>
      <c r="G35" s="76">
        <v>0</v>
      </c>
      <c r="H35" s="76">
        <v>472315.29038013122</v>
      </c>
    </row>
    <row r="36" spans="1:8" x14ac:dyDescent="0.3">
      <c r="A36" s="74" t="s">
        <v>11</v>
      </c>
      <c r="B36" s="74" t="s">
        <v>761</v>
      </c>
      <c r="C36" s="74" t="s">
        <v>1212</v>
      </c>
      <c r="D36" s="74" t="s">
        <v>1598</v>
      </c>
      <c r="E36" s="76">
        <v>0</v>
      </c>
      <c r="F36" s="76">
        <v>78361.020838360011</v>
      </c>
      <c r="G36" s="76">
        <v>0</v>
      </c>
      <c r="H36" s="76">
        <v>0</v>
      </c>
    </row>
    <row r="37" spans="1:8" x14ac:dyDescent="0.3">
      <c r="A37" s="74" t="s">
        <v>11</v>
      </c>
      <c r="B37" s="74" t="s">
        <v>1205</v>
      </c>
      <c r="D37" s="74" t="e">
        <v>#N/A</v>
      </c>
      <c r="E37" s="76">
        <v>0</v>
      </c>
      <c r="F37" s="76">
        <v>78361.020838360011</v>
      </c>
      <c r="G37" s="76">
        <v>0</v>
      </c>
      <c r="H37" s="76">
        <v>0</v>
      </c>
    </row>
    <row r="38" spans="1:8" x14ac:dyDescent="0.3">
      <c r="A38" s="74" t="s">
        <v>1214</v>
      </c>
      <c r="D38" s="74" t="e">
        <v>#N/A</v>
      </c>
      <c r="E38" s="76">
        <v>1195097.6902233618</v>
      </c>
      <c r="F38" s="76">
        <v>6808748.8023176705</v>
      </c>
      <c r="G38" s="76">
        <v>0</v>
      </c>
      <c r="H38" s="76">
        <v>472315.29038013122</v>
      </c>
    </row>
    <row r="39" spans="1:8" x14ac:dyDescent="0.3">
      <c r="A39" s="74" t="s">
        <v>6</v>
      </c>
      <c r="B39" s="74" t="s">
        <v>746</v>
      </c>
      <c r="C39" s="74" t="s">
        <v>6</v>
      </c>
      <c r="D39" s="74" t="s">
        <v>797</v>
      </c>
      <c r="E39" s="76">
        <v>970937.52741375787</v>
      </c>
      <c r="F39" s="76">
        <v>20337688.282503024</v>
      </c>
      <c r="G39" s="76">
        <v>1132283.2747372526</v>
      </c>
      <c r="H39" s="76">
        <v>755330.16646248917</v>
      </c>
    </row>
    <row r="40" spans="1:8" x14ac:dyDescent="0.3">
      <c r="A40" s="74" t="s">
        <v>6</v>
      </c>
      <c r="B40" s="74" t="s">
        <v>746</v>
      </c>
      <c r="C40" s="74" t="s">
        <v>1215</v>
      </c>
      <c r="D40" s="74" t="s">
        <v>1980</v>
      </c>
      <c r="E40" s="76">
        <v>0</v>
      </c>
      <c r="F40" s="76">
        <v>97658.35009788</v>
      </c>
      <c r="G40" s="76">
        <v>0</v>
      </c>
      <c r="H40" s="76">
        <v>0</v>
      </c>
    </row>
    <row r="41" spans="1:8" x14ac:dyDescent="0.3">
      <c r="A41" s="74" t="s">
        <v>6</v>
      </c>
      <c r="B41" s="74" t="s">
        <v>746</v>
      </c>
      <c r="C41" s="74" t="s">
        <v>1216</v>
      </c>
      <c r="D41" s="74" t="s">
        <v>1630</v>
      </c>
      <c r="E41" s="76">
        <v>0</v>
      </c>
      <c r="F41" s="76">
        <v>203454.89603725</v>
      </c>
      <c r="G41" s="76">
        <v>0</v>
      </c>
      <c r="H41" s="76">
        <v>0</v>
      </c>
    </row>
    <row r="42" spans="1:8" x14ac:dyDescent="0.3">
      <c r="A42" s="74" t="s">
        <v>6</v>
      </c>
      <c r="B42" s="74" t="s">
        <v>746</v>
      </c>
      <c r="C42" s="74" t="s">
        <v>1217</v>
      </c>
      <c r="D42" s="74" t="s">
        <v>1635</v>
      </c>
      <c r="E42" s="76">
        <v>256248.18883703486</v>
      </c>
      <c r="F42" s="76">
        <v>195316.70019576003</v>
      </c>
      <c r="G42" s="76">
        <v>290419.4158614754</v>
      </c>
      <c r="H42" s="76">
        <v>344363.17079393112</v>
      </c>
    </row>
    <row r="43" spans="1:8" x14ac:dyDescent="0.3">
      <c r="A43" s="74" t="s">
        <v>6</v>
      </c>
      <c r="B43" s="74" t="s">
        <v>746</v>
      </c>
      <c r="C43" s="74" t="s">
        <v>1639</v>
      </c>
      <c r="D43" s="74" t="s">
        <v>1640</v>
      </c>
      <c r="E43" s="76">
        <v>0</v>
      </c>
      <c r="F43" s="76">
        <v>235785.56425287502</v>
      </c>
      <c r="G43" s="76">
        <v>0</v>
      </c>
      <c r="H43" s="76">
        <v>0</v>
      </c>
    </row>
    <row r="44" spans="1:8" x14ac:dyDescent="0.3">
      <c r="A44" s="74" t="s">
        <v>6</v>
      </c>
      <c r="B44" s="74" t="s">
        <v>746</v>
      </c>
      <c r="C44" s="74" t="s">
        <v>1218</v>
      </c>
      <c r="D44" s="74" t="s">
        <v>1643</v>
      </c>
      <c r="E44" s="76">
        <v>148095.12806184075</v>
      </c>
      <c r="F44" s="76">
        <v>3516361.4689554647</v>
      </c>
      <c r="G44" s="76">
        <v>78505.557770603846</v>
      </c>
      <c r="H44" s="76">
        <v>0</v>
      </c>
    </row>
    <row r="45" spans="1:8" x14ac:dyDescent="0.3">
      <c r="A45" s="74" t="s">
        <v>6</v>
      </c>
      <c r="B45" s="74" t="s">
        <v>746</v>
      </c>
      <c r="C45" s="74" t="s">
        <v>1219</v>
      </c>
      <c r="D45" s="74" t="s">
        <v>1646</v>
      </c>
      <c r="E45" s="76">
        <v>0</v>
      </c>
      <c r="F45" s="76">
        <v>1350093.9161669048</v>
      </c>
      <c r="G45" s="76">
        <v>0</v>
      </c>
      <c r="H45" s="76">
        <v>0</v>
      </c>
    </row>
    <row r="46" spans="1:8" x14ac:dyDescent="0.3">
      <c r="A46" s="74" t="s">
        <v>6</v>
      </c>
      <c r="B46" s="74" t="s">
        <v>746</v>
      </c>
      <c r="C46" s="74" t="s">
        <v>1220</v>
      </c>
      <c r="D46" s="74" t="s">
        <v>1649</v>
      </c>
      <c r="E46" s="76">
        <v>73661.689222192043</v>
      </c>
      <c r="F46" s="76">
        <v>2716867.869771705</v>
      </c>
      <c r="G46" s="76">
        <v>0</v>
      </c>
      <c r="H46" s="76">
        <v>0</v>
      </c>
    </row>
    <row r="47" spans="1:8" x14ac:dyDescent="0.3">
      <c r="A47" s="74" t="s">
        <v>6</v>
      </c>
      <c r="B47" s="74" t="s">
        <v>746</v>
      </c>
      <c r="C47" s="74" t="s">
        <v>1221</v>
      </c>
      <c r="D47" s="74" t="s">
        <v>1652</v>
      </c>
      <c r="E47" s="76">
        <v>359824.17886829586</v>
      </c>
      <c r="F47" s="76">
        <v>6465254.4604144897</v>
      </c>
      <c r="G47" s="76">
        <v>1159715.4329584339</v>
      </c>
      <c r="H47" s="76">
        <v>315142.72041662503</v>
      </c>
    </row>
    <row r="48" spans="1:8" x14ac:dyDescent="0.3">
      <c r="A48" s="74" t="s">
        <v>6</v>
      </c>
      <c r="B48" s="74" t="s">
        <v>746</v>
      </c>
      <c r="C48" s="74" t="s">
        <v>1222</v>
      </c>
      <c r="D48" s="74" t="s">
        <v>1655</v>
      </c>
      <c r="E48" s="76">
        <v>49107.792814794695</v>
      </c>
      <c r="F48" s="76">
        <v>3737633.1838726401</v>
      </c>
      <c r="G48" s="76">
        <v>203293.59110303276</v>
      </c>
      <c r="H48" s="76">
        <v>90641.409314538512</v>
      </c>
    </row>
    <row r="49" spans="1:8" x14ac:dyDescent="0.3">
      <c r="A49" s="74" t="s">
        <v>6</v>
      </c>
      <c r="B49" s="74" t="s">
        <v>746</v>
      </c>
      <c r="C49" s="74" t="s">
        <v>1223</v>
      </c>
      <c r="D49" s="74" t="s">
        <v>1658</v>
      </c>
      <c r="E49" s="76">
        <v>0</v>
      </c>
      <c r="F49" s="76">
        <v>97658.35009788</v>
      </c>
      <c r="G49" s="76">
        <v>0</v>
      </c>
      <c r="H49" s="76">
        <v>0</v>
      </c>
    </row>
    <row r="50" spans="1:8" x14ac:dyDescent="0.3">
      <c r="A50" s="74" t="s">
        <v>6</v>
      </c>
      <c r="B50" s="74" t="s">
        <v>746</v>
      </c>
      <c r="C50" s="74" t="s">
        <v>1224</v>
      </c>
      <c r="D50" s="74" t="s">
        <v>1662</v>
      </c>
      <c r="E50" s="76">
        <v>69166.825849576126</v>
      </c>
      <c r="F50" s="76">
        <v>942471.06301816006</v>
      </c>
      <c r="G50" s="76">
        <v>0</v>
      </c>
      <c r="H50" s="76">
        <v>0</v>
      </c>
    </row>
    <row r="51" spans="1:8" x14ac:dyDescent="0.3">
      <c r="A51" s="74" t="s">
        <v>6</v>
      </c>
      <c r="B51" s="74" t="s">
        <v>746</v>
      </c>
      <c r="C51" s="74" t="s">
        <v>1225</v>
      </c>
      <c r="D51" s="74" t="s">
        <v>1666</v>
      </c>
      <c r="E51" s="76">
        <v>58705.288796435794</v>
      </c>
      <c r="F51" s="76">
        <v>2483446.922326955</v>
      </c>
      <c r="G51" s="76">
        <v>0</v>
      </c>
      <c r="H51" s="76">
        <v>0</v>
      </c>
    </row>
    <row r="52" spans="1:8" x14ac:dyDescent="0.3">
      <c r="A52" s="74" t="s">
        <v>6</v>
      </c>
      <c r="B52" s="74" t="s">
        <v>746</v>
      </c>
      <c r="C52" s="74" t="s">
        <v>1226</v>
      </c>
      <c r="D52" s="74" t="s">
        <v>1670</v>
      </c>
      <c r="E52" s="76">
        <v>59931.54372918728</v>
      </c>
      <c r="F52" s="76">
        <v>373841.33332448505</v>
      </c>
      <c r="G52" s="76">
        <v>0</v>
      </c>
      <c r="H52" s="76">
        <v>0</v>
      </c>
    </row>
    <row r="53" spans="1:8" x14ac:dyDescent="0.3">
      <c r="A53" s="74" t="s">
        <v>6</v>
      </c>
      <c r="B53" s="74" t="s">
        <v>746</v>
      </c>
      <c r="C53" s="74" t="s">
        <v>1227</v>
      </c>
      <c r="D53" s="74" t="s">
        <v>1678</v>
      </c>
      <c r="E53" s="76">
        <v>93176.714653452233</v>
      </c>
      <c r="F53" s="76">
        <v>724681.00333427498</v>
      </c>
      <c r="G53" s="76">
        <v>0</v>
      </c>
      <c r="H53" s="76">
        <v>0</v>
      </c>
    </row>
    <row r="54" spans="1:8" x14ac:dyDescent="0.3">
      <c r="A54" s="74" t="s">
        <v>6</v>
      </c>
      <c r="B54" s="74" t="s">
        <v>746</v>
      </c>
      <c r="C54" s="74" t="s">
        <v>1681</v>
      </c>
      <c r="D54" s="74" t="s">
        <v>949</v>
      </c>
      <c r="E54" s="76">
        <v>0</v>
      </c>
      <c r="F54" s="76">
        <v>0</v>
      </c>
      <c r="G54" s="76">
        <v>944361.46132052189</v>
      </c>
      <c r="H54" s="76">
        <v>0</v>
      </c>
    </row>
    <row r="55" spans="1:8" x14ac:dyDescent="0.3">
      <c r="A55" s="74" t="s">
        <v>6</v>
      </c>
      <c r="B55" s="74" t="s">
        <v>746</v>
      </c>
      <c r="C55" s="74" t="s">
        <v>1228</v>
      </c>
      <c r="D55" s="74" t="s">
        <v>1690</v>
      </c>
      <c r="E55" s="76">
        <v>1507354.4357691966</v>
      </c>
      <c r="F55" s="76">
        <v>14210264.635493943</v>
      </c>
      <c r="G55" s="76">
        <v>0</v>
      </c>
      <c r="H55" s="76">
        <v>0</v>
      </c>
    </row>
    <row r="56" spans="1:8" x14ac:dyDescent="0.3">
      <c r="A56" s="74" t="s">
        <v>6</v>
      </c>
      <c r="B56" s="74" t="s">
        <v>746</v>
      </c>
      <c r="C56" s="74" t="s">
        <v>1229</v>
      </c>
      <c r="D56" s="74" t="s">
        <v>1693</v>
      </c>
      <c r="E56" s="76">
        <v>0</v>
      </c>
      <c r="F56" s="76">
        <v>244145.8752447</v>
      </c>
      <c r="G56" s="76">
        <v>0</v>
      </c>
      <c r="H56" s="76">
        <v>0</v>
      </c>
    </row>
    <row r="57" spans="1:8" x14ac:dyDescent="0.3">
      <c r="A57" s="74" t="s">
        <v>6</v>
      </c>
      <c r="B57" s="74" t="s">
        <v>746</v>
      </c>
      <c r="C57" s="74" t="s">
        <v>1230</v>
      </c>
      <c r="D57" s="74" t="s">
        <v>1696</v>
      </c>
      <c r="E57" s="76">
        <v>162690.22405847337</v>
      </c>
      <c r="F57" s="76">
        <v>881505.06791028497</v>
      </c>
      <c r="G57" s="76">
        <v>209348.15405494359</v>
      </c>
      <c r="H57" s="76">
        <v>0</v>
      </c>
    </row>
    <row r="58" spans="1:8" x14ac:dyDescent="0.3">
      <c r="A58" s="74" t="s">
        <v>6</v>
      </c>
      <c r="B58" s="74" t="s">
        <v>746</v>
      </c>
      <c r="C58" s="74" t="s">
        <v>1231</v>
      </c>
      <c r="D58" s="74" t="s">
        <v>1704</v>
      </c>
      <c r="E58" s="76">
        <v>307848.06554213201</v>
      </c>
      <c r="F58" s="76">
        <v>1791021.2251439299</v>
      </c>
      <c r="G58" s="76">
        <v>0</v>
      </c>
      <c r="H58" s="76">
        <v>422282.59299320402</v>
      </c>
    </row>
    <row r="59" spans="1:8" x14ac:dyDescent="0.3">
      <c r="A59" s="74" t="s">
        <v>6</v>
      </c>
      <c r="B59" s="74" t="s">
        <v>746</v>
      </c>
      <c r="C59" s="74" t="s">
        <v>1232</v>
      </c>
      <c r="D59" s="74" t="s">
        <v>1706</v>
      </c>
      <c r="E59" s="76">
        <v>689252.80490797455</v>
      </c>
      <c r="F59" s="76">
        <v>2488070.032697665</v>
      </c>
      <c r="G59" s="76">
        <v>911866.63203270955</v>
      </c>
      <c r="H59" s="76">
        <v>277277.21503277408</v>
      </c>
    </row>
    <row r="60" spans="1:8" x14ac:dyDescent="0.3">
      <c r="A60" s="74" t="s">
        <v>6</v>
      </c>
      <c r="B60" s="74" t="s">
        <v>746</v>
      </c>
      <c r="C60" s="74" t="s">
        <v>1234</v>
      </c>
      <c r="D60" s="74" t="s">
        <v>1717</v>
      </c>
      <c r="E60" s="76">
        <v>34583.412924788063</v>
      </c>
      <c r="F60" s="76">
        <v>162763.91682980003</v>
      </c>
      <c r="G60" s="76">
        <v>0</v>
      </c>
      <c r="H60" s="76">
        <v>259375.59693591043</v>
      </c>
    </row>
    <row r="61" spans="1:8" x14ac:dyDescent="0.3">
      <c r="A61" s="74" t="s">
        <v>6</v>
      </c>
      <c r="B61" s="74" t="s">
        <v>746</v>
      </c>
      <c r="C61" s="74" t="s">
        <v>1235</v>
      </c>
      <c r="D61" s="74" t="s">
        <v>1721</v>
      </c>
      <c r="E61" s="76">
        <v>0</v>
      </c>
      <c r="F61" s="76">
        <v>619248.93359439506</v>
      </c>
      <c r="G61" s="76">
        <v>0</v>
      </c>
      <c r="H61" s="76">
        <v>0</v>
      </c>
    </row>
    <row r="62" spans="1:8" x14ac:dyDescent="0.3">
      <c r="A62" s="74" t="s">
        <v>6</v>
      </c>
      <c r="B62" s="74" t="s">
        <v>746</v>
      </c>
      <c r="C62" s="74" t="s">
        <v>1236</v>
      </c>
      <c r="D62" s="74" t="s">
        <v>1728</v>
      </c>
      <c r="E62" s="76">
        <v>309224.33897696494</v>
      </c>
      <c r="F62" s="76">
        <v>4871559.2792311907</v>
      </c>
      <c r="G62" s="76">
        <v>487636.07959802251</v>
      </c>
      <c r="H62" s="76">
        <v>294646.75688876817</v>
      </c>
    </row>
    <row r="63" spans="1:8" x14ac:dyDescent="0.3">
      <c r="A63" s="74" t="s">
        <v>6</v>
      </c>
      <c r="B63" s="74" t="s">
        <v>746</v>
      </c>
      <c r="C63" s="74" t="s">
        <v>1238</v>
      </c>
      <c r="D63" s="74" t="s">
        <v>1734</v>
      </c>
      <c r="E63" s="76">
        <v>0</v>
      </c>
      <c r="F63" s="76">
        <v>260422.26692768003</v>
      </c>
      <c r="G63" s="76">
        <v>0</v>
      </c>
      <c r="H63" s="76">
        <v>0</v>
      </c>
    </row>
    <row r="64" spans="1:8" x14ac:dyDescent="0.3">
      <c r="A64" s="74" t="s">
        <v>6</v>
      </c>
      <c r="B64" s="74" t="s">
        <v>746</v>
      </c>
      <c r="C64" s="74" t="s">
        <v>1239</v>
      </c>
      <c r="D64" s="74" t="s">
        <v>1737</v>
      </c>
      <c r="E64" s="76">
        <v>52237.09690547231</v>
      </c>
      <c r="F64" s="76">
        <v>459645.301148995</v>
      </c>
      <c r="G64" s="76">
        <v>0</v>
      </c>
      <c r="H64" s="76">
        <v>0</v>
      </c>
    </row>
    <row r="65" spans="1:8" x14ac:dyDescent="0.3">
      <c r="A65" s="74" t="s">
        <v>6</v>
      </c>
      <c r="B65" s="74" t="s">
        <v>746</v>
      </c>
      <c r="C65" s="74" t="s">
        <v>1240</v>
      </c>
      <c r="D65" s="74" t="s">
        <v>1741</v>
      </c>
      <c r="E65" s="76">
        <v>18995.307967292869</v>
      </c>
      <c r="F65" s="76">
        <v>54688.676067479995</v>
      </c>
      <c r="G65" s="76">
        <v>0</v>
      </c>
      <c r="H65" s="76">
        <v>0</v>
      </c>
    </row>
    <row r="66" spans="1:8" x14ac:dyDescent="0.3">
      <c r="A66" s="74" t="s">
        <v>6</v>
      </c>
      <c r="B66" s="74" t="s">
        <v>746</v>
      </c>
      <c r="C66" s="74" t="s">
        <v>1241</v>
      </c>
      <c r="D66" s="74" t="s">
        <v>1744</v>
      </c>
      <c r="E66" s="76">
        <v>149177.11794370913</v>
      </c>
      <c r="F66" s="76">
        <v>1538543.5562656249</v>
      </c>
      <c r="G66" s="76">
        <v>0</v>
      </c>
      <c r="H66" s="76">
        <v>0</v>
      </c>
    </row>
    <row r="67" spans="1:8" x14ac:dyDescent="0.3">
      <c r="A67" s="74" t="s">
        <v>6</v>
      </c>
      <c r="B67" s="74" t="s">
        <v>746</v>
      </c>
      <c r="C67" s="74" t="s">
        <v>1242</v>
      </c>
      <c r="D67" s="74" t="s">
        <v>1748</v>
      </c>
      <c r="E67" s="76">
        <v>274513.64428131754</v>
      </c>
      <c r="F67" s="76">
        <v>4893876.669672315</v>
      </c>
      <c r="G67" s="76">
        <v>325090.71973201504</v>
      </c>
      <c r="H67" s="76">
        <v>0</v>
      </c>
    </row>
    <row r="68" spans="1:8" x14ac:dyDescent="0.3">
      <c r="A68" s="74" t="s">
        <v>6</v>
      </c>
      <c r="B68" s="74" t="s">
        <v>746</v>
      </c>
      <c r="C68" s="74" t="s">
        <v>1243</v>
      </c>
      <c r="D68" s="74" t="s">
        <v>1751</v>
      </c>
      <c r="E68" s="76">
        <v>48290.277562454328</v>
      </c>
      <c r="F68" s="76">
        <v>5775821.6170148654</v>
      </c>
      <c r="G68" s="76">
        <v>157011.11554120769</v>
      </c>
      <c r="H68" s="76">
        <v>0</v>
      </c>
    </row>
    <row r="69" spans="1:8" x14ac:dyDescent="0.3">
      <c r="A69" s="74" t="s">
        <v>6</v>
      </c>
      <c r="B69" s="74" t="s">
        <v>746</v>
      </c>
      <c r="C69" s="74" t="s">
        <v>1244</v>
      </c>
      <c r="D69" s="74" t="s">
        <v>1754</v>
      </c>
      <c r="E69" s="76">
        <v>492211.82356282778</v>
      </c>
      <c r="F69" s="76">
        <v>1810404.7122662147</v>
      </c>
      <c r="G69" s="76">
        <v>0</v>
      </c>
      <c r="H69" s="76">
        <v>0</v>
      </c>
    </row>
    <row r="70" spans="1:8" x14ac:dyDescent="0.3">
      <c r="A70" s="74" t="s">
        <v>6</v>
      </c>
      <c r="B70" s="74" t="s">
        <v>746</v>
      </c>
      <c r="C70" s="74" t="s">
        <v>1245</v>
      </c>
      <c r="D70" s="74" t="s">
        <v>1757</v>
      </c>
      <c r="E70" s="76">
        <v>0</v>
      </c>
      <c r="F70" s="76">
        <v>865585.60003480501</v>
      </c>
      <c r="G70" s="76">
        <v>0</v>
      </c>
      <c r="H70" s="76">
        <v>0</v>
      </c>
    </row>
    <row r="71" spans="1:8" x14ac:dyDescent="0.3">
      <c r="A71" s="74" t="s">
        <v>6</v>
      </c>
      <c r="B71" s="74" t="s">
        <v>746</v>
      </c>
      <c r="C71" s="74" t="s">
        <v>1247</v>
      </c>
      <c r="D71" s="74" t="s">
        <v>1763</v>
      </c>
      <c r="E71" s="76">
        <v>105515.70204940822</v>
      </c>
      <c r="F71" s="76">
        <v>987139.37603534502</v>
      </c>
      <c r="G71" s="76">
        <v>0</v>
      </c>
      <c r="H71" s="76">
        <v>0</v>
      </c>
    </row>
    <row r="72" spans="1:8" x14ac:dyDescent="0.3">
      <c r="A72" s="74" t="s">
        <v>6</v>
      </c>
      <c r="B72" s="74" t="s">
        <v>746</v>
      </c>
      <c r="C72" s="74" t="s">
        <v>1248</v>
      </c>
      <c r="D72" s="74" t="s">
        <v>1766</v>
      </c>
      <c r="E72" s="76">
        <v>0</v>
      </c>
      <c r="F72" s="76">
        <v>563878.49462509505</v>
      </c>
      <c r="G72" s="76">
        <v>0</v>
      </c>
      <c r="H72" s="76">
        <v>0</v>
      </c>
    </row>
    <row r="73" spans="1:8" x14ac:dyDescent="0.3">
      <c r="A73" s="74" t="s">
        <v>6</v>
      </c>
      <c r="B73" s="74" t="s">
        <v>746</v>
      </c>
      <c r="C73" s="74" t="s">
        <v>1249</v>
      </c>
      <c r="D73" s="74" t="s">
        <v>1769</v>
      </c>
      <c r="E73" s="76">
        <v>161116.29054591613</v>
      </c>
      <c r="F73" s="76">
        <v>7051146.8962881714</v>
      </c>
      <c r="G73" s="76">
        <v>0</v>
      </c>
      <c r="H73" s="76">
        <v>0</v>
      </c>
    </row>
    <row r="74" spans="1:8" x14ac:dyDescent="0.3">
      <c r="A74" s="74" t="s">
        <v>6</v>
      </c>
      <c r="B74" s="74" t="s">
        <v>746</v>
      </c>
      <c r="C74" s="74" t="s">
        <v>1250</v>
      </c>
      <c r="D74" s="74" t="s">
        <v>1772</v>
      </c>
      <c r="E74" s="76">
        <v>128774.07349987821</v>
      </c>
      <c r="F74" s="76">
        <v>211593.09187874</v>
      </c>
      <c r="G74" s="76">
        <v>0</v>
      </c>
      <c r="H74" s="76">
        <v>0</v>
      </c>
    </row>
    <row r="75" spans="1:8" x14ac:dyDescent="0.3">
      <c r="A75" s="74" t="s">
        <v>6</v>
      </c>
      <c r="B75" s="74" t="s">
        <v>746</v>
      </c>
      <c r="C75" s="74" t="s">
        <v>1251</v>
      </c>
      <c r="D75" s="74" t="s">
        <v>1775</v>
      </c>
      <c r="E75" s="76">
        <v>271696.69872953399</v>
      </c>
      <c r="F75" s="76">
        <v>2869132.1778958151</v>
      </c>
      <c r="G75" s="76">
        <v>0</v>
      </c>
      <c r="H75" s="76">
        <v>0</v>
      </c>
    </row>
    <row r="76" spans="1:8" x14ac:dyDescent="0.3">
      <c r="A76" s="74" t="s">
        <v>6</v>
      </c>
      <c r="B76" s="74" t="s">
        <v>746</v>
      </c>
      <c r="C76" s="74" t="s">
        <v>1252</v>
      </c>
      <c r="D76" s="74" t="s">
        <v>1810</v>
      </c>
      <c r="E76" s="76">
        <v>502604.66816334869</v>
      </c>
      <c r="F76" s="76">
        <v>1853676.859624655</v>
      </c>
      <c r="G76" s="76">
        <v>0</v>
      </c>
      <c r="H76" s="76">
        <v>208316.03110538618</v>
      </c>
    </row>
    <row r="77" spans="1:8" x14ac:dyDescent="0.3">
      <c r="A77" s="74" t="s">
        <v>6</v>
      </c>
      <c r="B77" s="74" t="s">
        <v>746</v>
      </c>
      <c r="C77" s="74" t="s">
        <v>1253</v>
      </c>
      <c r="D77" s="74" t="s">
        <v>1813</v>
      </c>
      <c r="E77" s="76">
        <v>0</v>
      </c>
      <c r="F77" s="76">
        <v>48829.17504894</v>
      </c>
      <c r="G77" s="76">
        <v>0</v>
      </c>
      <c r="H77" s="76">
        <v>0</v>
      </c>
    </row>
    <row r="78" spans="1:8" x14ac:dyDescent="0.3">
      <c r="A78" s="74" t="s">
        <v>6</v>
      </c>
      <c r="B78" s="74" t="s">
        <v>746</v>
      </c>
      <c r="C78" s="74" t="s">
        <v>1254</v>
      </c>
      <c r="D78" s="74" t="s">
        <v>1817</v>
      </c>
      <c r="E78" s="76">
        <v>882345.46289109159</v>
      </c>
      <c r="F78" s="76">
        <v>911649.54981931997</v>
      </c>
      <c r="G78" s="76">
        <v>1111174.1908331448</v>
      </c>
      <c r="H78" s="76">
        <v>0</v>
      </c>
    </row>
    <row r="79" spans="1:8" x14ac:dyDescent="0.3">
      <c r="A79" s="74" t="s">
        <v>6</v>
      </c>
      <c r="B79" s="74" t="s">
        <v>746</v>
      </c>
      <c r="C79" s="74" t="s">
        <v>1255</v>
      </c>
      <c r="D79" s="74" t="s">
        <v>1820</v>
      </c>
      <c r="E79" s="76">
        <v>52858.284047847912</v>
      </c>
      <c r="F79" s="76">
        <v>238060.70290645503</v>
      </c>
      <c r="G79" s="76">
        <v>0</v>
      </c>
      <c r="H79" s="76">
        <v>48999.773069366551</v>
      </c>
    </row>
    <row r="80" spans="1:8" x14ac:dyDescent="0.3">
      <c r="A80" s="74" t="s">
        <v>6</v>
      </c>
      <c r="B80" s="74" t="s">
        <v>746</v>
      </c>
      <c r="C80" s="74" t="s">
        <v>1256</v>
      </c>
      <c r="D80" s="74" t="s">
        <v>1823</v>
      </c>
      <c r="E80" s="76">
        <v>0</v>
      </c>
      <c r="F80" s="76">
        <v>1632862.4915035549</v>
      </c>
      <c r="G80" s="76">
        <v>0</v>
      </c>
      <c r="H80" s="76">
        <v>0</v>
      </c>
    </row>
    <row r="81" spans="1:8" x14ac:dyDescent="0.3">
      <c r="A81" s="74" t="s">
        <v>6</v>
      </c>
      <c r="B81" s="74" t="s">
        <v>746</v>
      </c>
      <c r="C81" s="74" t="s">
        <v>1257</v>
      </c>
      <c r="D81" s="74" t="s">
        <v>1825</v>
      </c>
      <c r="E81" s="76">
        <v>186339.00353458547</v>
      </c>
      <c r="F81" s="76">
        <v>823786.96657874493</v>
      </c>
      <c r="G81" s="76">
        <v>0</v>
      </c>
      <c r="H81" s="76">
        <v>0</v>
      </c>
    </row>
    <row r="82" spans="1:8" x14ac:dyDescent="0.3">
      <c r="A82" s="74" t="s">
        <v>6</v>
      </c>
      <c r="B82" s="74" t="s">
        <v>746</v>
      </c>
      <c r="C82" s="74" t="s">
        <v>1258</v>
      </c>
      <c r="D82" s="74" t="s">
        <v>1828</v>
      </c>
      <c r="E82" s="76">
        <v>463158.80982187728</v>
      </c>
      <c r="F82" s="76">
        <v>1547809.8458989402</v>
      </c>
      <c r="G82" s="76">
        <v>380726.38124254922</v>
      </c>
      <c r="H82" s="76">
        <v>103978.95563729027</v>
      </c>
    </row>
    <row r="83" spans="1:8" x14ac:dyDescent="0.3">
      <c r="A83" s="74" t="s">
        <v>6</v>
      </c>
      <c r="B83" s="74" t="s">
        <v>746</v>
      </c>
      <c r="C83" s="74" t="s">
        <v>1259</v>
      </c>
      <c r="D83" s="74" t="s">
        <v>1831</v>
      </c>
      <c r="E83" s="76">
        <v>0</v>
      </c>
      <c r="F83" s="76">
        <v>243820.07650819002</v>
      </c>
      <c r="G83" s="76">
        <v>0</v>
      </c>
      <c r="H83" s="76">
        <v>0</v>
      </c>
    </row>
    <row r="84" spans="1:8" x14ac:dyDescent="0.3">
      <c r="A84" s="74" t="s">
        <v>6</v>
      </c>
      <c r="B84" s="74" t="s">
        <v>746</v>
      </c>
      <c r="C84" s="74" t="s">
        <v>1260</v>
      </c>
      <c r="D84" s="74" t="s">
        <v>1834</v>
      </c>
      <c r="E84" s="76">
        <v>88714.282212721693</v>
      </c>
      <c r="F84" s="76">
        <v>1416208.0444900701</v>
      </c>
      <c r="G84" s="76">
        <v>0</v>
      </c>
      <c r="H84" s="76">
        <v>0</v>
      </c>
    </row>
    <row r="85" spans="1:8" x14ac:dyDescent="0.3">
      <c r="A85" s="74" t="s">
        <v>6</v>
      </c>
      <c r="B85" s="74" t="s">
        <v>746</v>
      </c>
      <c r="C85" s="74" t="s">
        <v>1261</v>
      </c>
      <c r="D85" s="74" t="s">
        <v>1837</v>
      </c>
      <c r="E85" s="76">
        <v>0</v>
      </c>
      <c r="F85" s="76">
        <v>773199.21876821003</v>
      </c>
      <c r="G85" s="76">
        <v>0</v>
      </c>
      <c r="H85" s="76">
        <v>294646.75688876817</v>
      </c>
    </row>
    <row r="86" spans="1:8" x14ac:dyDescent="0.3">
      <c r="A86" s="74" t="s">
        <v>6</v>
      </c>
      <c r="B86" s="74" t="s">
        <v>746</v>
      </c>
      <c r="C86" s="74" t="s">
        <v>1262</v>
      </c>
      <c r="D86" s="74" t="s">
        <v>1844</v>
      </c>
      <c r="E86" s="76">
        <v>216465.09403248763</v>
      </c>
      <c r="F86" s="76">
        <v>2629391.060261745</v>
      </c>
      <c r="G86" s="76">
        <v>0</v>
      </c>
      <c r="H86" s="76">
        <v>0</v>
      </c>
    </row>
    <row r="87" spans="1:8" x14ac:dyDescent="0.3">
      <c r="A87" s="74" t="s">
        <v>6</v>
      </c>
      <c r="B87" s="74" t="s">
        <v>746</v>
      </c>
      <c r="C87" s="74" t="s">
        <v>1263</v>
      </c>
      <c r="D87" s="74" t="s">
        <v>1847</v>
      </c>
      <c r="E87" s="76">
        <v>0</v>
      </c>
      <c r="F87" s="76">
        <v>391484.79411911999</v>
      </c>
      <c r="G87" s="76">
        <v>0</v>
      </c>
      <c r="H87" s="76">
        <v>0</v>
      </c>
    </row>
    <row r="88" spans="1:8" x14ac:dyDescent="0.3">
      <c r="A88" s="74" t="s">
        <v>6</v>
      </c>
      <c r="B88" s="74" t="s">
        <v>746</v>
      </c>
      <c r="C88" s="74" t="s">
        <v>1264</v>
      </c>
      <c r="D88" s="74" t="s">
        <v>1849</v>
      </c>
      <c r="E88" s="76">
        <v>51875.119387182087</v>
      </c>
      <c r="F88" s="76">
        <v>855198.0488788751</v>
      </c>
      <c r="G88" s="76">
        <v>0</v>
      </c>
      <c r="H88" s="76">
        <v>0</v>
      </c>
    </row>
    <row r="89" spans="1:8" x14ac:dyDescent="0.3">
      <c r="A89" s="74" t="s">
        <v>6</v>
      </c>
      <c r="B89" s="74" t="s">
        <v>746</v>
      </c>
      <c r="C89" s="74" t="s">
        <v>1265</v>
      </c>
      <c r="D89" s="74" t="s">
        <v>1852</v>
      </c>
      <c r="E89" s="76">
        <v>0</v>
      </c>
      <c r="F89" s="76">
        <v>0</v>
      </c>
      <c r="G89" s="76">
        <v>0</v>
      </c>
      <c r="H89" s="76">
        <v>207957.91127458055</v>
      </c>
    </row>
    <row r="90" spans="1:8" x14ac:dyDescent="0.3">
      <c r="A90" s="74" t="s">
        <v>6</v>
      </c>
      <c r="B90" s="74" t="s">
        <v>746</v>
      </c>
      <c r="C90" s="74" t="s">
        <v>1266</v>
      </c>
      <c r="D90" s="74" t="s">
        <v>1861</v>
      </c>
      <c r="E90" s="76">
        <v>976928.81399422151</v>
      </c>
      <c r="F90" s="76">
        <v>16182768.543185206</v>
      </c>
      <c r="G90" s="76">
        <v>78505.557770603846</v>
      </c>
      <c r="H90" s="76">
        <v>4190777.2819755985</v>
      </c>
    </row>
    <row r="91" spans="1:8" x14ac:dyDescent="0.3">
      <c r="A91" s="74" t="s">
        <v>6</v>
      </c>
      <c r="B91" s="74" t="s">
        <v>746</v>
      </c>
      <c r="C91" s="74" t="s">
        <v>1267</v>
      </c>
      <c r="D91" s="74" t="s">
        <v>1864</v>
      </c>
      <c r="E91" s="76">
        <v>0</v>
      </c>
      <c r="F91" s="76">
        <v>851024.47723839001</v>
      </c>
      <c r="G91" s="76">
        <v>0</v>
      </c>
      <c r="H91" s="76">
        <v>165162.13387491615</v>
      </c>
    </row>
    <row r="92" spans="1:8" x14ac:dyDescent="0.3">
      <c r="A92" s="74" t="s">
        <v>6</v>
      </c>
      <c r="B92" s="74" t="s">
        <v>746</v>
      </c>
      <c r="C92" s="74" t="s">
        <v>1268</v>
      </c>
      <c r="D92" s="74" t="s">
        <v>1867</v>
      </c>
      <c r="E92" s="76">
        <v>120855.21241938468</v>
      </c>
      <c r="F92" s="76">
        <v>947643.2991818001</v>
      </c>
      <c r="G92" s="76">
        <v>130842.59628433974</v>
      </c>
      <c r="H92" s="76">
        <v>52079.007775343525</v>
      </c>
    </row>
    <row r="93" spans="1:8" x14ac:dyDescent="0.3">
      <c r="A93" s="74" t="s">
        <v>6</v>
      </c>
      <c r="B93" s="74" t="s">
        <v>746</v>
      </c>
      <c r="C93" s="74" t="s">
        <v>1269</v>
      </c>
      <c r="D93" s="74" t="s">
        <v>1870</v>
      </c>
      <c r="E93" s="76">
        <v>0</v>
      </c>
      <c r="F93" s="76">
        <v>825656.25650806993</v>
      </c>
      <c r="G93" s="76">
        <v>0</v>
      </c>
      <c r="H93" s="76">
        <v>0</v>
      </c>
    </row>
    <row r="94" spans="1:8" x14ac:dyDescent="0.3">
      <c r="A94" s="74" t="s">
        <v>6</v>
      </c>
      <c r="B94" s="74" t="s">
        <v>746</v>
      </c>
      <c r="C94" s="74" t="s">
        <v>1272</v>
      </c>
      <c r="D94" s="74" t="s">
        <v>1877</v>
      </c>
      <c r="E94" s="76">
        <v>604082.10198786191</v>
      </c>
      <c r="F94" s="76">
        <v>0</v>
      </c>
      <c r="G94" s="76">
        <v>42403027.610746853</v>
      </c>
      <c r="H94" s="76">
        <v>2441320.871681937</v>
      </c>
    </row>
    <row r="95" spans="1:8" x14ac:dyDescent="0.3">
      <c r="A95" s="74" t="s">
        <v>6</v>
      </c>
      <c r="B95" s="74" t="s">
        <v>746</v>
      </c>
      <c r="C95" s="74" t="s">
        <v>1273</v>
      </c>
      <c r="D95" s="74" t="s">
        <v>1880</v>
      </c>
      <c r="E95" s="76">
        <v>51875.119387182087</v>
      </c>
      <c r="F95" s="76">
        <v>1144940.777982495</v>
      </c>
      <c r="G95" s="76">
        <v>0</v>
      </c>
      <c r="H95" s="76">
        <v>0</v>
      </c>
    </row>
    <row r="96" spans="1:8" x14ac:dyDescent="0.3">
      <c r="A96" s="74" t="s">
        <v>6</v>
      </c>
      <c r="B96" s="74" t="s">
        <v>746</v>
      </c>
      <c r="C96" s="74" t="s">
        <v>1274</v>
      </c>
      <c r="D96" s="74" t="s">
        <v>1883</v>
      </c>
      <c r="E96" s="76">
        <v>69166.825849576126</v>
      </c>
      <c r="F96" s="76">
        <v>2247552.1686837701</v>
      </c>
      <c r="G96" s="76">
        <v>0</v>
      </c>
      <c r="H96" s="76">
        <v>0</v>
      </c>
    </row>
    <row r="97" spans="1:8" x14ac:dyDescent="0.3">
      <c r="A97" s="74" t="s">
        <v>6</v>
      </c>
      <c r="B97" s="74" t="s">
        <v>746</v>
      </c>
      <c r="C97" s="74" t="s">
        <v>1275</v>
      </c>
      <c r="D97" s="74" t="s">
        <v>1886</v>
      </c>
      <c r="E97" s="76">
        <v>0</v>
      </c>
      <c r="F97" s="76">
        <v>5004024.6097639203</v>
      </c>
      <c r="G97" s="76">
        <v>0</v>
      </c>
      <c r="H97" s="76">
        <v>0</v>
      </c>
    </row>
    <row r="98" spans="1:8" x14ac:dyDescent="0.3">
      <c r="A98" s="74" t="s">
        <v>6</v>
      </c>
      <c r="B98" s="74" t="s">
        <v>746</v>
      </c>
      <c r="C98" s="74" t="s">
        <v>1276</v>
      </c>
      <c r="D98" s="74" t="s">
        <v>1888</v>
      </c>
      <c r="E98" s="76">
        <v>0</v>
      </c>
      <c r="F98" s="76">
        <v>187178.50435427</v>
      </c>
      <c r="G98" s="76">
        <v>0</v>
      </c>
      <c r="H98" s="76">
        <v>0</v>
      </c>
    </row>
    <row r="99" spans="1:8" x14ac:dyDescent="0.3">
      <c r="A99" s="74" t="s">
        <v>6</v>
      </c>
      <c r="B99" s="74" t="s">
        <v>746</v>
      </c>
      <c r="C99" s="74" t="s">
        <v>1277</v>
      </c>
      <c r="D99" s="74" t="s">
        <v>1891</v>
      </c>
      <c r="E99" s="76">
        <v>48999.773069366551</v>
      </c>
      <c r="F99" s="76">
        <v>455738.96712344</v>
      </c>
      <c r="G99" s="76">
        <v>0</v>
      </c>
      <c r="H99" s="76">
        <v>0</v>
      </c>
    </row>
    <row r="100" spans="1:8" x14ac:dyDescent="0.3">
      <c r="A100" s="74" t="s">
        <v>6</v>
      </c>
      <c r="B100" s="74" t="s">
        <v>746</v>
      </c>
      <c r="C100" s="74" t="s">
        <v>1280</v>
      </c>
      <c r="D100" s="74" t="s">
        <v>1899</v>
      </c>
      <c r="E100" s="76">
        <v>171059.75959944108</v>
      </c>
      <c r="F100" s="76">
        <v>1401841.197216785</v>
      </c>
      <c r="G100" s="76">
        <v>0</v>
      </c>
      <c r="H100" s="76">
        <v>0</v>
      </c>
    </row>
    <row r="101" spans="1:8" x14ac:dyDescent="0.3">
      <c r="A101" s="74" t="s">
        <v>6</v>
      </c>
      <c r="B101" s="74" t="s">
        <v>746</v>
      </c>
      <c r="C101" s="74" t="s">
        <v>1281</v>
      </c>
      <c r="D101" s="74" t="s">
        <v>1902</v>
      </c>
      <c r="E101" s="76">
        <v>0</v>
      </c>
      <c r="F101" s="76">
        <v>974657.49645316007</v>
      </c>
      <c r="G101" s="76">
        <v>0</v>
      </c>
      <c r="H101" s="76">
        <v>0</v>
      </c>
    </row>
    <row r="102" spans="1:8" x14ac:dyDescent="0.3">
      <c r="A102" s="74" t="s">
        <v>6</v>
      </c>
      <c r="B102" s="74" t="s">
        <v>746</v>
      </c>
      <c r="C102" s="74" t="s">
        <v>1282</v>
      </c>
      <c r="D102" s="74" t="s">
        <v>1905</v>
      </c>
      <c r="E102" s="76">
        <v>146999.31920809962</v>
      </c>
      <c r="F102" s="76">
        <v>448633.40039108502</v>
      </c>
      <c r="G102" s="76">
        <v>0</v>
      </c>
      <c r="H102" s="76">
        <v>0</v>
      </c>
    </row>
    <row r="103" spans="1:8" x14ac:dyDescent="0.3">
      <c r="A103" s="74" t="s">
        <v>6</v>
      </c>
      <c r="B103" s="74" t="s">
        <v>746</v>
      </c>
      <c r="C103" s="74" t="s">
        <v>1283</v>
      </c>
      <c r="D103" s="74" t="s">
        <v>1907</v>
      </c>
      <c r="E103" s="76">
        <v>51875.119387182087</v>
      </c>
      <c r="F103" s="76">
        <v>0</v>
      </c>
      <c r="G103" s="76">
        <v>0</v>
      </c>
      <c r="H103" s="76">
        <v>0</v>
      </c>
    </row>
    <row r="104" spans="1:8" x14ac:dyDescent="0.3">
      <c r="A104" s="74" t="s">
        <v>6</v>
      </c>
      <c r="B104" s="74" t="s">
        <v>746</v>
      </c>
      <c r="C104" s="74" t="s">
        <v>1284</v>
      </c>
      <c r="D104" s="74" t="s">
        <v>1910</v>
      </c>
      <c r="E104" s="76">
        <v>0</v>
      </c>
      <c r="F104" s="76">
        <v>296515.49295406998</v>
      </c>
      <c r="G104" s="76">
        <v>0</v>
      </c>
      <c r="H104" s="76">
        <v>0</v>
      </c>
    </row>
    <row r="105" spans="1:8" x14ac:dyDescent="0.3">
      <c r="A105" s="74" t="s">
        <v>6</v>
      </c>
      <c r="B105" s="74" t="s">
        <v>746</v>
      </c>
      <c r="C105" s="74" t="s">
        <v>1285</v>
      </c>
      <c r="D105" s="74" t="s">
        <v>1912</v>
      </c>
      <c r="E105" s="76">
        <v>0</v>
      </c>
      <c r="F105" s="76">
        <v>48829.17504894</v>
      </c>
      <c r="G105" s="76">
        <v>0</v>
      </c>
      <c r="H105" s="76">
        <v>0</v>
      </c>
    </row>
    <row r="106" spans="1:8" x14ac:dyDescent="0.3">
      <c r="A106" s="74" t="s">
        <v>6</v>
      </c>
      <c r="B106" s="74" t="s">
        <v>746</v>
      </c>
      <c r="C106" s="74" t="s">
        <v>1286</v>
      </c>
      <c r="D106" s="74" t="s">
        <v>1915</v>
      </c>
      <c r="E106" s="76">
        <v>0</v>
      </c>
      <c r="F106" s="76">
        <v>211593.09187874</v>
      </c>
      <c r="G106" s="76">
        <v>0</v>
      </c>
      <c r="H106" s="76">
        <v>0</v>
      </c>
    </row>
    <row r="107" spans="1:8" x14ac:dyDescent="0.3">
      <c r="A107" s="74" t="s">
        <v>6</v>
      </c>
      <c r="B107" s="74" t="s">
        <v>746</v>
      </c>
      <c r="C107" s="74" t="s">
        <v>1287</v>
      </c>
      <c r="D107" s="74" t="s">
        <v>1922</v>
      </c>
      <c r="E107" s="76">
        <v>186161.67995560207</v>
      </c>
      <c r="F107" s="76">
        <v>363940.11804410006</v>
      </c>
      <c r="G107" s="76">
        <v>0</v>
      </c>
      <c r="H107" s="76">
        <v>0</v>
      </c>
    </row>
    <row r="108" spans="1:8" x14ac:dyDescent="0.3">
      <c r="A108" s="74" t="s">
        <v>6</v>
      </c>
      <c r="B108" s="74" t="s">
        <v>746</v>
      </c>
      <c r="C108" s="74" t="s">
        <v>1288</v>
      </c>
      <c r="D108" s="74" t="s">
        <v>1925</v>
      </c>
      <c r="E108" s="76">
        <v>34583.412924788063</v>
      </c>
      <c r="F108" s="76">
        <v>1204159.3189824251</v>
      </c>
      <c r="G108" s="76">
        <v>0</v>
      </c>
      <c r="H108" s="76">
        <v>0</v>
      </c>
    </row>
    <row r="109" spans="1:8" x14ac:dyDescent="0.3">
      <c r="A109" s="74" t="s">
        <v>6</v>
      </c>
      <c r="B109" s="74" t="s">
        <v>746</v>
      </c>
      <c r="C109" s="74" t="s">
        <v>1289</v>
      </c>
      <c r="D109" s="74" t="s">
        <v>1928</v>
      </c>
      <c r="E109" s="76">
        <v>286599.14169201092</v>
      </c>
      <c r="F109" s="76">
        <v>1099825.558675285</v>
      </c>
      <c r="G109" s="76">
        <v>157011.11554120769</v>
      </c>
      <c r="H109" s="76">
        <v>0</v>
      </c>
    </row>
    <row r="110" spans="1:8" x14ac:dyDescent="0.3">
      <c r="A110" s="74" t="s">
        <v>6</v>
      </c>
      <c r="B110" s="74" t="s">
        <v>746</v>
      </c>
      <c r="C110" s="74" t="s">
        <v>1291</v>
      </c>
      <c r="D110" s="74" t="s">
        <v>1937</v>
      </c>
      <c r="E110" s="76">
        <v>0</v>
      </c>
      <c r="F110" s="76">
        <v>293405.62494554999</v>
      </c>
      <c r="G110" s="76">
        <v>0</v>
      </c>
      <c r="H110" s="76">
        <v>0</v>
      </c>
    </row>
    <row r="111" spans="1:8" x14ac:dyDescent="0.3">
      <c r="A111" s="74" t="s">
        <v>6</v>
      </c>
      <c r="B111" s="74" t="s">
        <v>746</v>
      </c>
      <c r="C111" s="74" t="s">
        <v>1292</v>
      </c>
      <c r="D111" s="74" t="e">
        <v>#N/A</v>
      </c>
      <c r="E111" s="76">
        <v>64387.036749939114</v>
      </c>
      <c r="F111" s="76">
        <v>65105.566731920007</v>
      </c>
      <c r="G111" s="76">
        <v>0</v>
      </c>
      <c r="H111" s="76">
        <v>0</v>
      </c>
    </row>
    <row r="112" spans="1:8" x14ac:dyDescent="0.3">
      <c r="A112" s="74" t="s">
        <v>6</v>
      </c>
      <c r="B112" s="74" t="s">
        <v>746</v>
      </c>
      <c r="C112" s="74" t="s">
        <v>1293</v>
      </c>
      <c r="D112" s="74" t="s">
        <v>1940</v>
      </c>
      <c r="E112" s="76">
        <v>0</v>
      </c>
      <c r="F112" s="76">
        <v>97658.35009788</v>
      </c>
      <c r="G112" s="76">
        <v>0</v>
      </c>
      <c r="H112" s="76">
        <v>0</v>
      </c>
    </row>
    <row r="113" spans="1:11" x14ac:dyDescent="0.3">
      <c r="A113" s="74" t="s">
        <v>6</v>
      </c>
      <c r="B113" s="74" t="s">
        <v>746</v>
      </c>
      <c r="C113" s="74" t="s">
        <v>1295</v>
      </c>
      <c r="D113" s="74" t="e">
        <v>#N/A</v>
      </c>
      <c r="E113" s="76">
        <v>0</v>
      </c>
      <c r="F113" s="76">
        <v>32552.783365960004</v>
      </c>
      <c r="G113" s="76">
        <v>0</v>
      </c>
      <c r="H113" s="76">
        <v>0</v>
      </c>
    </row>
    <row r="114" spans="1:11" x14ac:dyDescent="0.3">
      <c r="A114" s="74" t="s">
        <v>6</v>
      </c>
      <c r="B114" s="74" t="s">
        <v>746</v>
      </c>
      <c r="C114" s="74" t="s">
        <v>1296</v>
      </c>
      <c r="D114" s="74" t="s">
        <v>1949</v>
      </c>
      <c r="E114" s="76">
        <v>18995.307967292869</v>
      </c>
      <c r="F114" s="76">
        <v>103333.83735798499</v>
      </c>
      <c r="G114" s="76">
        <v>0</v>
      </c>
      <c r="H114" s="76">
        <v>0</v>
      </c>
    </row>
    <row r="115" spans="1:11" x14ac:dyDescent="0.3">
      <c r="A115" s="74" t="s">
        <v>6</v>
      </c>
      <c r="B115" s="74" t="s">
        <v>746</v>
      </c>
      <c r="C115" s="74" t="s">
        <v>1297</v>
      </c>
      <c r="D115" s="74" t="s">
        <v>1951</v>
      </c>
      <c r="E115" s="76">
        <v>361126.72879603424</v>
      </c>
      <c r="F115" s="76">
        <v>856056.70836159494</v>
      </c>
      <c r="G115" s="76">
        <v>157011.11554120769</v>
      </c>
      <c r="H115" s="76">
        <v>878860.41506807273</v>
      </c>
    </row>
    <row r="116" spans="1:11" x14ac:dyDescent="0.3">
      <c r="A116" s="74" t="s">
        <v>6</v>
      </c>
      <c r="B116" s="74" t="s">
        <v>746</v>
      </c>
      <c r="C116" s="74" t="s">
        <v>1298</v>
      </c>
      <c r="D116" s="74" t="s">
        <v>1958</v>
      </c>
      <c r="E116" s="76">
        <v>333593.74976829626</v>
      </c>
      <c r="F116" s="76">
        <v>9274313.8668311965</v>
      </c>
      <c r="G116" s="76">
        <v>0</v>
      </c>
      <c r="H116" s="76">
        <v>0</v>
      </c>
    </row>
    <row r="117" spans="1:11" x14ac:dyDescent="0.3">
      <c r="A117" s="74" t="s">
        <v>6</v>
      </c>
      <c r="B117" s="74" t="s">
        <v>746</v>
      </c>
      <c r="C117" s="74" t="s">
        <v>1299</v>
      </c>
      <c r="D117" s="74" t="s">
        <v>1961</v>
      </c>
      <c r="E117" s="76">
        <v>746509.47749822331</v>
      </c>
      <c r="F117" s="76">
        <v>455738.96712344</v>
      </c>
      <c r="G117" s="76">
        <v>1278225.9016288607</v>
      </c>
      <c r="H117" s="76">
        <v>378322.61097862403</v>
      </c>
    </row>
    <row r="118" spans="1:11" x14ac:dyDescent="0.3">
      <c r="A118" s="74" t="s">
        <v>6</v>
      </c>
      <c r="B118" s="74" t="s">
        <v>746</v>
      </c>
      <c r="C118" s="74" t="s">
        <v>1300</v>
      </c>
      <c r="D118" s="74" t="s">
        <v>1964</v>
      </c>
      <c r="E118" s="76">
        <v>0</v>
      </c>
      <c r="F118" s="76">
        <v>65105.566731920007</v>
      </c>
      <c r="G118" s="76">
        <v>0</v>
      </c>
      <c r="H118" s="76">
        <v>0</v>
      </c>
    </row>
    <row r="119" spans="1:11" x14ac:dyDescent="0.3">
      <c r="A119" s="74" t="s">
        <v>6</v>
      </c>
      <c r="B119" s="74" t="s">
        <v>746</v>
      </c>
      <c r="C119" s="74" t="s">
        <v>1301</v>
      </c>
      <c r="D119" s="74" t="s">
        <v>1967</v>
      </c>
      <c r="E119" s="76">
        <v>69166.825849576126</v>
      </c>
      <c r="F119" s="76">
        <v>65105.566731920007</v>
      </c>
      <c r="G119" s="76">
        <v>0</v>
      </c>
      <c r="H119" s="76">
        <v>0</v>
      </c>
    </row>
    <row r="120" spans="1:11" x14ac:dyDescent="0.3">
      <c r="A120" s="74" t="s">
        <v>6</v>
      </c>
      <c r="B120" s="74" t="s">
        <v>746</v>
      </c>
      <c r="C120" s="74" t="s">
        <v>1302</v>
      </c>
      <c r="D120" s="74" t="s">
        <v>1977</v>
      </c>
      <c r="E120" s="76">
        <v>131359.86156636468</v>
      </c>
      <c r="F120" s="76">
        <v>1187118.37055487</v>
      </c>
      <c r="G120" s="76">
        <v>0</v>
      </c>
      <c r="H120" s="76">
        <v>0</v>
      </c>
    </row>
    <row r="121" spans="1:11" x14ac:dyDescent="0.3">
      <c r="A121" s="74" t="s">
        <v>6</v>
      </c>
      <c r="B121" s="74" t="s">
        <v>746</v>
      </c>
      <c r="C121" s="74" t="s">
        <v>1307</v>
      </c>
      <c r="D121" s="74" t="s">
        <v>1974</v>
      </c>
      <c r="E121" s="76">
        <v>560960.09578019171</v>
      </c>
      <c r="F121" s="76">
        <v>2496107.6367017059</v>
      </c>
      <c r="G121" s="76">
        <v>0</v>
      </c>
      <c r="H121" s="76">
        <v>0</v>
      </c>
    </row>
    <row r="122" spans="1:11" x14ac:dyDescent="0.3">
      <c r="A122" s="74" t="s">
        <v>6</v>
      </c>
      <c r="B122" s="74" t="s">
        <v>746</v>
      </c>
      <c r="C122" s="74" t="s">
        <v>1303</v>
      </c>
      <c r="D122" s="74" t="s">
        <v>1858</v>
      </c>
      <c r="E122" s="76">
        <v>0</v>
      </c>
      <c r="F122" s="76">
        <v>65105.566731920007</v>
      </c>
      <c r="G122" s="76">
        <v>0</v>
      </c>
      <c r="H122" s="76">
        <v>0</v>
      </c>
    </row>
    <row r="123" spans="1:11" x14ac:dyDescent="0.3">
      <c r="A123" s="74" t="s">
        <v>6</v>
      </c>
      <c r="B123" s="74" t="s">
        <v>746</v>
      </c>
      <c r="C123" s="74" t="s">
        <v>1918</v>
      </c>
      <c r="D123" s="74" t="s">
        <v>1919</v>
      </c>
      <c r="E123" s="76">
        <v>0</v>
      </c>
      <c r="F123" s="76">
        <v>651.05566747</v>
      </c>
      <c r="G123" s="76">
        <v>0</v>
      </c>
      <c r="H123" s="76">
        <v>0</v>
      </c>
    </row>
    <row r="124" spans="1:11" x14ac:dyDescent="0.3">
      <c r="A124" s="74" t="s">
        <v>6</v>
      </c>
      <c r="B124" s="74" t="s">
        <v>746</v>
      </c>
      <c r="C124" s="74" t="s">
        <v>1954</v>
      </c>
      <c r="D124" s="74" t="s">
        <v>1955</v>
      </c>
      <c r="E124" s="76">
        <v>342998.41148556583</v>
      </c>
      <c r="F124" s="76">
        <v>1171900.20117456</v>
      </c>
      <c r="G124" s="76">
        <v>0</v>
      </c>
      <c r="H124" s="76">
        <v>0</v>
      </c>
    </row>
    <row r="125" spans="1:11" x14ac:dyDescent="0.3">
      <c r="A125" s="74" t="s">
        <v>6</v>
      </c>
      <c r="B125" s="74" t="s">
        <v>1190</v>
      </c>
      <c r="D125" s="74" t="e">
        <v>#N/A</v>
      </c>
      <c r="E125" s="76">
        <v>14674980.692501249</v>
      </c>
      <c r="F125" s="76">
        <v>159580429.72381952</v>
      </c>
      <c r="G125" s="76">
        <v>51596055.904298976</v>
      </c>
      <c r="H125" s="76">
        <v>11729481.378168125</v>
      </c>
    </row>
    <row r="126" spans="1:11" x14ac:dyDescent="0.3">
      <c r="A126" s="74" t="s">
        <v>6</v>
      </c>
      <c r="B126" s="74" t="s">
        <v>761</v>
      </c>
      <c r="C126" s="74" t="s">
        <v>6</v>
      </c>
      <c r="D126" s="74" t="s">
        <v>797</v>
      </c>
      <c r="E126" s="76">
        <v>0</v>
      </c>
      <c r="F126" s="76">
        <v>359004.448194795</v>
      </c>
      <c r="G126" s="76">
        <v>0</v>
      </c>
      <c r="H126" s="76">
        <v>0</v>
      </c>
    </row>
    <row r="127" spans="1:11" s="5" customFormat="1" x14ac:dyDescent="0.3">
      <c r="A127" s="74" t="s">
        <v>6</v>
      </c>
      <c r="B127" s="74" t="s">
        <v>1205</v>
      </c>
      <c r="C127" s="74"/>
      <c r="D127" s="74" t="e">
        <v>#N/A</v>
      </c>
      <c r="E127" s="76">
        <v>0</v>
      </c>
      <c r="F127" s="76">
        <v>359004.448194795</v>
      </c>
      <c r="G127" s="76">
        <v>0</v>
      </c>
      <c r="H127" s="76">
        <v>0</v>
      </c>
      <c r="I127" s="74"/>
      <c r="J127" s="74"/>
      <c r="K127" s="74"/>
    </row>
    <row r="128" spans="1:11" s="5" customFormat="1" x14ac:dyDescent="0.3">
      <c r="A128" s="74" t="s">
        <v>1308</v>
      </c>
      <c r="B128" s="74"/>
      <c r="C128" s="74"/>
      <c r="D128" s="74" t="e">
        <v>#N/A</v>
      </c>
      <c r="E128" s="76">
        <v>14674980.692501249</v>
      </c>
      <c r="F128" s="76">
        <v>159939434.17201433</v>
      </c>
      <c r="G128" s="76">
        <v>51596055.904298976</v>
      </c>
      <c r="H128" s="76">
        <v>11729481.378168125</v>
      </c>
      <c r="I128" s="74"/>
      <c r="J128" s="74"/>
      <c r="K128" s="74"/>
    </row>
    <row r="129" spans="1:8" x14ac:dyDescent="0.3">
      <c r="A129" s="74" t="s">
        <v>10</v>
      </c>
      <c r="B129" s="74" t="s">
        <v>746</v>
      </c>
      <c r="C129" s="74" t="s">
        <v>10</v>
      </c>
      <c r="D129" s="74" t="s">
        <v>801</v>
      </c>
      <c r="E129" s="76">
        <v>389866.86192261713</v>
      </c>
      <c r="F129" s="76">
        <v>2475405.9851810895</v>
      </c>
      <c r="G129" s="76">
        <v>873514.11595408455</v>
      </c>
      <c r="H129" s="76">
        <v>537970.68710985384</v>
      </c>
    </row>
    <row r="130" spans="1:8" x14ac:dyDescent="0.3">
      <c r="A130" s="74" t="s">
        <v>10</v>
      </c>
      <c r="B130" s="74" t="s">
        <v>746</v>
      </c>
      <c r="C130" s="74" t="s">
        <v>1313</v>
      </c>
      <c r="D130" s="74" t="s">
        <v>2137</v>
      </c>
      <c r="E130" s="76">
        <v>0</v>
      </c>
      <c r="F130" s="76">
        <v>0</v>
      </c>
      <c r="G130" s="76">
        <v>0</v>
      </c>
      <c r="H130" s="76">
        <v>260395.03888273574</v>
      </c>
    </row>
    <row r="131" spans="1:8" x14ac:dyDescent="0.3">
      <c r="A131" s="74" t="s">
        <v>10</v>
      </c>
      <c r="B131" s="74" t="s">
        <v>746</v>
      </c>
      <c r="C131" s="74" t="s">
        <v>1314</v>
      </c>
      <c r="D131" s="74" t="s">
        <v>2141</v>
      </c>
      <c r="E131" s="76">
        <v>175049.91925012652</v>
      </c>
      <c r="F131" s="76">
        <v>1464875.2514682</v>
      </c>
      <c r="G131" s="76">
        <v>0</v>
      </c>
      <c r="H131" s="76">
        <v>0</v>
      </c>
    </row>
    <row r="132" spans="1:8" x14ac:dyDescent="0.3">
      <c r="A132" s="74" t="s">
        <v>10</v>
      </c>
      <c r="B132" s="74" t="s">
        <v>746</v>
      </c>
      <c r="C132" s="74" t="s">
        <v>1315</v>
      </c>
      <c r="D132" s="74" t="s">
        <v>2145</v>
      </c>
      <c r="E132" s="76">
        <v>395342.73623441008</v>
      </c>
      <c r="F132" s="76">
        <v>4493575.8284695204</v>
      </c>
      <c r="G132" s="76">
        <v>319786.75090690568</v>
      </c>
      <c r="H132" s="76">
        <v>73661.689222192043</v>
      </c>
    </row>
    <row r="133" spans="1:8" x14ac:dyDescent="0.3">
      <c r="A133" s="74" t="s">
        <v>10</v>
      </c>
      <c r="B133" s="74" t="s">
        <v>746</v>
      </c>
      <c r="C133" s="74" t="s">
        <v>1316</v>
      </c>
      <c r="D133" s="74" t="s">
        <v>1014</v>
      </c>
      <c r="E133" s="76">
        <v>881877.02958209545</v>
      </c>
      <c r="F133" s="76">
        <v>0</v>
      </c>
      <c r="G133" s="76">
        <v>0</v>
      </c>
      <c r="H133" s="76">
        <v>0</v>
      </c>
    </row>
    <row r="134" spans="1:8" x14ac:dyDescent="0.3">
      <c r="A134" s="74" t="s">
        <v>10</v>
      </c>
      <c r="B134" s="74" t="s">
        <v>746</v>
      </c>
      <c r="C134" s="74" t="s">
        <v>1317</v>
      </c>
      <c r="D134" s="74" t="s">
        <v>2159</v>
      </c>
      <c r="E134" s="76">
        <v>0</v>
      </c>
      <c r="F134" s="76">
        <v>260422.26692768</v>
      </c>
      <c r="G134" s="76">
        <v>0</v>
      </c>
      <c r="H134" s="76">
        <v>0</v>
      </c>
    </row>
    <row r="135" spans="1:8" x14ac:dyDescent="0.3">
      <c r="A135" s="74" t="s">
        <v>10</v>
      </c>
      <c r="B135" s="74" t="s">
        <v>746</v>
      </c>
      <c r="C135" s="74" t="s">
        <v>1318</v>
      </c>
      <c r="D135" s="74" t="s">
        <v>2168</v>
      </c>
      <c r="E135" s="76">
        <v>176884.99713126378</v>
      </c>
      <c r="F135" s="76">
        <v>1285834.9429554199</v>
      </c>
      <c r="G135" s="76">
        <v>0</v>
      </c>
      <c r="H135" s="76">
        <v>0</v>
      </c>
    </row>
    <row r="136" spans="1:8" x14ac:dyDescent="0.3">
      <c r="A136" s="74" t="s">
        <v>10</v>
      </c>
      <c r="B136" s="74" t="s">
        <v>746</v>
      </c>
      <c r="C136" s="74" t="s">
        <v>1319</v>
      </c>
      <c r="D136" s="74" t="s">
        <v>2175</v>
      </c>
      <c r="E136" s="76">
        <v>588475.728766646</v>
      </c>
      <c r="F136" s="76">
        <v>13834932.930532997</v>
      </c>
      <c r="G136" s="76">
        <v>134607.33020867431</v>
      </c>
      <c r="H136" s="76">
        <v>0</v>
      </c>
    </row>
    <row r="137" spans="1:8" x14ac:dyDescent="0.3">
      <c r="A137" s="74" t="s">
        <v>10</v>
      </c>
      <c r="B137" s="74" t="s">
        <v>746</v>
      </c>
      <c r="C137" s="74" t="s">
        <v>1320</v>
      </c>
      <c r="D137" s="74" t="s">
        <v>2181</v>
      </c>
      <c r="E137" s="76">
        <v>518003.42890212871</v>
      </c>
      <c r="F137" s="76">
        <v>8095847.0572326761</v>
      </c>
      <c r="G137" s="76">
        <v>248003.38082717446</v>
      </c>
      <c r="H137" s="76">
        <v>0</v>
      </c>
    </row>
    <row r="138" spans="1:8" x14ac:dyDescent="0.3">
      <c r="A138" s="74" t="s">
        <v>10</v>
      </c>
      <c r="B138" s="74" t="s">
        <v>746</v>
      </c>
      <c r="C138" s="74" t="s">
        <v>1321</v>
      </c>
      <c r="D138" s="74" t="s">
        <v>2184</v>
      </c>
      <c r="E138" s="76">
        <v>277277.21503277408</v>
      </c>
      <c r="F138" s="76">
        <v>114078.26666483001</v>
      </c>
      <c r="G138" s="76">
        <v>464671.06537836057</v>
      </c>
      <c r="H138" s="76">
        <v>0</v>
      </c>
    </row>
    <row r="139" spans="1:8" x14ac:dyDescent="0.3">
      <c r="A139" s="74" t="s">
        <v>10</v>
      </c>
      <c r="B139" s="74" t="s">
        <v>746</v>
      </c>
      <c r="C139" s="74" t="s">
        <v>1322</v>
      </c>
      <c r="D139" s="74" t="s">
        <v>2187</v>
      </c>
      <c r="E139" s="76">
        <v>1454609.4909606022</v>
      </c>
      <c r="F139" s="76">
        <v>9233503.554407537</v>
      </c>
      <c r="G139" s="76">
        <v>87416.515867820635</v>
      </c>
      <c r="H139" s="76">
        <v>0</v>
      </c>
    </row>
    <row r="140" spans="1:8" x14ac:dyDescent="0.3">
      <c r="A140" s="74" t="s">
        <v>10</v>
      </c>
      <c r="B140" s="74" t="s">
        <v>746</v>
      </c>
      <c r="C140" s="74" t="s">
        <v>1323</v>
      </c>
      <c r="D140" s="74" t="s">
        <v>2190</v>
      </c>
      <c r="E140" s="76">
        <v>103928.90482139357</v>
      </c>
      <c r="F140" s="76">
        <v>48829.17504894</v>
      </c>
      <c r="G140" s="76">
        <v>0</v>
      </c>
      <c r="H140" s="76">
        <v>0</v>
      </c>
    </row>
    <row r="141" spans="1:8" x14ac:dyDescent="0.3">
      <c r="A141" s="74" t="s">
        <v>10</v>
      </c>
      <c r="B141" s="74" t="s">
        <v>746</v>
      </c>
      <c r="C141" s="74" t="s">
        <v>1324</v>
      </c>
      <c r="D141" s="74" t="s">
        <v>2193</v>
      </c>
      <c r="E141" s="76">
        <v>259822.26205348392</v>
      </c>
      <c r="F141" s="76">
        <v>5130507.9773539836</v>
      </c>
      <c r="G141" s="76">
        <v>306471.69688550237</v>
      </c>
      <c r="H141" s="76">
        <v>0</v>
      </c>
    </row>
    <row r="142" spans="1:8" x14ac:dyDescent="0.3">
      <c r="A142" s="74" t="s">
        <v>10</v>
      </c>
      <c r="B142" s="74" t="s">
        <v>746</v>
      </c>
      <c r="C142" s="74" t="s">
        <v>1326</v>
      </c>
      <c r="D142" s="74" t="s">
        <v>2203</v>
      </c>
      <c r="E142" s="76">
        <v>316347.94198615738</v>
      </c>
      <c r="F142" s="76">
        <v>12217651.781214684</v>
      </c>
      <c r="G142" s="76">
        <v>0</v>
      </c>
      <c r="H142" s="76">
        <v>208316.03110538618</v>
      </c>
    </row>
    <row r="143" spans="1:8" x14ac:dyDescent="0.3">
      <c r="A143" s="74" t="s">
        <v>10</v>
      </c>
      <c r="B143" s="74" t="s">
        <v>746</v>
      </c>
      <c r="C143" s="74" t="s">
        <v>3748</v>
      </c>
      <c r="D143" s="74" t="e">
        <v>#N/A</v>
      </c>
      <c r="E143" s="76">
        <v>0</v>
      </c>
      <c r="F143" s="76">
        <v>0</v>
      </c>
      <c r="G143" s="76">
        <v>0</v>
      </c>
      <c r="H143" s="76">
        <v>208316.03110538618</v>
      </c>
    </row>
    <row r="144" spans="1:8" x14ac:dyDescent="0.3">
      <c r="A144" s="74" t="s">
        <v>10</v>
      </c>
      <c r="B144" s="74" t="s">
        <v>1190</v>
      </c>
      <c r="D144" s="74" t="e">
        <v>#N/A</v>
      </c>
      <c r="E144" s="76">
        <v>5537486.5166437002</v>
      </c>
      <c r="F144" s="76">
        <v>58655465.01745756</v>
      </c>
      <c r="G144" s="76">
        <v>2434470.8560285224</v>
      </c>
      <c r="H144" s="76">
        <v>1288659.4774255538</v>
      </c>
    </row>
    <row r="145" spans="1:8" x14ac:dyDescent="0.3">
      <c r="A145" s="74" t="s">
        <v>10</v>
      </c>
      <c r="B145" s="74" t="s">
        <v>761</v>
      </c>
      <c r="C145" s="74" t="s">
        <v>1325</v>
      </c>
      <c r="D145" s="74" t="s">
        <v>2196</v>
      </c>
      <c r="E145" s="76">
        <v>1782855.5936307476</v>
      </c>
      <c r="F145" s="76">
        <v>4602921.0959176905</v>
      </c>
      <c r="G145" s="76">
        <v>0</v>
      </c>
      <c r="H145" s="76">
        <v>0</v>
      </c>
    </row>
    <row r="146" spans="1:8" x14ac:dyDescent="0.3">
      <c r="A146" s="74" t="s">
        <v>10</v>
      </c>
      <c r="B146" s="74" t="s">
        <v>1205</v>
      </c>
      <c r="D146" s="74" t="e">
        <v>#N/A</v>
      </c>
      <c r="E146" s="76">
        <v>1782855.5936307476</v>
      </c>
      <c r="F146" s="76">
        <v>4602921.0959176905</v>
      </c>
      <c r="G146" s="76">
        <v>0</v>
      </c>
      <c r="H146" s="76">
        <v>0</v>
      </c>
    </row>
    <row r="147" spans="1:8" x14ac:dyDescent="0.3">
      <c r="A147" s="74" t="s">
        <v>1329</v>
      </c>
      <c r="D147" s="74" t="e">
        <v>#N/A</v>
      </c>
      <c r="E147" s="76">
        <v>7320342.1102744481</v>
      </c>
      <c r="F147" s="76">
        <v>63258386.113375247</v>
      </c>
      <c r="G147" s="76">
        <v>2434470.8560285224</v>
      </c>
      <c r="H147" s="76">
        <v>1288659.4774255538</v>
      </c>
    </row>
    <row r="148" spans="1:8" x14ac:dyDescent="0.3">
      <c r="A148" s="74" t="s">
        <v>7</v>
      </c>
      <c r="B148" s="74" t="s">
        <v>746</v>
      </c>
      <c r="C148" s="74" t="s">
        <v>7</v>
      </c>
      <c r="D148" s="74" t="s">
        <v>798</v>
      </c>
      <c r="E148" s="76">
        <v>3485096.6016458818</v>
      </c>
      <c r="F148" s="76">
        <v>47809809.503481165</v>
      </c>
      <c r="G148" s="76">
        <v>0</v>
      </c>
      <c r="H148" s="76">
        <v>109675.38545721248</v>
      </c>
    </row>
    <row r="149" spans="1:8" x14ac:dyDescent="0.3">
      <c r="A149" s="74" t="s">
        <v>7</v>
      </c>
      <c r="B149" s="74" t="s">
        <v>746</v>
      </c>
      <c r="C149" s="74" t="s">
        <v>1330</v>
      </c>
      <c r="D149" s="74" t="s">
        <v>106</v>
      </c>
      <c r="E149" s="76">
        <v>1040045.1137072722</v>
      </c>
      <c r="F149" s="76">
        <v>1790403.0851278</v>
      </c>
      <c r="G149" s="76">
        <v>0</v>
      </c>
      <c r="H149" s="76">
        <v>0</v>
      </c>
    </row>
    <row r="150" spans="1:8" x14ac:dyDescent="0.3">
      <c r="A150" s="74" t="s">
        <v>7</v>
      </c>
      <c r="B150" s="74" t="s">
        <v>746</v>
      </c>
      <c r="C150" s="74" t="s">
        <v>1332</v>
      </c>
      <c r="D150" s="74" t="s">
        <v>3006</v>
      </c>
      <c r="E150" s="76">
        <v>1710366.5764823598</v>
      </c>
      <c r="F150" s="76">
        <v>24145381.148268122</v>
      </c>
      <c r="G150" s="76">
        <v>754702.54151792708</v>
      </c>
      <c r="H150" s="76">
        <v>373348.21226757695</v>
      </c>
    </row>
    <row r="151" spans="1:8" x14ac:dyDescent="0.3">
      <c r="A151" s="74" t="s">
        <v>7</v>
      </c>
      <c r="B151" s="74" t="s">
        <v>746</v>
      </c>
      <c r="C151" s="74" t="s">
        <v>1333</v>
      </c>
      <c r="D151" s="74" t="s">
        <v>3008</v>
      </c>
      <c r="E151" s="76">
        <v>1236552.6248832808</v>
      </c>
      <c r="F151" s="76">
        <v>9013444.1089373846</v>
      </c>
      <c r="G151" s="76">
        <v>88030.505668991435</v>
      </c>
      <c r="H151" s="76">
        <v>177673.06874009228</v>
      </c>
    </row>
    <row r="152" spans="1:8" x14ac:dyDescent="0.3">
      <c r="A152" s="74" t="s">
        <v>7</v>
      </c>
      <c r="B152" s="74" t="s">
        <v>746</v>
      </c>
      <c r="C152" s="74" t="s">
        <v>1334</v>
      </c>
      <c r="D152" s="74" t="s">
        <v>3010</v>
      </c>
      <c r="E152" s="76">
        <v>2560013.922883546</v>
      </c>
      <c r="F152" s="76">
        <v>8077266.6734782094</v>
      </c>
      <c r="G152" s="76">
        <v>2279369.6304626828</v>
      </c>
      <c r="H152" s="76">
        <v>2040634.4609692509</v>
      </c>
    </row>
    <row r="153" spans="1:8" x14ac:dyDescent="0.3">
      <c r="A153" s="74" t="s">
        <v>7</v>
      </c>
      <c r="B153" s="74" t="s">
        <v>746</v>
      </c>
      <c r="C153" s="74" t="s">
        <v>1335</v>
      </c>
      <c r="D153" s="82" t="s">
        <v>3014</v>
      </c>
      <c r="E153" s="76">
        <v>0</v>
      </c>
      <c r="F153" s="76">
        <v>871788.07385520497</v>
      </c>
      <c r="G153" s="76">
        <v>0</v>
      </c>
      <c r="H153" s="76">
        <v>0</v>
      </c>
    </row>
    <row r="154" spans="1:8" x14ac:dyDescent="0.3">
      <c r="A154" s="74" t="s">
        <v>7</v>
      </c>
      <c r="B154" s="74" t="s">
        <v>746</v>
      </c>
      <c r="C154" s="74" t="s">
        <v>1336</v>
      </c>
      <c r="D154" s="74" t="s">
        <v>3013</v>
      </c>
      <c r="E154" s="76">
        <v>3759111.6039639083</v>
      </c>
      <c r="F154" s="76">
        <v>72657335.440475836</v>
      </c>
      <c r="G154" s="76">
        <v>157805.53009980335</v>
      </c>
      <c r="H154" s="76">
        <v>818494.98926448252</v>
      </c>
    </row>
    <row r="155" spans="1:8" x14ac:dyDescent="0.3">
      <c r="A155" s="74" t="s">
        <v>7</v>
      </c>
      <c r="B155" s="74" t="s">
        <v>746</v>
      </c>
      <c r="C155" s="74" t="s">
        <v>1337</v>
      </c>
      <c r="D155" s="74" t="s">
        <v>3014</v>
      </c>
      <c r="E155" s="76">
        <v>12729359.781778237</v>
      </c>
      <c r="F155" s="76">
        <v>187698792.71814013</v>
      </c>
      <c r="G155" s="76">
        <v>4528943.093170126</v>
      </c>
      <c r="H155" s="76">
        <v>2551846.7601362672</v>
      </c>
    </row>
    <row r="156" spans="1:8" x14ac:dyDescent="0.3">
      <c r="A156" s="74" t="s">
        <v>7</v>
      </c>
      <c r="B156" s="74" t="s">
        <v>746</v>
      </c>
      <c r="C156" s="74" t="s">
        <v>1339</v>
      </c>
      <c r="D156" s="74" t="s">
        <v>3004</v>
      </c>
      <c r="E156" s="76">
        <v>512020.97849655768</v>
      </c>
      <c r="F156" s="76">
        <v>8356936.9133268222</v>
      </c>
      <c r="G156" s="76">
        <v>0</v>
      </c>
      <c r="H156" s="76">
        <v>0</v>
      </c>
    </row>
    <row r="157" spans="1:8" x14ac:dyDescent="0.3">
      <c r="A157" s="576" t="s">
        <v>7</v>
      </c>
      <c r="B157" s="576" t="s">
        <v>1190</v>
      </c>
      <c r="C157" s="576"/>
      <c r="D157" s="576" t="e">
        <v>#N/A</v>
      </c>
      <c r="E157" s="578">
        <v>27032567.203841045</v>
      </c>
      <c r="F157" s="578">
        <v>360421157.66509062</v>
      </c>
      <c r="G157" s="578">
        <v>7808851.3009195309</v>
      </c>
      <c r="H157" s="578">
        <v>6071672.8768348824</v>
      </c>
    </row>
    <row r="158" spans="1:8" x14ac:dyDescent="0.3">
      <c r="A158" s="5"/>
      <c r="B158" s="5"/>
      <c r="C158" s="574" t="s">
        <v>2778</v>
      </c>
      <c r="D158" s="574" t="s">
        <v>3963</v>
      </c>
      <c r="E158" s="575">
        <f>E161+E162+E165</f>
        <v>1479774.165823756</v>
      </c>
      <c r="F158" s="575">
        <f>F161+F162+F165</f>
        <v>34644236.639871173</v>
      </c>
      <c r="G158" s="575">
        <f>G161+G162+G165</f>
        <v>0</v>
      </c>
      <c r="H158" s="575">
        <f>H161+H162+H165</f>
        <v>0</v>
      </c>
    </row>
    <row r="159" spans="1:8" x14ac:dyDescent="0.3">
      <c r="A159" s="5"/>
      <c r="B159" s="5"/>
      <c r="C159" s="574" t="s">
        <v>3964</v>
      </c>
      <c r="D159" s="574" t="s">
        <v>2997</v>
      </c>
      <c r="E159" s="575">
        <f>E163</f>
        <v>2174025.5267754802</v>
      </c>
      <c r="F159" s="575">
        <f t="shared" ref="F159:H160" si="0">F163</f>
        <v>59934416.981489055</v>
      </c>
      <c r="G159" s="575">
        <f t="shared" si="0"/>
        <v>0</v>
      </c>
      <c r="H159" s="575">
        <f t="shared" si="0"/>
        <v>239052.54190809076</v>
      </c>
    </row>
    <row r="160" spans="1:8" x14ac:dyDescent="0.3">
      <c r="A160" s="5"/>
      <c r="B160" s="5"/>
      <c r="C160" s="574" t="s">
        <v>3965</v>
      </c>
      <c r="D160" s="574" t="s">
        <v>3000</v>
      </c>
      <c r="E160" s="575">
        <f>E164</f>
        <v>3421817.7824533316</v>
      </c>
      <c r="F160" s="575">
        <f t="shared" si="0"/>
        <v>106414890.19469766</v>
      </c>
      <c r="G160" s="575">
        <f t="shared" si="0"/>
        <v>0</v>
      </c>
      <c r="H160" s="575">
        <f t="shared" si="0"/>
        <v>330995.82726177986</v>
      </c>
    </row>
    <row r="161" spans="1:11" x14ac:dyDescent="0.3">
      <c r="A161" s="74" t="s">
        <v>7</v>
      </c>
      <c r="B161" s="74" t="s">
        <v>761</v>
      </c>
      <c r="C161" s="74" t="s">
        <v>7</v>
      </c>
      <c r="D161" s="74" t="s">
        <v>798</v>
      </c>
      <c r="E161" s="76">
        <v>1307922.1886378215</v>
      </c>
      <c r="F161" s="76">
        <v>29579112.563663002</v>
      </c>
      <c r="G161" s="76">
        <v>0</v>
      </c>
      <c r="H161" s="76">
        <v>0</v>
      </c>
    </row>
    <row r="162" spans="1:11" x14ac:dyDescent="0.3">
      <c r="A162" s="74" t="s">
        <v>7</v>
      </c>
      <c r="B162" s="74" t="s">
        <v>761</v>
      </c>
      <c r="C162" s="74" t="s">
        <v>1427</v>
      </c>
      <c r="D162" s="74" t="e">
        <v>#N/A</v>
      </c>
      <c r="E162" s="76">
        <v>130614.69690031942</v>
      </c>
      <c r="F162" s="76">
        <v>5065124.0762081705</v>
      </c>
      <c r="G162" s="76">
        <v>0</v>
      </c>
      <c r="H162" s="76">
        <v>0</v>
      </c>
    </row>
    <row r="163" spans="1:11" x14ac:dyDescent="0.3">
      <c r="A163" s="5" t="s">
        <v>7</v>
      </c>
      <c r="B163" s="5" t="s">
        <v>761</v>
      </c>
      <c r="C163" s="5" t="s">
        <v>1340</v>
      </c>
      <c r="D163" s="74" t="s">
        <v>2286</v>
      </c>
      <c r="E163" s="145">
        <v>2174025.5267754802</v>
      </c>
      <c r="F163" s="145">
        <v>59934416.981489055</v>
      </c>
      <c r="G163" s="145">
        <v>0</v>
      </c>
      <c r="H163" s="145">
        <v>239052.54190809076</v>
      </c>
      <c r="I163" s="5"/>
      <c r="J163" s="5"/>
    </row>
    <row r="164" spans="1:11" x14ac:dyDescent="0.3">
      <c r="A164" s="5" t="s">
        <v>7</v>
      </c>
      <c r="B164" s="5" t="s">
        <v>761</v>
      </c>
      <c r="C164" s="5" t="s">
        <v>1341</v>
      </c>
      <c r="D164" s="74" t="s">
        <v>2289</v>
      </c>
      <c r="E164" s="145">
        <v>3421817.7824533316</v>
      </c>
      <c r="F164" s="145">
        <v>106414890.19469766</v>
      </c>
      <c r="G164" s="145">
        <v>0</v>
      </c>
      <c r="H164" s="145">
        <v>330995.82726177986</v>
      </c>
      <c r="I164" s="5"/>
      <c r="J164" s="5"/>
    </row>
    <row r="165" spans="1:11" x14ac:dyDescent="0.3">
      <c r="A165" s="5" t="s">
        <v>7</v>
      </c>
      <c r="B165" s="5" t="s">
        <v>761</v>
      </c>
      <c r="C165" s="5" t="s">
        <v>1339</v>
      </c>
      <c r="D165" s="74" t="s">
        <v>3004</v>
      </c>
      <c r="E165" s="145">
        <v>41237.280285615176</v>
      </c>
      <c r="F165" s="145">
        <v>0</v>
      </c>
      <c r="G165" s="145">
        <v>0</v>
      </c>
      <c r="H165" s="145">
        <v>0</v>
      </c>
      <c r="I165" s="5"/>
      <c r="J165" s="5"/>
    </row>
    <row r="166" spans="1:11" x14ac:dyDescent="0.3">
      <c r="A166" s="5" t="s">
        <v>7</v>
      </c>
      <c r="B166" s="5" t="s">
        <v>1205</v>
      </c>
      <c r="C166" s="5"/>
      <c r="D166" s="74" t="e">
        <v>#N/A</v>
      </c>
      <c r="E166" s="145">
        <v>7075617.4750525681</v>
      </c>
      <c r="F166" s="145">
        <v>200993543.81605789</v>
      </c>
      <c r="G166" s="145">
        <v>0</v>
      </c>
      <c r="H166" s="145">
        <v>570048.36916987062</v>
      </c>
      <c r="I166" s="5"/>
      <c r="J166" s="5"/>
    </row>
    <row r="167" spans="1:11" x14ac:dyDescent="0.3">
      <c r="A167" s="576" t="s">
        <v>1342</v>
      </c>
      <c r="B167" s="576"/>
      <c r="C167" s="576"/>
      <c r="D167" s="576" t="e">
        <v>#N/A</v>
      </c>
      <c r="E167" s="578">
        <v>34108184.678893611</v>
      </c>
      <c r="F167" s="578">
        <v>561414701.48114848</v>
      </c>
      <c r="G167" s="578">
        <v>7808851.3009195309</v>
      </c>
      <c r="H167" s="578">
        <v>6641721.2460047528</v>
      </c>
    </row>
    <row r="168" spans="1:11" x14ac:dyDescent="0.3">
      <c r="A168" s="5" t="s">
        <v>8</v>
      </c>
      <c r="B168" s="5" t="s">
        <v>746</v>
      </c>
      <c r="C168" s="5" t="s">
        <v>8</v>
      </c>
      <c r="D168" s="74" t="s">
        <v>799</v>
      </c>
      <c r="E168" s="145">
        <v>251150.22068387491</v>
      </c>
      <c r="F168" s="145">
        <v>406909.7920745</v>
      </c>
      <c r="G168" s="145">
        <v>120312.5031529105</v>
      </c>
      <c r="H168" s="145">
        <v>167622.49106672779</v>
      </c>
      <c r="I168" s="5"/>
      <c r="J168" s="5"/>
    </row>
    <row r="169" spans="1:11" x14ac:dyDescent="0.3">
      <c r="A169" s="5" t="s">
        <v>8</v>
      </c>
      <c r="B169" s="5" t="s">
        <v>746</v>
      </c>
      <c r="C169" s="5" t="s">
        <v>1344</v>
      </c>
      <c r="D169" s="74" t="s">
        <v>2321</v>
      </c>
      <c r="E169" s="145">
        <v>3165155.5911729867</v>
      </c>
      <c r="F169" s="145">
        <v>13851352.847099951</v>
      </c>
      <c r="G169" s="145">
        <v>168902.01213762388</v>
      </c>
      <c r="H169" s="145">
        <v>73116.923636733467</v>
      </c>
      <c r="I169" s="5"/>
      <c r="J169" s="5"/>
    </row>
    <row r="170" spans="1:11" x14ac:dyDescent="0.3">
      <c r="A170" s="5" t="s">
        <v>8</v>
      </c>
      <c r="B170" s="5" t="s">
        <v>746</v>
      </c>
      <c r="C170" s="5" t="s">
        <v>1345</v>
      </c>
      <c r="D170" s="74" t="s">
        <v>2330</v>
      </c>
      <c r="E170" s="145">
        <v>245436.52557919879</v>
      </c>
      <c r="F170" s="145">
        <v>1513812.0701810597</v>
      </c>
      <c r="G170" s="145">
        <v>263671.228966692</v>
      </c>
      <c r="H170" s="145">
        <v>1034673.5259063677</v>
      </c>
      <c r="I170" s="5"/>
      <c r="J170" s="5"/>
    </row>
    <row r="171" spans="1:11" x14ac:dyDescent="0.3">
      <c r="A171" s="5" t="s">
        <v>8</v>
      </c>
      <c r="B171" s="5" t="s">
        <v>746</v>
      </c>
      <c r="C171" s="5" t="s">
        <v>1347</v>
      </c>
      <c r="D171" s="74" t="s">
        <v>2347</v>
      </c>
      <c r="E171" s="145">
        <v>2605034.4636761579</v>
      </c>
      <c r="F171" s="145">
        <v>3337090.8696628101</v>
      </c>
      <c r="G171" s="145">
        <v>162545.35986600752</v>
      </c>
      <c r="H171" s="145">
        <v>877359.47581289429</v>
      </c>
      <c r="I171" s="5"/>
      <c r="J171" s="5"/>
    </row>
    <row r="172" spans="1:11" x14ac:dyDescent="0.3">
      <c r="A172" s="5" t="s">
        <v>8</v>
      </c>
      <c r="B172" s="5" t="s">
        <v>746</v>
      </c>
      <c r="C172" s="5" t="s">
        <v>1348</v>
      </c>
      <c r="D172" s="74" t="s">
        <v>2352</v>
      </c>
      <c r="E172" s="145">
        <v>6014048.2054815274</v>
      </c>
      <c r="F172" s="145">
        <v>25760374.821068738</v>
      </c>
      <c r="G172" s="145">
        <v>452490.75499542092</v>
      </c>
      <c r="H172" s="145">
        <v>1486247.6937946426</v>
      </c>
      <c r="I172" s="5"/>
      <c r="J172" s="5"/>
    </row>
    <row r="173" spans="1:11" x14ac:dyDescent="0.3">
      <c r="A173" s="5" t="s">
        <v>8</v>
      </c>
      <c r="B173" s="5" t="s">
        <v>746</v>
      </c>
      <c r="C173" s="5" t="s">
        <v>1349</v>
      </c>
      <c r="D173" s="74" t="s">
        <v>2359</v>
      </c>
      <c r="E173" s="145">
        <v>12147.949971165839</v>
      </c>
      <c r="F173" s="145">
        <v>2064305.7450629901</v>
      </c>
      <c r="G173" s="145">
        <v>174573.91643696031</v>
      </c>
      <c r="H173" s="145">
        <v>3471.9338523582464</v>
      </c>
      <c r="I173" s="5"/>
      <c r="J173" s="5"/>
    </row>
    <row r="174" spans="1:11" x14ac:dyDescent="0.3">
      <c r="A174" s="5" t="s">
        <v>8</v>
      </c>
      <c r="B174" s="5" t="s">
        <v>746</v>
      </c>
      <c r="C174" s="5" t="s">
        <v>1350</v>
      </c>
      <c r="D174" s="74" t="s">
        <v>2364</v>
      </c>
      <c r="E174" s="145">
        <v>3103950.2774169701</v>
      </c>
      <c r="F174" s="145">
        <v>14924222.696121763</v>
      </c>
      <c r="G174" s="145">
        <v>864105.48401071224</v>
      </c>
      <c r="H174" s="145">
        <v>519892.9882573167</v>
      </c>
      <c r="I174" s="5"/>
      <c r="J174" s="5"/>
    </row>
    <row r="175" spans="1:11" s="5" customFormat="1" x14ac:dyDescent="0.3">
      <c r="A175" s="5" t="s">
        <v>8</v>
      </c>
      <c r="B175" s="5" t="s">
        <v>746</v>
      </c>
      <c r="C175" s="5" t="s">
        <v>1351</v>
      </c>
      <c r="D175" s="74" t="s">
        <v>2367</v>
      </c>
      <c r="E175" s="145">
        <v>1141252.626518006</v>
      </c>
      <c r="F175" s="145">
        <v>0</v>
      </c>
      <c r="G175" s="145">
        <v>0</v>
      </c>
      <c r="H175" s="145">
        <v>0</v>
      </c>
      <c r="K175" s="74"/>
    </row>
    <row r="176" spans="1:11" s="5" customFormat="1" x14ac:dyDescent="0.3">
      <c r="A176" s="74" t="s">
        <v>8</v>
      </c>
      <c r="B176" s="74" t="s">
        <v>746</v>
      </c>
      <c r="C176" s="74" t="s">
        <v>1352</v>
      </c>
      <c r="D176" s="74" t="s">
        <v>2370</v>
      </c>
      <c r="E176" s="76">
        <v>160967.59187484777</v>
      </c>
      <c r="F176" s="76">
        <v>0</v>
      </c>
      <c r="G176" s="76">
        <v>0</v>
      </c>
      <c r="H176" s="76">
        <v>0</v>
      </c>
      <c r="I176" s="74"/>
      <c r="J176" s="74"/>
      <c r="K176" s="74"/>
    </row>
    <row r="177" spans="1:11" s="5" customFormat="1" x14ac:dyDescent="0.3">
      <c r="A177" s="74" t="s">
        <v>8</v>
      </c>
      <c r="B177" s="74" t="s">
        <v>746</v>
      </c>
      <c r="C177" s="74" t="s">
        <v>1353</v>
      </c>
      <c r="D177" s="74" t="s">
        <v>2373</v>
      </c>
      <c r="E177" s="76">
        <v>25937.559693591043</v>
      </c>
      <c r="F177" s="76">
        <v>119794.242786205</v>
      </c>
      <c r="G177" s="76">
        <v>0</v>
      </c>
      <c r="H177" s="76">
        <v>0</v>
      </c>
      <c r="I177" s="74"/>
      <c r="J177" s="74"/>
      <c r="K177" s="74"/>
    </row>
    <row r="178" spans="1:11" s="5" customFormat="1" x14ac:dyDescent="0.3">
      <c r="A178" s="74" t="s">
        <v>8</v>
      </c>
      <c r="B178" s="74" t="s">
        <v>746</v>
      </c>
      <c r="C178" s="74" t="s">
        <v>1354</v>
      </c>
      <c r="D178" s="74" t="s">
        <v>2378</v>
      </c>
      <c r="E178" s="76">
        <v>437195.73760726751</v>
      </c>
      <c r="F178" s="76">
        <v>2339243.0126749449</v>
      </c>
      <c r="G178" s="76">
        <v>81272.679933003761</v>
      </c>
      <c r="H178" s="76">
        <v>283119.33755538904</v>
      </c>
      <c r="I178" s="74"/>
      <c r="J178" s="74"/>
      <c r="K178" s="74"/>
    </row>
    <row r="179" spans="1:11" s="5" customFormat="1" x14ac:dyDescent="0.3">
      <c r="A179" s="74" t="s">
        <v>8</v>
      </c>
      <c r="B179" s="74" t="s">
        <v>746</v>
      </c>
      <c r="C179" s="74" t="s">
        <v>1355</v>
      </c>
      <c r="D179" s="74" t="s">
        <v>2381</v>
      </c>
      <c r="E179" s="76">
        <v>820934.7185617236</v>
      </c>
      <c r="F179" s="76">
        <v>911477.93424688</v>
      </c>
      <c r="G179" s="76">
        <v>0</v>
      </c>
      <c r="H179" s="76">
        <v>0</v>
      </c>
      <c r="I179" s="74"/>
      <c r="J179" s="74"/>
      <c r="K179" s="74"/>
    </row>
    <row r="180" spans="1:11" s="5" customFormat="1" x14ac:dyDescent="0.3">
      <c r="A180" s="74" t="s">
        <v>8</v>
      </c>
      <c r="B180" s="74" t="s">
        <v>746</v>
      </c>
      <c r="C180" s="74" t="s">
        <v>1356</v>
      </c>
      <c r="D180" s="74" t="s">
        <v>2384</v>
      </c>
      <c r="E180" s="76">
        <v>1144585.8075405231</v>
      </c>
      <c r="F180" s="76">
        <v>2870672.9813802298</v>
      </c>
      <c r="G180" s="76">
        <v>569665.53623236611</v>
      </c>
      <c r="H180" s="76">
        <v>1519791.77275299</v>
      </c>
      <c r="I180" s="74"/>
      <c r="J180" s="74"/>
      <c r="K180" s="74"/>
    </row>
    <row r="181" spans="1:11" s="5" customFormat="1" x14ac:dyDescent="0.3">
      <c r="A181" s="74" t="s">
        <v>8</v>
      </c>
      <c r="B181" s="74" t="s">
        <v>746</v>
      </c>
      <c r="C181" s="74" t="s">
        <v>1357</v>
      </c>
      <c r="D181" s="74" t="s">
        <v>2397</v>
      </c>
      <c r="E181" s="76">
        <v>386711.3534975794</v>
      </c>
      <c r="F181" s="76">
        <v>293118.57517761004</v>
      </c>
      <c r="G181" s="76">
        <v>168902.01213762388</v>
      </c>
      <c r="H181" s="76">
        <v>211755.53115312051</v>
      </c>
      <c r="I181" s="74"/>
      <c r="J181" s="74"/>
      <c r="K181" s="74"/>
    </row>
    <row r="182" spans="1:11" x14ac:dyDescent="0.3">
      <c r="A182" s="74" t="s">
        <v>8</v>
      </c>
      <c r="B182" s="74" t="s">
        <v>1190</v>
      </c>
      <c r="D182" s="74" t="e">
        <v>#N/A</v>
      </c>
      <c r="E182" s="76">
        <v>19514508.629275423</v>
      </c>
      <c r="F182" s="76">
        <v>68392375.587537691</v>
      </c>
      <c r="G182" s="76">
        <v>3026441.4878693214</v>
      </c>
      <c r="H182" s="76">
        <v>6177051.6737885401</v>
      </c>
    </row>
    <row r="183" spans="1:11" x14ac:dyDescent="0.3">
      <c r="A183" s="74" t="s">
        <v>8</v>
      </c>
      <c r="B183" s="74" t="s">
        <v>761</v>
      </c>
      <c r="C183" s="74" t="s">
        <v>1359</v>
      </c>
      <c r="D183" s="74" t="s">
        <v>2339</v>
      </c>
      <c r="E183" s="76">
        <v>165497.91362867822</v>
      </c>
      <c r="F183" s="76">
        <v>2899357.7709646551</v>
      </c>
      <c r="G183" s="76">
        <v>0</v>
      </c>
      <c r="H183" s="76">
        <v>0</v>
      </c>
    </row>
    <row r="184" spans="1:11" x14ac:dyDescent="0.3">
      <c r="A184" s="74" t="s">
        <v>8</v>
      </c>
      <c r="B184" s="74" t="s">
        <v>1205</v>
      </c>
      <c r="D184" s="74" t="e">
        <v>#N/A</v>
      </c>
      <c r="E184" s="76">
        <v>165497.91362867822</v>
      </c>
      <c r="F184" s="76">
        <v>2899357.7709646551</v>
      </c>
      <c r="G184" s="76">
        <v>0</v>
      </c>
      <c r="H184" s="76">
        <v>0</v>
      </c>
    </row>
    <row r="185" spans="1:11" x14ac:dyDescent="0.3">
      <c r="A185" s="74" t="s">
        <v>1360</v>
      </c>
      <c r="D185" s="74" t="e">
        <v>#N/A</v>
      </c>
      <c r="E185" s="76">
        <v>19680006.542904101</v>
      </c>
      <c r="F185" s="76">
        <v>71291733.358502343</v>
      </c>
      <c r="G185" s="76">
        <v>3026441.4878693214</v>
      </c>
      <c r="H185" s="76">
        <v>6177051.6737885401</v>
      </c>
    </row>
    <row r="186" spans="1:11" x14ac:dyDescent="0.3">
      <c r="A186" s="74" t="s">
        <v>758</v>
      </c>
      <c r="B186" s="74" t="s">
        <v>746</v>
      </c>
      <c r="C186" s="74" t="s">
        <v>758</v>
      </c>
      <c r="D186" s="74" t="s">
        <v>15</v>
      </c>
      <c r="E186" s="76">
        <v>16668486.006683374</v>
      </c>
      <c r="F186" s="76">
        <v>209180318.50979581</v>
      </c>
      <c r="G186" s="76">
        <v>0</v>
      </c>
      <c r="H186" s="76">
        <v>0</v>
      </c>
    </row>
    <row r="187" spans="1:11" x14ac:dyDescent="0.3">
      <c r="A187" s="74" t="s">
        <v>758</v>
      </c>
      <c r="B187" s="74" t="s">
        <v>1190</v>
      </c>
      <c r="D187" s="74" t="e">
        <v>#N/A</v>
      </c>
      <c r="E187" s="76">
        <v>16668486.006683374</v>
      </c>
      <c r="F187" s="76">
        <v>209180318.50979581</v>
      </c>
      <c r="G187" s="76">
        <v>0</v>
      </c>
      <c r="H187" s="76">
        <v>0</v>
      </c>
    </row>
    <row r="188" spans="1:11" x14ac:dyDescent="0.3">
      <c r="A188" s="74" t="s">
        <v>758</v>
      </c>
      <c r="B188" s="74" t="s">
        <v>761</v>
      </c>
      <c r="C188" s="74" t="s">
        <v>758</v>
      </c>
      <c r="D188" s="74" t="s">
        <v>15</v>
      </c>
      <c r="E188" s="76">
        <v>478484.82309019391</v>
      </c>
      <c r="F188" s="76">
        <v>11029078.530627098</v>
      </c>
      <c r="G188" s="76">
        <v>0</v>
      </c>
      <c r="H188" s="76">
        <v>0</v>
      </c>
    </row>
    <row r="189" spans="1:11" x14ac:dyDescent="0.3">
      <c r="A189" s="74" t="s">
        <v>758</v>
      </c>
      <c r="B189" s="74" t="s">
        <v>1205</v>
      </c>
      <c r="D189" s="74" t="e">
        <v>#N/A</v>
      </c>
      <c r="E189" s="76">
        <v>478484.82309019391</v>
      </c>
      <c r="F189" s="76">
        <v>11029078.530627098</v>
      </c>
      <c r="G189" s="76">
        <v>0</v>
      </c>
      <c r="H189" s="76">
        <v>0</v>
      </c>
    </row>
    <row r="190" spans="1:11" x14ac:dyDescent="0.3">
      <c r="A190" s="74" t="s">
        <v>1428</v>
      </c>
      <c r="D190" s="74" t="e">
        <v>#N/A</v>
      </c>
      <c r="E190" s="76">
        <v>17146970.829773568</v>
      </c>
      <c r="F190" s="76">
        <v>220209397.04042292</v>
      </c>
      <c r="G190" s="76">
        <v>0</v>
      </c>
      <c r="H190" s="76">
        <v>0</v>
      </c>
    </row>
    <row r="191" spans="1:11" x14ac:dyDescent="0.3">
      <c r="A191" s="74" t="s">
        <v>12</v>
      </c>
      <c r="B191" s="74" t="s">
        <v>746</v>
      </c>
      <c r="C191" s="74" t="s">
        <v>1362</v>
      </c>
      <c r="D191" s="74" t="s">
        <v>2410</v>
      </c>
      <c r="E191" s="76">
        <v>413271.78444080381</v>
      </c>
      <c r="F191" s="76">
        <v>341804.22534258</v>
      </c>
      <c r="G191" s="76">
        <v>0</v>
      </c>
      <c r="H191" s="76">
        <v>69319.30375819352</v>
      </c>
    </row>
    <row r="192" spans="1:11" x14ac:dyDescent="0.3">
      <c r="A192" s="74" t="s">
        <v>12</v>
      </c>
      <c r="B192" s="74" t="s">
        <v>746</v>
      </c>
      <c r="C192" s="74" t="s">
        <v>1363</v>
      </c>
      <c r="D192" s="74" t="s">
        <v>2416</v>
      </c>
      <c r="E192" s="76">
        <v>1061330.6480750088</v>
      </c>
      <c r="F192" s="76">
        <v>3192469.1680075997</v>
      </c>
      <c r="G192" s="76">
        <v>0</v>
      </c>
      <c r="H192" s="76">
        <v>690423.27543435432</v>
      </c>
    </row>
    <row r="193" spans="1:8" x14ac:dyDescent="0.3">
      <c r="A193" s="74" t="s">
        <v>12</v>
      </c>
      <c r="B193" s="74" t="s">
        <v>746</v>
      </c>
      <c r="C193" s="74" t="s">
        <v>1364</v>
      </c>
      <c r="D193" s="74" t="s">
        <v>2426</v>
      </c>
      <c r="E193" s="76">
        <v>205017.44147126947</v>
      </c>
      <c r="F193" s="76">
        <v>628268.7189728301</v>
      </c>
      <c r="G193" s="76">
        <v>0</v>
      </c>
      <c r="H193" s="76">
        <v>0</v>
      </c>
    </row>
    <row r="194" spans="1:8" x14ac:dyDescent="0.3">
      <c r="A194" s="74" t="s">
        <v>12</v>
      </c>
      <c r="B194" s="74" t="s">
        <v>746</v>
      </c>
      <c r="C194" s="74" t="s">
        <v>1365</v>
      </c>
      <c r="D194" s="74" t="s">
        <v>2429</v>
      </c>
      <c r="E194" s="76">
        <v>0</v>
      </c>
      <c r="F194" s="76">
        <v>651055.6673192</v>
      </c>
      <c r="G194" s="76">
        <v>0</v>
      </c>
      <c r="H194" s="76">
        <v>69166.825849576126</v>
      </c>
    </row>
    <row r="195" spans="1:8" x14ac:dyDescent="0.3">
      <c r="A195" s="74" t="s">
        <v>12</v>
      </c>
      <c r="B195" s="74" t="s">
        <v>746</v>
      </c>
      <c r="C195" s="74" t="s">
        <v>1366</v>
      </c>
      <c r="D195" s="74" t="s">
        <v>2432</v>
      </c>
      <c r="E195" s="76">
        <v>271298.1128270239</v>
      </c>
      <c r="F195" s="76">
        <v>1090518.2427596599</v>
      </c>
      <c r="G195" s="76">
        <v>267754.30413718987</v>
      </c>
      <c r="H195" s="76">
        <v>282707.81524554989</v>
      </c>
    </row>
    <row r="196" spans="1:8" x14ac:dyDescent="0.3">
      <c r="A196" s="74" t="s">
        <v>12</v>
      </c>
      <c r="B196" s="74" t="s">
        <v>746</v>
      </c>
      <c r="C196" s="74" t="s">
        <v>1367</v>
      </c>
      <c r="D196" s="74" t="s">
        <v>2435</v>
      </c>
      <c r="E196" s="76">
        <v>181950.59220864461</v>
      </c>
      <c r="F196" s="76">
        <v>2494019.5744791599</v>
      </c>
      <c r="G196" s="76">
        <v>268226.45178583433</v>
      </c>
      <c r="H196" s="76">
        <v>577340.14933678787</v>
      </c>
    </row>
    <row r="197" spans="1:8" x14ac:dyDescent="0.3">
      <c r="A197" s="74" t="s">
        <v>12</v>
      </c>
      <c r="B197" s="74" t="s">
        <v>746</v>
      </c>
      <c r="C197" s="74" t="s">
        <v>1369</v>
      </c>
      <c r="D197" s="74" t="s">
        <v>2441</v>
      </c>
      <c r="E197" s="76">
        <v>166211.34253697714</v>
      </c>
      <c r="F197" s="76">
        <v>2815815.7611555397</v>
      </c>
      <c r="G197" s="76">
        <v>0</v>
      </c>
      <c r="H197" s="76">
        <v>0</v>
      </c>
    </row>
    <row r="198" spans="1:8" x14ac:dyDescent="0.3">
      <c r="A198" s="74" t="s">
        <v>12</v>
      </c>
      <c r="B198" s="74" t="s">
        <v>746</v>
      </c>
      <c r="C198" s="74" t="s">
        <v>1370</v>
      </c>
      <c r="D198" s="74" t="s">
        <v>2447</v>
      </c>
      <c r="E198" s="76">
        <v>49107.792814794695</v>
      </c>
      <c r="F198" s="76">
        <v>130211.13346384001</v>
      </c>
      <c r="G198" s="76">
        <v>0</v>
      </c>
      <c r="H198" s="76">
        <v>0</v>
      </c>
    </row>
    <row r="199" spans="1:8" x14ac:dyDescent="0.3">
      <c r="A199" s="74" t="s">
        <v>12</v>
      </c>
      <c r="B199" s="74" t="s">
        <v>1190</v>
      </c>
      <c r="D199" s="74" t="e">
        <v>#N/A</v>
      </c>
      <c r="E199" s="76">
        <v>2348187.7143745217</v>
      </c>
      <c r="F199" s="76">
        <v>11344162.491500409</v>
      </c>
      <c r="G199" s="76">
        <v>535980.75592302415</v>
      </c>
      <c r="H199" s="76">
        <v>1688957.3696244617</v>
      </c>
    </row>
    <row r="200" spans="1:8" x14ac:dyDescent="0.3">
      <c r="A200" s="74" t="s">
        <v>12</v>
      </c>
      <c r="B200" s="74" t="s">
        <v>761</v>
      </c>
      <c r="C200" s="74" t="s">
        <v>1361</v>
      </c>
      <c r="D200" s="74" t="s">
        <v>2407</v>
      </c>
      <c r="E200" s="76">
        <v>110331.94241911882</v>
      </c>
      <c r="F200" s="76">
        <v>423149.51254900999</v>
      </c>
      <c r="G200" s="76">
        <v>0</v>
      </c>
      <c r="H200" s="76">
        <v>0</v>
      </c>
    </row>
    <row r="201" spans="1:8" x14ac:dyDescent="0.3">
      <c r="A201" s="74" t="s">
        <v>12</v>
      </c>
      <c r="B201" s="74" t="s">
        <v>761</v>
      </c>
      <c r="C201" s="74" t="s">
        <v>1364</v>
      </c>
      <c r="D201" s="74" t="s">
        <v>2426</v>
      </c>
      <c r="E201" s="76">
        <v>202275.2277683845</v>
      </c>
      <c r="F201" s="76">
        <v>3267654.5688894899</v>
      </c>
      <c r="G201" s="76">
        <v>0</v>
      </c>
      <c r="H201" s="76">
        <v>0</v>
      </c>
    </row>
    <row r="202" spans="1:8" x14ac:dyDescent="0.3">
      <c r="A202" s="74" t="s">
        <v>12</v>
      </c>
      <c r="B202" s="74" t="s">
        <v>761</v>
      </c>
      <c r="C202" s="74" t="s">
        <v>1365</v>
      </c>
      <c r="D202" s="74" t="s">
        <v>2429</v>
      </c>
      <c r="E202" s="76">
        <v>128720.59948897194</v>
      </c>
      <c r="F202" s="76">
        <v>2021714.3375810552</v>
      </c>
      <c r="G202" s="76">
        <v>0</v>
      </c>
      <c r="H202" s="76">
        <v>0</v>
      </c>
    </row>
    <row r="203" spans="1:8" x14ac:dyDescent="0.3">
      <c r="A203" s="74" t="s">
        <v>12</v>
      </c>
      <c r="B203" s="74" t="s">
        <v>761</v>
      </c>
      <c r="C203" s="74" t="s">
        <v>1366</v>
      </c>
      <c r="D203" s="74" t="s">
        <v>2432</v>
      </c>
      <c r="E203" s="76">
        <v>0</v>
      </c>
      <c r="F203" s="76">
        <v>266427.47084401501</v>
      </c>
      <c r="G203" s="76">
        <v>0</v>
      </c>
      <c r="H203" s="76">
        <v>0</v>
      </c>
    </row>
    <row r="204" spans="1:8" x14ac:dyDescent="0.3">
      <c r="A204" s="74" t="s">
        <v>12</v>
      </c>
      <c r="B204" s="74" t="s">
        <v>761</v>
      </c>
      <c r="C204" s="74" t="s">
        <v>1367</v>
      </c>
      <c r="D204" s="74" t="s">
        <v>2435</v>
      </c>
      <c r="E204" s="76">
        <v>36777.314139706265</v>
      </c>
      <c r="F204" s="76">
        <v>752265.80003016</v>
      </c>
      <c r="G204" s="76">
        <v>0</v>
      </c>
      <c r="H204" s="76">
        <v>0</v>
      </c>
    </row>
    <row r="205" spans="1:8" x14ac:dyDescent="0.3">
      <c r="A205" s="74" t="s">
        <v>12</v>
      </c>
      <c r="B205" s="74" t="s">
        <v>1205</v>
      </c>
      <c r="D205" s="74" t="e">
        <v>#N/A</v>
      </c>
      <c r="E205" s="76">
        <v>478105.08381618152</v>
      </c>
      <c r="F205" s="76">
        <v>6731211.6898937309</v>
      </c>
      <c r="G205" s="76">
        <v>0</v>
      </c>
      <c r="H205" s="76">
        <v>0</v>
      </c>
    </row>
    <row r="206" spans="1:8" x14ac:dyDescent="0.3">
      <c r="A206" s="74" t="s">
        <v>1371</v>
      </c>
      <c r="D206" s="74" t="e">
        <v>#N/A</v>
      </c>
      <c r="E206" s="76">
        <v>2826292.7981907027</v>
      </c>
      <c r="F206" s="76">
        <v>18075374.181394141</v>
      </c>
      <c r="G206" s="76">
        <v>535980.75592302415</v>
      </c>
      <c r="H206" s="76">
        <v>1688957.3696244617</v>
      </c>
    </row>
    <row r="207" spans="1:8" x14ac:dyDescent="0.3">
      <c r="A207" s="74" t="s">
        <v>9</v>
      </c>
      <c r="B207" s="74" t="s">
        <v>746</v>
      </c>
      <c r="C207" s="74" t="s">
        <v>9</v>
      </c>
      <c r="D207" s="74" t="s">
        <v>800</v>
      </c>
      <c r="E207" s="76">
        <v>680374.8646979644</v>
      </c>
      <c r="F207" s="76">
        <v>22698973.774570685</v>
      </c>
      <c r="G207" s="76">
        <v>92957.33893017126</v>
      </c>
      <c r="H207" s="76">
        <v>17291.706462394031</v>
      </c>
    </row>
    <row r="208" spans="1:8" x14ac:dyDescent="0.3">
      <c r="A208" s="74" t="s">
        <v>9</v>
      </c>
      <c r="B208" s="74" t="s">
        <v>746</v>
      </c>
      <c r="C208" s="74" t="s">
        <v>1372</v>
      </c>
      <c r="D208" s="74" t="s">
        <v>2456</v>
      </c>
      <c r="E208" s="76">
        <v>30147.343442688063</v>
      </c>
      <c r="F208" s="76">
        <v>3510762.1771540502</v>
      </c>
      <c r="G208" s="76">
        <v>0</v>
      </c>
      <c r="H208" s="76">
        <v>0</v>
      </c>
    </row>
    <row r="209" spans="1:11" x14ac:dyDescent="0.3">
      <c r="A209" s="74" t="s">
        <v>9</v>
      </c>
      <c r="B209" s="74" t="s">
        <v>746</v>
      </c>
      <c r="C209" s="74" t="s">
        <v>1373</v>
      </c>
      <c r="D209" s="74" t="s">
        <v>2460</v>
      </c>
      <c r="E209" s="76">
        <v>0</v>
      </c>
      <c r="F209" s="76">
        <v>637221.62941644993</v>
      </c>
      <c r="G209" s="76">
        <v>0</v>
      </c>
      <c r="H209" s="76">
        <v>0</v>
      </c>
    </row>
    <row r="210" spans="1:11" x14ac:dyDescent="0.3">
      <c r="A210" s="74" t="s">
        <v>9</v>
      </c>
      <c r="B210" s="74" t="s">
        <v>746</v>
      </c>
      <c r="C210" s="74" t="s">
        <v>1374</v>
      </c>
      <c r="D210" s="74" t="s">
        <v>2463</v>
      </c>
      <c r="E210" s="76">
        <v>47267.190096313585</v>
      </c>
      <c r="F210" s="76">
        <v>397919.50723635504</v>
      </c>
      <c r="G210" s="76">
        <v>0</v>
      </c>
      <c r="H210" s="76">
        <v>17291.706462394031</v>
      </c>
      <c r="K210" s="5"/>
    </row>
    <row r="211" spans="1:11" x14ac:dyDescent="0.3">
      <c r="A211" s="74" t="s">
        <v>9</v>
      </c>
      <c r="B211" s="74" t="s">
        <v>746</v>
      </c>
      <c r="C211" s="74" t="s">
        <v>1375</v>
      </c>
      <c r="D211" s="74" t="s">
        <v>2466</v>
      </c>
      <c r="E211" s="76">
        <v>62387.373383175196</v>
      </c>
      <c r="F211" s="76">
        <v>574285.855046215</v>
      </c>
      <c r="G211" s="76">
        <v>0</v>
      </c>
      <c r="H211" s="76">
        <v>0</v>
      </c>
      <c r="K211" s="5"/>
    </row>
    <row r="212" spans="1:11" x14ac:dyDescent="0.3">
      <c r="A212" s="74" t="s">
        <v>9</v>
      </c>
      <c r="B212" s="74" t="s">
        <v>746</v>
      </c>
      <c r="C212" s="74" t="s">
        <v>1376</v>
      </c>
      <c r="D212" s="74" t="s">
        <v>2469</v>
      </c>
      <c r="E212" s="76">
        <v>0</v>
      </c>
      <c r="F212" s="76">
        <v>699987.43113689008</v>
      </c>
      <c r="G212" s="76">
        <v>0</v>
      </c>
      <c r="H212" s="76">
        <v>0</v>
      </c>
      <c r="K212" s="5"/>
    </row>
    <row r="213" spans="1:11" x14ac:dyDescent="0.3">
      <c r="A213" s="74" t="s">
        <v>9</v>
      </c>
      <c r="B213" s="74" t="s">
        <v>746</v>
      </c>
      <c r="C213" s="74" t="s">
        <v>1377</v>
      </c>
      <c r="D213" s="74" t="s">
        <v>2472</v>
      </c>
      <c r="E213" s="76">
        <v>22204.456491466022</v>
      </c>
      <c r="F213" s="76">
        <v>850374.32917391497</v>
      </c>
      <c r="G213" s="76">
        <v>0</v>
      </c>
      <c r="H213" s="76">
        <v>0</v>
      </c>
      <c r="K213" s="5"/>
    </row>
    <row r="214" spans="1:11" x14ac:dyDescent="0.3">
      <c r="A214" s="74" t="s">
        <v>9</v>
      </c>
      <c r="B214" s="74" t="s">
        <v>746</v>
      </c>
      <c r="C214" s="74" t="s">
        <v>1378</v>
      </c>
      <c r="D214" s="74" t="s">
        <v>2475</v>
      </c>
      <c r="E214" s="76">
        <v>513563.68193390366</v>
      </c>
      <c r="F214" s="76">
        <v>492849.14017488505</v>
      </c>
      <c r="G214" s="76">
        <v>0</v>
      </c>
      <c r="H214" s="76">
        <v>0</v>
      </c>
      <c r="K214" s="5"/>
    </row>
    <row r="215" spans="1:11" x14ac:dyDescent="0.3">
      <c r="A215" s="74" t="s">
        <v>9</v>
      </c>
      <c r="B215" s="74" t="s">
        <v>746</v>
      </c>
      <c r="C215" s="74" t="s">
        <v>1379</v>
      </c>
      <c r="D215" s="74" t="s">
        <v>2478</v>
      </c>
      <c r="E215" s="76">
        <v>0</v>
      </c>
      <c r="F215" s="76">
        <v>1340684.3697531701</v>
      </c>
      <c r="G215" s="76">
        <v>0</v>
      </c>
      <c r="H215" s="76">
        <v>0</v>
      </c>
      <c r="K215" s="5"/>
    </row>
    <row r="216" spans="1:11" x14ac:dyDescent="0.3">
      <c r="A216" s="74" t="s">
        <v>9</v>
      </c>
      <c r="B216" s="74" t="s">
        <v>746</v>
      </c>
      <c r="C216" s="74" t="s">
        <v>1380</v>
      </c>
      <c r="D216" s="74" t="s">
        <v>2481</v>
      </c>
      <c r="E216" s="76">
        <v>0</v>
      </c>
      <c r="F216" s="76">
        <v>24322.580644310001</v>
      </c>
      <c r="G216" s="76">
        <v>0</v>
      </c>
      <c r="H216" s="76">
        <v>0</v>
      </c>
      <c r="K216" s="5"/>
    </row>
    <row r="217" spans="1:11" x14ac:dyDescent="0.3">
      <c r="A217" s="74" t="s">
        <v>9</v>
      </c>
      <c r="B217" s="74" t="s">
        <v>746</v>
      </c>
      <c r="C217" s="74" t="s">
        <v>1381</v>
      </c>
      <c r="D217" s="74" t="s">
        <v>2484</v>
      </c>
      <c r="E217" s="76">
        <v>0</v>
      </c>
      <c r="F217" s="76">
        <v>693987.82690900005</v>
      </c>
      <c r="G217" s="76">
        <v>0</v>
      </c>
      <c r="H217" s="76">
        <v>0</v>
      </c>
      <c r="K217" s="5"/>
    </row>
    <row r="218" spans="1:11" x14ac:dyDescent="0.3">
      <c r="A218" s="74" t="s">
        <v>9</v>
      </c>
      <c r="B218" s="74" t="s">
        <v>746</v>
      </c>
      <c r="C218" s="74" t="s">
        <v>1382</v>
      </c>
      <c r="D218" s="74" t="s">
        <v>2487</v>
      </c>
      <c r="E218" s="76">
        <v>0</v>
      </c>
      <c r="F218" s="76">
        <v>707653.48061186995</v>
      </c>
      <c r="G218" s="76">
        <v>0</v>
      </c>
      <c r="H218" s="76">
        <v>0</v>
      </c>
      <c r="K218" s="5"/>
    </row>
    <row r="219" spans="1:11" x14ac:dyDescent="0.3">
      <c r="A219" s="74" t="s">
        <v>9</v>
      </c>
      <c r="B219" s="74" t="s">
        <v>746</v>
      </c>
      <c r="C219" s="74" t="s">
        <v>1383</v>
      </c>
      <c r="D219" s="74" t="s">
        <v>2490</v>
      </c>
      <c r="E219" s="76">
        <v>32767.729102844751</v>
      </c>
      <c r="F219" s="76">
        <v>1100727.2654939599</v>
      </c>
      <c r="G219" s="76">
        <v>0</v>
      </c>
      <c r="H219" s="76">
        <v>0</v>
      </c>
      <c r="K219" s="5"/>
    </row>
    <row r="220" spans="1:11" x14ac:dyDescent="0.3">
      <c r="A220" s="74" t="s">
        <v>9</v>
      </c>
      <c r="B220" s="74" t="s">
        <v>746</v>
      </c>
      <c r="C220" s="74" t="s">
        <v>1384</v>
      </c>
      <c r="D220" s="74" t="s">
        <v>2493</v>
      </c>
      <c r="E220" s="76">
        <v>0</v>
      </c>
      <c r="F220" s="76">
        <v>656959.22613548499</v>
      </c>
      <c r="G220" s="76">
        <v>54181.78662200251</v>
      </c>
      <c r="H220" s="76">
        <v>0</v>
      </c>
      <c r="K220" s="5"/>
    </row>
    <row r="221" spans="1:11" x14ac:dyDescent="0.3">
      <c r="A221" s="74" t="s">
        <v>9</v>
      </c>
      <c r="B221" s="74" t="s">
        <v>746</v>
      </c>
      <c r="C221" s="74" t="s">
        <v>1385</v>
      </c>
      <c r="D221" s="74" t="s">
        <v>2495</v>
      </c>
      <c r="E221" s="76">
        <v>111828.85279261068</v>
      </c>
      <c r="F221" s="76">
        <v>14086531.685273709</v>
      </c>
      <c r="G221" s="76">
        <v>0</v>
      </c>
      <c r="H221" s="76">
        <v>0</v>
      </c>
      <c r="K221" s="5"/>
    </row>
    <row r="222" spans="1:11" x14ac:dyDescent="0.3">
      <c r="A222" s="74" t="s">
        <v>9</v>
      </c>
      <c r="B222" s="74" t="s">
        <v>746</v>
      </c>
      <c r="C222" s="74" t="s">
        <v>1386</v>
      </c>
      <c r="D222" s="74" t="s">
        <v>2498</v>
      </c>
      <c r="E222" s="76">
        <v>108254.80431800574</v>
      </c>
      <c r="F222" s="76">
        <v>6910404.00041446</v>
      </c>
      <c r="G222" s="76">
        <v>23551.66733072756</v>
      </c>
      <c r="H222" s="76">
        <v>352343.29114592995</v>
      </c>
      <c r="K222" s="5"/>
    </row>
    <row r="223" spans="1:11" x14ac:dyDescent="0.3">
      <c r="A223" s="74" t="s">
        <v>9</v>
      </c>
      <c r="B223" s="74" t="s">
        <v>746</v>
      </c>
      <c r="C223" s="74" t="s">
        <v>1388</v>
      </c>
      <c r="D223" s="74" t="s">
        <v>2505</v>
      </c>
      <c r="E223" s="76">
        <v>0</v>
      </c>
      <c r="F223" s="76">
        <v>436194.79565493</v>
      </c>
      <c r="G223" s="76">
        <v>0</v>
      </c>
      <c r="H223" s="76">
        <v>0</v>
      </c>
      <c r="K223" s="5"/>
    </row>
    <row r="224" spans="1:11" x14ac:dyDescent="0.3">
      <c r="A224" s="74" t="s">
        <v>9</v>
      </c>
      <c r="B224" s="74" t="s">
        <v>746</v>
      </c>
      <c r="C224" s="74" t="s">
        <v>1389</v>
      </c>
      <c r="D224" s="74" t="s">
        <v>2508</v>
      </c>
      <c r="E224" s="76">
        <v>65535.458205689501</v>
      </c>
      <c r="F224" s="76">
        <v>450730.85161389998</v>
      </c>
      <c r="G224" s="76">
        <v>0</v>
      </c>
      <c r="H224" s="76">
        <v>0</v>
      </c>
      <c r="K224" s="5"/>
    </row>
    <row r="225" spans="1:11" x14ac:dyDescent="0.3">
      <c r="A225" s="74" t="s">
        <v>9</v>
      </c>
      <c r="B225" s="74" t="s">
        <v>746</v>
      </c>
      <c r="C225" s="74" t="s">
        <v>1390</v>
      </c>
      <c r="D225" s="74" t="e">
        <v>#N/A</v>
      </c>
      <c r="E225" s="76">
        <v>0</v>
      </c>
      <c r="F225" s="76">
        <v>146581.19885330999</v>
      </c>
      <c r="G225" s="76">
        <v>0</v>
      </c>
      <c r="H225" s="76">
        <v>0</v>
      </c>
      <c r="K225" s="5"/>
    </row>
    <row r="226" spans="1:11" x14ac:dyDescent="0.3">
      <c r="A226" s="74" t="s">
        <v>9</v>
      </c>
      <c r="B226" s="74" t="s">
        <v>746</v>
      </c>
      <c r="C226" s="74" t="s">
        <v>1392</v>
      </c>
      <c r="D226" s="74" t="s">
        <v>2521</v>
      </c>
      <c r="E226" s="76">
        <v>0</v>
      </c>
      <c r="F226" s="76">
        <v>65105.566731920007</v>
      </c>
      <c r="G226" s="76">
        <v>0</v>
      </c>
      <c r="H226" s="76">
        <v>0</v>
      </c>
    </row>
    <row r="227" spans="1:11" x14ac:dyDescent="0.3">
      <c r="A227" s="74" t="s">
        <v>9</v>
      </c>
      <c r="B227" s="74" t="s">
        <v>746</v>
      </c>
      <c r="C227" s="74" t="s">
        <v>1393</v>
      </c>
      <c r="D227" s="74" t="s">
        <v>2524</v>
      </c>
      <c r="E227" s="76">
        <v>54717.069232402653</v>
      </c>
      <c r="F227" s="76">
        <v>894263.67298911512</v>
      </c>
      <c r="G227" s="76">
        <v>0</v>
      </c>
      <c r="H227" s="76">
        <v>0</v>
      </c>
    </row>
    <row r="228" spans="1:11" x14ac:dyDescent="0.3">
      <c r="A228" s="74" t="s">
        <v>9</v>
      </c>
      <c r="B228" s="74" t="s">
        <v>746</v>
      </c>
      <c r="C228" s="74" t="s">
        <v>1394</v>
      </c>
      <c r="D228" s="74" t="s">
        <v>2527</v>
      </c>
      <c r="E228" s="76">
        <v>0</v>
      </c>
      <c r="F228" s="76">
        <v>16113.627767055001</v>
      </c>
      <c r="G228" s="76">
        <v>0</v>
      </c>
      <c r="H228" s="76">
        <v>0</v>
      </c>
      <c r="K228" s="577">
        <v>13155.405923070968</v>
      </c>
    </row>
    <row r="229" spans="1:11" x14ac:dyDescent="0.3">
      <c r="A229" s="74" t="s">
        <v>9</v>
      </c>
      <c r="B229" s="74" t="s">
        <v>746</v>
      </c>
      <c r="C229" s="74" t="s">
        <v>1395</v>
      </c>
      <c r="D229" s="74" t="s">
        <v>2534</v>
      </c>
      <c r="E229" s="76">
        <v>0</v>
      </c>
      <c r="F229" s="76">
        <v>818212.67933625996</v>
      </c>
      <c r="G229" s="76">
        <v>0</v>
      </c>
      <c r="H229" s="76">
        <v>0</v>
      </c>
    </row>
    <row r="230" spans="1:11" x14ac:dyDescent="0.3">
      <c r="A230" s="74" t="s">
        <v>9</v>
      </c>
      <c r="B230" s="74" t="s">
        <v>746</v>
      </c>
      <c r="C230" s="74" t="s">
        <v>1396</v>
      </c>
      <c r="D230" s="74" t="s">
        <v>2545</v>
      </c>
      <c r="E230" s="76">
        <v>0</v>
      </c>
      <c r="F230" s="76">
        <v>409106.33966812998</v>
      </c>
      <c r="G230" s="76">
        <v>0</v>
      </c>
      <c r="H230" s="76">
        <v>0</v>
      </c>
    </row>
    <row r="231" spans="1:11" x14ac:dyDescent="0.3">
      <c r="A231" s="74" t="s">
        <v>9</v>
      </c>
      <c r="B231" s="74" t="s">
        <v>746</v>
      </c>
      <c r="C231" s="74" t="s">
        <v>1397</v>
      </c>
      <c r="D231" s="74" t="s">
        <v>2548</v>
      </c>
      <c r="E231" s="76">
        <v>1069814.7605748535</v>
      </c>
      <c r="F231" s="76">
        <v>971733.25126169506</v>
      </c>
      <c r="G231" s="76">
        <v>20934.815406099147</v>
      </c>
      <c r="H231" s="76">
        <v>505437.19728329824</v>
      </c>
    </row>
    <row r="232" spans="1:11" x14ac:dyDescent="0.3">
      <c r="A232" s="74" t="s">
        <v>9</v>
      </c>
      <c r="B232" s="74" t="s">
        <v>746</v>
      </c>
      <c r="C232" s="74" t="s">
        <v>1398</v>
      </c>
      <c r="D232" s="74" t="s">
        <v>2551</v>
      </c>
      <c r="E232" s="76">
        <v>0</v>
      </c>
      <c r="F232" s="76">
        <v>2450348.66563266</v>
      </c>
      <c r="G232" s="76">
        <v>0</v>
      </c>
      <c r="H232" s="76">
        <v>54717.069232402653</v>
      </c>
    </row>
    <row r="233" spans="1:11" x14ac:dyDescent="0.3">
      <c r="A233" s="74" t="s">
        <v>9</v>
      </c>
      <c r="B233" s="74" t="s">
        <v>746</v>
      </c>
      <c r="C233" s="74" t="s">
        <v>1399</v>
      </c>
      <c r="D233" s="74" t="s">
        <v>2554</v>
      </c>
      <c r="E233" s="76">
        <v>49107.792814794695</v>
      </c>
      <c r="F233" s="76">
        <v>1245734.92344392</v>
      </c>
      <c r="G233" s="76">
        <v>65934.438949204268</v>
      </c>
      <c r="H233" s="76">
        <v>576871.89379092772</v>
      </c>
    </row>
    <row r="234" spans="1:11" x14ac:dyDescent="0.3">
      <c r="A234" s="74" t="s">
        <v>9</v>
      </c>
      <c r="B234" s="74" t="s">
        <v>746</v>
      </c>
      <c r="C234" s="74" t="s">
        <v>1401</v>
      </c>
      <c r="D234" s="74" t="s">
        <v>2560</v>
      </c>
      <c r="E234" s="76">
        <v>98303.187306636799</v>
      </c>
      <c r="F234" s="76">
        <v>1685737.0905263852</v>
      </c>
      <c r="G234" s="76">
        <v>0</v>
      </c>
      <c r="H234" s="76">
        <v>0</v>
      </c>
    </row>
    <row r="235" spans="1:11" x14ac:dyDescent="0.3">
      <c r="A235" s="74" t="s">
        <v>9</v>
      </c>
      <c r="B235" s="74" t="s">
        <v>746</v>
      </c>
      <c r="C235" s="74" t="s">
        <v>1402</v>
      </c>
      <c r="D235" s="74" t="s">
        <v>2564</v>
      </c>
      <c r="E235" s="76">
        <v>0</v>
      </c>
      <c r="F235" s="76">
        <v>462485.23168724496</v>
      </c>
      <c r="G235" s="76">
        <v>54181.78662200251</v>
      </c>
      <c r="H235" s="76">
        <v>0</v>
      </c>
    </row>
    <row r="236" spans="1:11" x14ac:dyDescent="0.3">
      <c r="A236" s="74" t="s">
        <v>9</v>
      </c>
      <c r="B236" s="74" t="s">
        <v>746</v>
      </c>
      <c r="C236" s="74" t="s">
        <v>1403</v>
      </c>
      <c r="D236" s="74" t="s">
        <v>2567</v>
      </c>
      <c r="E236" s="76">
        <v>0</v>
      </c>
      <c r="F236" s="76">
        <v>29544.462788100001</v>
      </c>
      <c r="G236" s="76">
        <v>0</v>
      </c>
      <c r="H236" s="76">
        <v>0</v>
      </c>
    </row>
    <row r="237" spans="1:11" x14ac:dyDescent="0.3">
      <c r="A237" s="74" t="s">
        <v>9</v>
      </c>
      <c r="B237" s="74" t="s">
        <v>746</v>
      </c>
      <c r="C237" s="74" t="s">
        <v>1404</v>
      </c>
      <c r="D237" s="74" t="s">
        <v>2570</v>
      </c>
      <c r="E237" s="76">
        <v>0</v>
      </c>
      <c r="F237" s="76">
        <v>616316.58097457502</v>
      </c>
      <c r="G237" s="76">
        <v>0</v>
      </c>
      <c r="H237" s="76">
        <v>0</v>
      </c>
    </row>
    <row r="238" spans="1:11" x14ac:dyDescent="0.3">
      <c r="A238" s="74" t="s">
        <v>9</v>
      </c>
      <c r="B238" s="74" t="s">
        <v>746</v>
      </c>
      <c r="C238" s="74" t="s">
        <v>1405</v>
      </c>
      <c r="D238" s="74" t="s">
        <v>2573</v>
      </c>
      <c r="E238" s="76">
        <v>0</v>
      </c>
      <c r="F238" s="76">
        <v>65249.091619659994</v>
      </c>
      <c r="G238" s="76">
        <v>81272.679934569038</v>
      </c>
      <c r="H238" s="76">
        <v>0</v>
      </c>
    </row>
    <row r="239" spans="1:11" x14ac:dyDescent="0.3">
      <c r="A239" s="74" t="s">
        <v>9</v>
      </c>
      <c r="B239" s="74" t="s">
        <v>746</v>
      </c>
      <c r="C239" s="74" t="s">
        <v>1406</v>
      </c>
      <c r="D239" s="74" t="s">
        <v>2575</v>
      </c>
      <c r="E239" s="76">
        <v>0</v>
      </c>
      <c r="F239" s="76">
        <v>2940984.8765196251</v>
      </c>
      <c r="G239" s="76">
        <v>40636.339967284519</v>
      </c>
      <c r="H239" s="76">
        <v>0</v>
      </c>
    </row>
    <row r="240" spans="1:11" x14ac:dyDescent="0.3">
      <c r="A240" s="74" t="s">
        <v>9</v>
      </c>
      <c r="B240" s="74" t="s">
        <v>746</v>
      </c>
      <c r="C240" s="74" t="s">
        <v>1407</v>
      </c>
      <c r="D240" s="74" t="s">
        <v>944</v>
      </c>
      <c r="E240" s="76">
        <v>0</v>
      </c>
      <c r="F240" s="76">
        <v>335399.67439121002</v>
      </c>
      <c r="G240" s="76">
        <v>0</v>
      </c>
      <c r="H240" s="76">
        <v>0</v>
      </c>
    </row>
    <row r="241" spans="1:8" x14ac:dyDescent="0.3">
      <c r="A241" s="74" t="s">
        <v>9</v>
      </c>
      <c r="B241" s="74" t="s">
        <v>746</v>
      </c>
      <c r="C241" s="74" t="s">
        <v>1408</v>
      </c>
      <c r="D241" s="74" t="s">
        <v>2592</v>
      </c>
      <c r="E241" s="76">
        <v>26361.455195347786</v>
      </c>
      <c r="F241" s="76">
        <v>407128.72762945504</v>
      </c>
      <c r="G241" s="76">
        <v>0</v>
      </c>
      <c r="H241" s="76">
        <v>0</v>
      </c>
    </row>
    <row r="242" spans="1:8" x14ac:dyDescent="0.3">
      <c r="A242" s="74" t="s">
        <v>9</v>
      </c>
      <c r="B242" s="74" t="s">
        <v>746</v>
      </c>
      <c r="C242" s="74" t="s">
        <v>1409</v>
      </c>
      <c r="D242" s="74" t="s">
        <v>2595</v>
      </c>
      <c r="E242" s="76">
        <v>0</v>
      </c>
      <c r="F242" s="76">
        <v>108491.842721665</v>
      </c>
      <c r="G242" s="76">
        <v>0</v>
      </c>
      <c r="H242" s="76">
        <v>0</v>
      </c>
    </row>
    <row r="243" spans="1:8" x14ac:dyDescent="0.3">
      <c r="A243" s="74" t="s">
        <v>9</v>
      </c>
      <c r="B243" s="74" t="s">
        <v>746</v>
      </c>
      <c r="C243" s="74" t="s">
        <v>1410</v>
      </c>
      <c r="D243" s="74" t="s">
        <v>2598</v>
      </c>
      <c r="E243" s="76">
        <v>65535.458205689501</v>
      </c>
      <c r="F243" s="76">
        <v>315302.783367845</v>
      </c>
      <c r="G243" s="76">
        <v>0</v>
      </c>
      <c r="H243" s="76">
        <v>0</v>
      </c>
    </row>
    <row r="244" spans="1:8" x14ac:dyDescent="0.3">
      <c r="A244" s="74" t="s">
        <v>9</v>
      </c>
      <c r="B244" s="74" t="s">
        <v>746</v>
      </c>
      <c r="C244" s="74" t="s">
        <v>1411</v>
      </c>
      <c r="D244" s="74" t="s">
        <v>2601</v>
      </c>
      <c r="E244" s="76">
        <v>0</v>
      </c>
      <c r="F244" s="76">
        <v>243186.43945843002</v>
      </c>
      <c r="G244" s="76">
        <v>0</v>
      </c>
      <c r="H244" s="76">
        <v>0</v>
      </c>
    </row>
    <row r="245" spans="1:8" x14ac:dyDescent="0.3">
      <c r="A245" s="74" t="s">
        <v>9</v>
      </c>
      <c r="B245" s="74" t="s">
        <v>746</v>
      </c>
      <c r="C245" s="74" t="s">
        <v>1412</v>
      </c>
      <c r="D245" s="74" t="s">
        <v>2604</v>
      </c>
      <c r="E245" s="76">
        <v>0</v>
      </c>
      <c r="F245" s="76">
        <v>3159972.56066141</v>
      </c>
      <c r="G245" s="76">
        <v>0</v>
      </c>
      <c r="H245" s="76">
        <v>0</v>
      </c>
    </row>
    <row r="246" spans="1:8" x14ac:dyDescent="0.3">
      <c r="A246" s="74" t="s">
        <v>9</v>
      </c>
      <c r="B246" s="74" t="s">
        <v>746</v>
      </c>
      <c r="C246" s="74" t="s">
        <v>1413</v>
      </c>
      <c r="D246" s="74" t="s">
        <v>2611</v>
      </c>
      <c r="E246" s="76">
        <v>259375.59693591043</v>
      </c>
      <c r="F246" s="76">
        <v>24520.319672095</v>
      </c>
      <c r="G246" s="76">
        <v>0</v>
      </c>
      <c r="H246" s="76">
        <v>0</v>
      </c>
    </row>
    <row r="247" spans="1:8" x14ac:dyDescent="0.3">
      <c r="A247" s="74" t="s">
        <v>9</v>
      </c>
      <c r="B247" s="74" t="s">
        <v>746</v>
      </c>
      <c r="C247" s="74" t="s">
        <v>1414</v>
      </c>
      <c r="D247" s="74" t="s">
        <v>2614</v>
      </c>
      <c r="E247" s="76">
        <v>1350032.6828397796</v>
      </c>
      <c r="F247" s="76">
        <v>11229479.354591744</v>
      </c>
      <c r="G247" s="76">
        <v>0</v>
      </c>
      <c r="H247" s="76">
        <v>147454.78096280139</v>
      </c>
    </row>
    <row r="248" spans="1:8" x14ac:dyDescent="0.3">
      <c r="A248" s="74" t="s">
        <v>9</v>
      </c>
      <c r="B248" s="74" t="s">
        <v>746</v>
      </c>
      <c r="C248" s="74" t="s">
        <v>1415</v>
      </c>
      <c r="D248" s="74" t="s">
        <v>2617</v>
      </c>
      <c r="E248" s="76">
        <v>650553.13306599797</v>
      </c>
      <c r="F248" s="76">
        <v>8480073.1804689541</v>
      </c>
      <c r="G248" s="76">
        <v>0</v>
      </c>
      <c r="H248" s="76">
        <v>197039.792349547</v>
      </c>
    </row>
    <row r="249" spans="1:8" x14ac:dyDescent="0.3">
      <c r="A249" s="74" t="s">
        <v>9</v>
      </c>
      <c r="B249" s="74" t="s">
        <v>746</v>
      </c>
      <c r="C249" s="74" t="s">
        <v>1416</v>
      </c>
      <c r="D249" s="74" t="s">
        <v>2620</v>
      </c>
      <c r="E249" s="76">
        <v>5411657.4705424299</v>
      </c>
      <c r="F249" s="76">
        <v>101742696.47627203</v>
      </c>
      <c r="G249" s="76">
        <v>2977566.4929576092</v>
      </c>
      <c r="H249" s="76">
        <v>514185.03545719461</v>
      </c>
    </row>
    <row r="250" spans="1:8" x14ac:dyDescent="0.3">
      <c r="A250" s="74" t="s">
        <v>9</v>
      </c>
      <c r="B250" s="74" t="s">
        <v>746</v>
      </c>
      <c r="C250" s="74" t="s">
        <v>1417</v>
      </c>
      <c r="D250" s="74" t="s">
        <v>2623</v>
      </c>
      <c r="E250" s="76">
        <v>0</v>
      </c>
      <c r="F250" s="76">
        <v>3835811.5024816599</v>
      </c>
      <c r="G250" s="76">
        <v>0</v>
      </c>
      <c r="H250" s="76">
        <v>0</v>
      </c>
    </row>
    <row r="251" spans="1:8" x14ac:dyDescent="0.3">
      <c r="A251" s="74" t="s">
        <v>9</v>
      </c>
      <c r="B251" s="74" t="s">
        <v>746</v>
      </c>
      <c r="C251" s="74" t="s">
        <v>1418</v>
      </c>
      <c r="D251" s="74" t="s">
        <v>2626</v>
      </c>
      <c r="E251" s="76">
        <v>0</v>
      </c>
      <c r="F251" s="76">
        <v>5055884.6593610542</v>
      </c>
      <c r="G251" s="76">
        <v>0</v>
      </c>
      <c r="H251" s="76">
        <v>0</v>
      </c>
    </row>
    <row r="252" spans="1:8" x14ac:dyDescent="0.3">
      <c r="A252" s="74" t="s">
        <v>9</v>
      </c>
      <c r="B252" s="74" t="s">
        <v>746</v>
      </c>
      <c r="C252" s="74" t="s">
        <v>1419</v>
      </c>
      <c r="D252" s="74" t="s">
        <v>2629</v>
      </c>
      <c r="E252" s="76">
        <v>288841.53859913768</v>
      </c>
      <c r="F252" s="76">
        <v>16874340.594453942</v>
      </c>
      <c r="G252" s="76">
        <v>0</v>
      </c>
      <c r="H252" s="76">
        <v>45221.015164032091</v>
      </c>
    </row>
    <row r="253" spans="1:8" x14ac:dyDescent="0.3">
      <c r="A253" s="74" t="s">
        <v>9</v>
      </c>
      <c r="B253" s="74" t="s">
        <v>746</v>
      </c>
      <c r="C253" s="74" t="s">
        <v>1421</v>
      </c>
      <c r="D253" s="74" t="s">
        <v>2635</v>
      </c>
      <c r="E253" s="76">
        <v>22937.410373509283</v>
      </c>
      <c r="F253" s="76">
        <v>6025945.2194771701</v>
      </c>
      <c r="G253" s="76">
        <v>0</v>
      </c>
      <c r="H253" s="76">
        <v>0</v>
      </c>
    </row>
    <row r="254" spans="1:8" x14ac:dyDescent="0.3">
      <c r="A254" s="74" t="s">
        <v>9</v>
      </c>
      <c r="B254" s="74" t="s">
        <v>746</v>
      </c>
      <c r="C254" s="74" t="s">
        <v>1422</v>
      </c>
      <c r="D254" s="74" t="s">
        <v>2638</v>
      </c>
      <c r="E254" s="76">
        <v>1044357.499714501</v>
      </c>
      <c r="F254" s="76">
        <v>10185031.374575851</v>
      </c>
      <c r="G254" s="76">
        <v>0</v>
      </c>
      <c r="H254" s="76">
        <v>0</v>
      </c>
    </row>
    <row r="255" spans="1:8" x14ac:dyDescent="0.3">
      <c r="A255" s="74" t="s">
        <v>9</v>
      </c>
      <c r="B255" s="74" t="s">
        <v>746</v>
      </c>
      <c r="C255" s="74" t="s">
        <v>2586</v>
      </c>
      <c r="D255" s="74" t="s">
        <v>2587</v>
      </c>
      <c r="E255" s="76">
        <v>16383.864551422375</v>
      </c>
      <c r="F255" s="76">
        <v>292975.05029364</v>
      </c>
      <c r="G255" s="76">
        <v>0</v>
      </c>
      <c r="H255" s="76">
        <v>0</v>
      </c>
    </row>
    <row r="256" spans="1:8" x14ac:dyDescent="0.3">
      <c r="A256" s="74" t="s">
        <v>9</v>
      </c>
      <c r="B256" s="74" t="s">
        <v>1190</v>
      </c>
      <c r="D256" s="74" t="e">
        <v>#N/A</v>
      </c>
      <c r="E256" s="76">
        <v>12082310.674417077</v>
      </c>
      <c r="F256" s="76">
        <v>237404326.94609207</v>
      </c>
      <c r="G256" s="76">
        <v>3411217.3467196701</v>
      </c>
      <c r="H256" s="76">
        <v>2427853.4883109215</v>
      </c>
    </row>
    <row r="257" spans="1:10" x14ac:dyDescent="0.3">
      <c r="A257" s="74" t="s">
        <v>9</v>
      </c>
      <c r="B257" s="74" t="s">
        <v>761</v>
      </c>
      <c r="C257" s="74" t="s">
        <v>1412</v>
      </c>
      <c r="D257" s="74" t="s">
        <v>2604</v>
      </c>
      <c r="E257" s="76">
        <v>0</v>
      </c>
      <c r="F257" s="76">
        <v>352444.73332328</v>
      </c>
      <c r="G257" s="76">
        <v>0</v>
      </c>
      <c r="H257" s="76">
        <v>0</v>
      </c>
    </row>
    <row r="258" spans="1:10" x14ac:dyDescent="0.3">
      <c r="A258" s="74" t="s">
        <v>9</v>
      </c>
      <c r="B258" s="74" t="s">
        <v>1205</v>
      </c>
      <c r="D258" s="74" t="e">
        <v>#N/A</v>
      </c>
      <c r="E258" s="76">
        <v>0</v>
      </c>
      <c r="F258" s="76">
        <v>352444.73332328</v>
      </c>
      <c r="G258" s="76">
        <v>0</v>
      </c>
      <c r="H258" s="76">
        <v>0</v>
      </c>
    </row>
    <row r="259" spans="1:10" x14ac:dyDescent="0.3">
      <c r="A259" s="74" t="s">
        <v>1424</v>
      </c>
      <c r="D259" s="74" t="e">
        <v>#N/A</v>
      </c>
      <c r="E259" s="76">
        <v>12082310.674417077</v>
      </c>
      <c r="F259" s="76">
        <v>237756771.67941535</v>
      </c>
      <c r="G259" s="76">
        <v>3411217.3467196701</v>
      </c>
      <c r="H259" s="76">
        <v>2427853.4883109215</v>
      </c>
    </row>
    <row r="260" spans="1:10" x14ac:dyDescent="0.3">
      <c r="A260" s="74" t="s">
        <v>749</v>
      </c>
      <c r="B260" s="74" t="s">
        <v>746</v>
      </c>
      <c r="C260" s="74" t="s">
        <v>1193</v>
      </c>
      <c r="D260" s="74" t="s">
        <v>1160</v>
      </c>
      <c r="E260" s="76">
        <v>0</v>
      </c>
      <c r="F260" s="76">
        <v>0</v>
      </c>
      <c r="G260" s="76">
        <v>0</v>
      </c>
      <c r="H260" s="76">
        <v>0</v>
      </c>
      <c r="I260" s="728">
        <f>COUNTIF('1 kari főtábla'!$1:$1,D260)</f>
        <v>1</v>
      </c>
    </row>
    <row r="261" spans="1:10" x14ac:dyDescent="0.3">
      <c r="A261" s="74" t="s">
        <v>749</v>
      </c>
      <c r="B261" s="74" t="s">
        <v>746</v>
      </c>
      <c r="C261" s="74" t="s">
        <v>1204</v>
      </c>
      <c r="E261" s="76">
        <v>0</v>
      </c>
      <c r="F261" s="76">
        <v>56967.37089043</v>
      </c>
      <c r="G261" s="76">
        <v>0</v>
      </c>
      <c r="H261" s="76">
        <v>0</v>
      </c>
      <c r="I261" s="728">
        <f>COUNTIF('1 kari főtábla'!$1:$1,D261)</f>
        <v>0</v>
      </c>
    </row>
    <row r="262" spans="1:10" x14ac:dyDescent="0.3">
      <c r="A262" s="74" t="s">
        <v>749</v>
      </c>
      <c r="B262" s="74" t="s">
        <v>1190</v>
      </c>
      <c r="D262" s="74" t="e">
        <v>#N/A</v>
      </c>
      <c r="E262" s="76">
        <v>0</v>
      </c>
      <c r="F262" s="76">
        <v>56967.37089043</v>
      </c>
      <c r="G262" s="76">
        <v>0</v>
      </c>
      <c r="H262" s="76">
        <v>0</v>
      </c>
      <c r="I262" s="728">
        <f>COUNTIF('1 kari főtábla'!$1:$1,D262)</f>
        <v>0</v>
      </c>
    </row>
    <row r="263" spans="1:10" x14ac:dyDescent="0.3">
      <c r="A263" s="728" t="s">
        <v>804</v>
      </c>
      <c r="B263" s="728" t="s">
        <v>761</v>
      </c>
      <c r="C263" s="728" t="s">
        <v>804</v>
      </c>
      <c r="D263" s="728" t="s">
        <v>804</v>
      </c>
      <c r="E263" s="729">
        <f>E126+E257</f>
        <v>0</v>
      </c>
      <c r="F263" s="729">
        <f>F126+F257</f>
        <v>711449.18151807506</v>
      </c>
      <c r="G263" s="729">
        <f>G126+G257</f>
        <v>0</v>
      </c>
      <c r="H263" s="729">
        <f>H126+H257</f>
        <v>0</v>
      </c>
      <c r="I263" s="728"/>
    </row>
    <row r="264" spans="1:10" x14ac:dyDescent="0.3">
      <c r="A264" s="74" t="s">
        <v>749</v>
      </c>
      <c r="B264" s="74" t="s">
        <v>761</v>
      </c>
      <c r="C264" s="74" t="s">
        <v>1192</v>
      </c>
      <c r="D264" s="74" t="s">
        <v>2971</v>
      </c>
      <c r="E264" s="76">
        <v>112001.18941005845</v>
      </c>
      <c r="F264" s="76">
        <v>0</v>
      </c>
      <c r="G264" s="76">
        <v>0</v>
      </c>
      <c r="H264" s="76">
        <v>0</v>
      </c>
      <c r="I264" s="728">
        <f>COUNTIF('1 kari főtábla'!$1:$1,D264)</f>
        <v>1</v>
      </c>
    </row>
    <row r="265" spans="1:10" x14ac:dyDescent="0.3">
      <c r="A265" s="74" t="s">
        <v>749</v>
      </c>
      <c r="B265" s="74" t="s">
        <v>761</v>
      </c>
      <c r="C265" s="74" t="s">
        <v>1195</v>
      </c>
      <c r="D265" s="74" t="s">
        <v>2973</v>
      </c>
      <c r="E265" s="76">
        <v>592709.12038268894</v>
      </c>
      <c r="F265" s="76">
        <v>1739614.662569745</v>
      </c>
      <c r="G265" s="76">
        <v>977660.27122652205</v>
      </c>
      <c r="H265" s="76">
        <v>0</v>
      </c>
      <c r="I265" s="728">
        <f>COUNTIF('1 kari főtábla'!$1:$1,D265)</f>
        <v>1</v>
      </c>
      <c r="J265" s="755">
        <f>F265*'3.a'!$H$2</f>
        <v>1420247.3438427798</v>
      </c>
    </row>
    <row r="266" spans="1:10" x14ac:dyDescent="0.3">
      <c r="A266" s="74" t="s">
        <v>749</v>
      </c>
      <c r="B266" s="74" t="s">
        <v>761</v>
      </c>
      <c r="C266" s="74" t="s">
        <v>1196</v>
      </c>
      <c r="D266" s="74" t="s">
        <v>2974</v>
      </c>
      <c r="E266" s="76">
        <v>112116.81947432355</v>
      </c>
      <c r="F266" s="76">
        <v>1379153.9667219601</v>
      </c>
      <c r="G266" s="76">
        <v>1303547.0283020295</v>
      </c>
      <c r="H266" s="76">
        <v>0</v>
      </c>
      <c r="I266" s="728">
        <f>COUNTIF('1 kari főtábla'!$1:$1,D266)</f>
        <v>1</v>
      </c>
      <c r="J266" s="755">
        <f>F266*'3.a'!$H$2</f>
        <v>1125961.8581816633</v>
      </c>
    </row>
    <row r="267" spans="1:10" x14ac:dyDescent="0.3">
      <c r="A267" s="74" t="s">
        <v>749</v>
      </c>
      <c r="B267" s="74" t="s">
        <v>761</v>
      </c>
      <c r="C267" s="74" t="s">
        <v>1197</v>
      </c>
      <c r="D267" s="74" t="s">
        <v>2975</v>
      </c>
      <c r="E267" s="76">
        <v>0</v>
      </c>
      <c r="F267" s="76">
        <v>219410.85834213</v>
      </c>
      <c r="G267" s="76">
        <v>0</v>
      </c>
      <c r="H267" s="76">
        <v>0</v>
      </c>
      <c r="I267" s="728">
        <f>COUNTIF('1 kari főtábla'!$1:$1,D267)</f>
        <v>1</v>
      </c>
      <c r="J267" s="755">
        <f>F267*'3.a'!$H$2</f>
        <v>179130.29561981006</v>
      </c>
    </row>
    <row r="268" spans="1:10" x14ac:dyDescent="0.3">
      <c r="A268" s="74" t="s">
        <v>749</v>
      </c>
      <c r="B268" s="74" t="s">
        <v>761</v>
      </c>
      <c r="C268" s="74" t="s">
        <v>1198</v>
      </c>
      <c r="D268" s="74" t="s">
        <v>2976</v>
      </c>
      <c r="E268" s="76">
        <v>62562.032058046934</v>
      </c>
      <c r="F268" s="76">
        <v>94033.22500377</v>
      </c>
      <c r="G268" s="76">
        <v>0</v>
      </c>
      <c r="H268" s="76">
        <v>0</v>
      </c>
      <c r="I268" s="728">
        <f>COUNTIF('1 kari főtábla'!$1:$1,D268)</f>
        <v>1</v>
      </c>
      <c r="J268" s="755">
        <f>F268*'3.a'!$H$2</f>
        <v>76770.126694204315</v>
      </c>
    </row>
    <row r="269" spans="1:10" x14ac:dyDescent="0.3">
      <c r="A269" s="74" t="s">
        <v>749</v>
      </c>
      <c r="B269" s="74" t="s">
        <v>761</v>
      </c>
      <c r="C269" s="74" t="s">
        <v>1199</v>
      </c>
      <c r="D269" s="74" t="s">
        <v>2977</v>
      </c>
      <c r="E269" s="76">
        <v>4410137.037467829</v>
      </c>
      <c r="F269" s="76">
        <v>6864425.4252865193</v>
      </c>
      <c r="G269" s="76">
        <v>1855047.6941221186</v>
      </c>
      <c r="H269" s="76">
        <v>0</v>
      </c>
      <c r="I269" s="728">
        <f>COUNTIF('1 kari főtábla'!$1:$1,D269)</f>
        <v>1</v>
      </c>
      <c r="J269" s="755">
        <f>F269*'3.a'!$H$2</f>
        <v>5604219.2486861479</v>
      </c>
    </row>
    <row r="270" spans="1:10" x14ac:dyDescent="0.3">
      <c r="A270" s="74" t="s">
        <v>749</v>
      </c>
      <c r="B270" s="74" t="s">
        <v>761</v>
      </c>
      <c r="C270" s="74" t="s">
        <v>1200</v>
      </c>
      <c r="D270" s="74" t="s">
        <v>2978</v>
      </c>
      <c r="E270" s="76">
        <v>0</v>
      </c>
      <c r="F270" s="76">
        <v>0</v>
      </c>
      <c r="G270" s="76">
        <v>1103001.3316401788</v>
      </c>
      <c r="H270" s="76">
        <v>0</v>
      </c>
      <c r="I270" s="728">
        <f>COUNTIF('1 kari főtábla'!$1:$1,D270)</f>
        <v>1</v>
      </c>
      <c r="J270" s="755">
        <f>F270*'3.a'!$H$2</f>
        <v>0</v>
      </c>
    </row>
    <row r="271" spans="1:10" x14ac:dyDescent="0.3">
      <c r="A271" s="74" t="s">
        <v>749</v>
      </c>
      <c r="B271" s="74" t="s">
        <v>761</v>
      </c>
      <c r="C271" s="74" t="s">
        <v>1558</v>
      </c>
      <c r="D271" s="74" t="s">
        <v>2983</v>
      </c>
      <c r="E271" s="76">
        <v>0</v>
      </c>
      <c r="F271" s="76">
        <v>517182.73752073507</v>
      </c>
      <c r="G271" s="76">
        <v>0</v>
      </c>
      <c r="H271" s="76">
        <v>0</v>
      </c>
      <c r="I271" s="728">
        <f>COUNTIF('1 kari főtábla'!$1:$1,D271)</f>
        <v>1</v>
      </c>
      <c r="J271" s="755">
        <f>F271*'3.a'!$H$2</f>
        <v>422235.6968181238</v>
      </c>
    </row>
    <row r="272" spans="1:10" x14ac:dyDescent="0.3">
      <c r="A272" s="74" t="s">
        <v>749</v>
      </c>
      <c r="B272" s="74" t="s">
        <v>761</v>
      </c>
      <c r="C272" s="74" t="s">
        <v>1201</v>
      </c>
      <c r="D272" s="74" t="s">
        <v>2979</v>
      </c>
      <c r="E272" s="76">
        <v>0</v>
      </c>
      <c r="F272" s="76">
        <v>63848.979440089999</v>
      </c>
      <c r="G272" s="76">
        <v>0</v>
      </c>
      <c r="H272" s="76">
        <v>0</v>
      </c>
      <c r="I272" s="728">
        <f>COUNTIF('1 kari főtábla'!$1:$1,D272)</f>
        <v>1</v>
      </c>
      <c r="J272" s="755">
        <f>F272*'3.a'!$H$2</f>
        <v>52127.258644110487</v>
      </c>
    </row>
    <row r="273" spans="1:11" x14ac:dyDescent="0.3">
      <c r="A273" s="74" t="s">
        <v>749</v>
      </c>
      <c r="B273" s="74" t="s">
        <v>761</v>
      </c>
      <c r="C273" s="74" t="s">
        <v>1203</v>
      </c>
      <c r="D273" s="74" t="s">
        <v>2981</v>
      </c>
      <c r="E273" s="76">
        <v>0</v>
      </c>
      <c r="F273" s="76">
        <v>219410.85834213</v>
      </c>
      <c r="G273" s="76">
        <v>0</v>
      </c>
      <c r="H273" s="76">
        <v>0</v>
      </c>
      <c r="I273" s="728">
        <f>COUNTIF('1 kari főtábla'!$1:$1,D273)</f>
        <v>1</v>
      </c>
      <c r="J273" s="755">
        <f>F273*'3.a'!$H$2</f>
        <v>179130.29561981006</v>
      </c>
    </row>
    <row r="274" spans="1:11" x14ac:dyDescent="0.3">
      <c r="A274" s="74" t="s">
        <v>749</v>
      </c>
      <c r="B274" s="74" t="s">
        <v>761</v>
      </c>
      <c r="C274" s="74" t="s">
        <v>1204</v>
      </c>
      <c r="D274" s="74" t="s">
        <v>2982</v>
      </c>
      <c r="E274" s="76">
        <v>0</v>
      </c>
      <c r="F274" s="729">
        <f>203738.654174835+F261</f>
        <v>260706.02506526501</v>
      </c>
      <c r="G274" s="76">
        <v>0</v>
      </c>
      <c r="H274" s="76">
        <v>0</v>
      </c>
      <c r="I274" s="728">
        <f>COUNTIF('1 kari főtábla'!$1:$1,D274)</f>
        <v>1</v>
      </c>
      <c r="J274" s="755">
        <f>F274*'3.a'!$H$2</f>
        <v>212844.28534063761</v>
      </c>
    </row>
    <row r="275" spans="1:11" x14ac:dyDescent="0.3">
      <c r="A275" s="74" t="s">
        <v>749</v>
      </c>
      <c r="B275" s="74" t="s">
        <v>1205</v>
      </c>
      <c r="D275" s="74" t="e">
        <v>#N/A</v>
      </c>
      <c r="E275" s="76">
        <v>5289526.1987929465</v>
      </c>
      <c r="F275" s="76">
        <v>11300819.367401913</v>
      </c>
      <c r="G275" s="76">
        <v>5239256.3252908494</v>
      </c>
      <c r="H275" s="76">
        <v>0</v>
      </c>
    </row>
    <row r="276" spans="1:11" s="5" customFormat="1" x14ac:dyDescent="0.3">
      <c r="A276" s="74" t="s">
        <v>1206</v>
      </c>
      <c r="B276" s="74"/>
      <c r="C276" s="74"/>
      <c r="D276" s="74" t="e">
        <v>#N/A</v>
      </c>
      <c r="E276" s="76">
        <v>5289526.1987929465</v>
      </c>
      <c r="F276" s="76">
        <v>11357786.738292344</v>
      </c>
      <c r="G276" s="76">
        <v>5239256.3252908494</v>
      </c>
      <c r="H276" s="76">
        <v>0</v>
      </c>
      <c r="I276" s="74"/>
      <c r="J276" s="74"/>
      <c r="K276" s="74"/>
    </row>
    <row r="277" spans="1:11" s="5" customFormat="1" x14ac:dyDescent="0.3">
      <c r="A277" s="74" t="s">
        <v>3451</v>
      </c>
      <c r="B277" s="74" t="s">
        <v>746</v>
      </c>
      <c r="C277" s="74" t="s">
        <v>3743</v>
      </c>
      <c r="D277" s="74" t="e">
        <v>#N/A</v>
      </c>
      <c r="E277" s="76">
        <v>761479.73627885571</v>
      </c>
      <c r="F277" s="76">
        <v>16977568.24931141</v>
      </c>
      <c r="G277" s="76">
        <v>162545.35986287697</v>
      </c>
      <c r="H277" s="76">
        <v>820833.45507206628</v>
      </c>
      <c r="I277" s="74"/>
      <c r="J277" s="74"/>
      <c r="K277" s="74"/>
    </row>
    <row r="278" spans="1:11" x14ac:dyDescent="0.3">
      <c r="A278" s="74" t="s">
        <v>3451</v>
      </c>
      <c r="B278" s="74" t="s">
        <v>746</v>
      </c>
      <c r="C278" s="74" t="s">
        <v>3451</v>
      </c>
      <c r="D278" s="74" t="e">
        <v>#N/A</v>
      </c>
      <c r="E278" s="76">
        <v>81974.715177581675</v>
      </c>
      <c r="F278" s="76">
        <v>1721716.712239875</v>
      </c>
      <c r="G278" s="76">
        <v>78927.373703844569</v>
      </c>
      <c r="H278" s="76">
        <v>0</v>
      </c>
    </row>
    <row r="279" spans="1:11" x14ac:dyDescent="0.3">
      <c r="A279" s="74" t="s">
        <v>3451</v>
      </c>
      <c r="B279" s="74" t="s">
        <v>746</v>
      </c>
      <c r="C279" s="74" t="s">
        <v>3744</v>
      </c>
      <c r="D279" s="74" t="e">
        <v>#N/A</v>
      </c>
      <c r="E279" s="76">
        <v>381637.86876319046</v>
      </c>
      <c r="F279" s="76">
        <v>9266569.9723830353</v>
      </c>
      <c r="G279" s="76">
        <v>0</v>
      </c>
      <c r="H279" s="76">
        <v>1121339.1367917738</v>
      </c>
    </row>
    <row r="280" spans="1:11" s="5" customFormat="1" x14ac:dyDescent="0.3">
      <c r="A280" s="74" t="s">
        <v>3451</v>
      </c>
      <c r="B280" s="74" t="s">
        <v>746</v>
      </c>
      <c r="C280" s="74" t="s">
        <v>3745</v>
      </c>
      <c r="D280" s="74" t="e">
        <v>#N/A</v>
      </c>
      <c r="E280" s="76">
        <v>1037502.3877436417</v>
      </c>
      <c r="F280" s="76">
        <v>16115565.35207814</v>
      </c>
      <c r="G280" s="76">
        <v>241646.72855395099</v>
      </c>
      <c r="H280" s="76">
        <v>898539.33288311982</v>
      </c>
      <c r="I280" s="74"/>
      <c r="J280" s="74"/>
      <c r="K280" s="74"/>
    </row>
    <row r="281" spans="1:11" s="5" customFormat="1" x14ac:dyDescent="0.3">
      <c r="A281" s="74" t="s">
        <v>3451</v>
      </c>
      <c r="B281" s="74" t="s">
        <v>746</v>
      </c>
      <c r="C281" s="74" t="s">
        <v>3746</v>
      </c>
      <c r="D281" s="74" t="e">
        <v>#N/A</v>
      </c>
      <c r="E281" s="76">
        <v>85040.107364479234</v>
      </c>
      <c r="F281" s="76">
        <v>635209.85028812999</v>
      </c>
      <c r="G281" s="76">
        <v>158202.73737910113</v>
      </c>
      <c r="H281" s="76">
        <v>147323.37844438409</v>
      </c>
      <c r="I281" s="74"/>
      <c r="J281" s="74"/>
      <c r="K281" s="74"/>
    </row>
    <row r="282" spans="1:11" s="5" customFormat="1" x14ac:dyDescent="0.3">
      <c r="A282" s="74" t="s">
        <v>3451</v>
      </c>
      <c r="B282" s="74" t="s">
        <v>1190</v>
      </c>
      <c r="C282" s="74"/>
      <c r="D282" s="74" t="e">
        <v>#N/A</v>
      </c>
      <c r="E282" s="76">
        <v>2347634.8153277491</v>
      </c>
      <c r="F282" s="76">
        <v>44716630.136300594</v>
      </c>
      <c r="G282" s="76">
        <v>641322.19949977368</v>
      </c>
      <c r="H282" s="76">
        <v>2988035.3031913443</v>
      </c>
      <c r="I282" s="74"/>
      <c r="J282" s="74"/>
      <c r="K282" s="74"/>
    </row>
    <row r="283" spans="1:11" s="5" customFormat="1" x14ac:dyDescent="0.3">
      <c r="A283" s="74" t="s">
        <v>3747</v>
      </c>
      <c r="B283" s="74"/>
      <c r="C283" s="74"/>
      <c r="D283" s="74" t="e">
        <v>#N/A</v>
      </c>
      <c r="E283" s="76">
        <v>2347634.8153277491</v>
      </c>
      <c r="F283" s="76">
        <v>44716630.136300594</v>
      </c>
      <c r="G283" s="76">
        <v>641322.19949977368</v>
      </c>
      <c r="H283" s="76">
        <v>2988035.3031913443</v>
      </c>
      <c r="I283" s="74"/>
      <c r="J283" s="74"/>
      <c r="K283" s="74"/>
    </row>
    <row r="284" spans="1:11" s="5" customFormat="1" x14ac:dyDescent="0.3">
      <c r="A284" s="74" t="s">
        <v>765</v>
      </c>
      <c r="B284" s="74"/>
      <c r="C284" s="74"/>
      <c r="D284" s="74" t="e">
        <v>#N/A</v>
      </c>
      <c r="E284" s="76">
        <v>120615155.88802943</v>
      </c>
      <c r="F284" s="76">
        <v>1401693386.8348517</v>
      </c>
      <c r="G284" s="76">
        <v>76037414.399192795</v>
      </c>
      <c r="H284" s="76">
        <v>37523980.284848385</v>
      </c>
      <c r="I284" s="74"/>
      <c r="J284" s="74"/>
      <c r="K284" s="74"/>
    </row>
    <row r="285" spans="1:11" s="5" customFormat="1" x14ac:dyDescent="0.3">
      <c r="A285" s="74"/>
      <c r="B285" s="74"/>
      <c r="C285" s="74"/>
      <c r="D285" s="74"/>
      <c r="E285" s="76"/>
      <c r="F285" s="76"/>
      <c r="G285" s="76"/>
      <c r="H285" s="76"/>
      <c r="I285" s="74"/>
      <c r="J285" s="74"/>
      <c r="K285" s="74"/>
    </row>
    <row r="286" spans="1:11" s="5" customFormat="1" x14ac:dyDescent="0.3">
      <c r="A286" s="74"/>
      <c r="B286" s="74"/>
      <c r="C286" s="74"/>
      <c r="D286" s="74"/>
      <c r="E286" s="76"/>
      <c r="F286" s="76"/>
      <c r="G286" s="76"/>
      <c r="H286" s="76"/>
      <c r="I286" s="74"/>
      <c r="J286" s="74"/>
      <c r="K286" s="74"/>
    </row>
    <row r="287" spans="1:11" s="5" customFormat="1" x14ac:dyDescent="0.3">
      <c r="A287" s="74"/>
      <c r="B287" s="74"/>
      <c r="C287" s="74"/>
      <c r="D287" s="74"/>
      <c r="E287" s="76"/>
      <c r="F287" s="76"/>
      <c r="G287" s="76"/>
      <c r="H287" s="76"/>
      <c r="I287" s="74"/>
      <c r="J287" s="74"/>
      <c r="K287" s="74"/>
    </row>
    <row r="288" spans="1:11" s="5" customFormat="1" x14ac:dyDescent="0.3">
      <c r="A288" s="74"/>
      <c r="B288" s="74"/>
      <c r="C288" s="74"/>
      <c r="D288" s="74"/>
      <c r="E288" s="76"/>
      <c r="F288" s="76"/>
      <c r="G288" s="76"/>
      <c r="H288" s="76"/>
      <c r="I288" s="74"/>
      <c r="J288" s="74"/>
      <c r="K288" s="74"/>
    </row>
    <row r="289" spans="1:11" s="5" customFormat="1" x14ac:dyDescent="0.3">
      <c r="A289" s="74"/>
      <c r="B289" s="74"/>
      <c r="C289" s="74"/>
      <c r="D289" s="74"/>
      <c r="E289" s="76"/>
      <c r="F289" s="76"/>
      <c r="G289" s="76"/>
      <c r="H289" s="76"/>
      <c r="I289" s="74"/>
      <c r="J289" s="74"/>
      <c r="K289" s="74"/>
    </row>
    <row r="290" spans="1:11" s="5" customFormat="1" x14ac:dyDescent="0.3">
      <c r="A290" s="74"/>
      <c r="B290" s="74"/>
      <c r="C290" s="74"/>
      <c r="D290" s="74"/>
      <c r="E290" s="76"/>
      <c r="F290" s="76"/>
      <c r="G290" s="76"/>
      <c r="H290" s="76"/>
      <c r="I290" s="74"/>
      <c r="J290" s="74"/>
      <c r="K290" s="74"/>
    </row>
    <row r="291" spans="1:11" s="5" customFormat="1" x14ac:dyDescent="0.3">
      <c r="A291" s="74"/>
      <c r="B291" s="74"/>
      <c r="C291" s="74"/>
      <c r="D291" s="74"/>
      <c r="E291" s="76"/>
      <c r="F291" s="76"/>
      <c r="G291" s="76"/>
      <c r="H291" s="76"/>
      <c r="I291" s="74"/>
      <c r="J291" s="74"/>
      <c r="K291" s="74"/>
    </row>
    <row r="292" spans="1:11" s="5" customFormat="1" x14ac:dyDescent="0.3">
      <c r="A292" s="74"/>
      <c r="B292" s="74"/>
      <c r="C292" s="74"/>
      <c r="D292" s="74"/>
      <c r="E292" s="76"/>
      <c r="F292" s="76"/>
      <c r="G292" s="76"/>
      <c r="H292" s="76"/>
      <c r="I292" s="74"/>
      <c r="J292" s="74"/>
      <c r="K292" s="74"/>
    </row>
    <row r="293" spans="1:11" s="5" customFormat="1" x14ac:dyDescent="0.3">
      <c r="A293" s="74"/>
      <c r="B293" s="74"/>
      <c r="C293" s="74"/>
      <c r="D293" s="74"/>
      <c r="E293" s="76"/>
      <c r="F293" s="76"/>
      <c r="G293" s="76"/>
      <c r="H293" s="76"/>
      <c r="I293" s="74"/>
      <c r="J293" s="74"/>
      <c r="K293" s="74"/>
    </row>
    <row r="295" spans="1:11" x14ac:dyDescent="0.3">
      <c r="A295"/>
      <c r="B295"/>
      <c r="C295"/>
      <c r="D295"/>
      <c r="E295"/>
      <c r="F295"/>
      <c r="G295"/>
      <c r="H295"/>
    </row>
    <row r="296" spans="1:11" x14ac:dyDescent="0.3">
      <c r="A296"/>
      <c r="B296"/>
      <c r="C296"/>
      <c r="D296"/>
      <c r="E296"/>
      <c r="F296"/>
      <c r="G296"/>
      <c r="H296"/>
    </row>
    <row r="297" spans="1:11" x14ac:dyDescent="0.3">
      <c r="A297"/>
      <c r="B297"/>
      <c r="C297"/>
      <c r="D297"/>
      <c r="E297"/>
      <c r="F297"/>
      <c r="G297"/>
      <c r="H297"/>
    </row>
    <row r="298" spans="1:11" x14ac:dyDescent="0.3">
      <c r="A298"/>
      <c r="B298"/>
      <c r="C298"/>
      <c r="D298"/>
      <c r="E298"/>
      <c r="F298"/>
      <c r="G298"/>
      <c r="H298"/>
    </row>
    <row r="299" spans="1:11" x14ac:dyDescent="0.3">
      <c r="A299"/>
      <c r="B299"/>
      <c r="C299"/>
      <c r="D299"/>
      <c r="E299"/>
      <c r="F299"/>
      <c r="G299"/>
      <c r="H299"/>
    </row>
    <row r="300" spans="1:11" x14ac:dyDescent="0.3">
      <c r="A300"/>
      <c r="B300"/>
      <c r="C300"/>
      <c r="D300"/>
      <c r="E300"/>
      <c r="F300"/>
      <c r="G300"/>
      <c r="H300"/>
    </row>
    <row r="301" spans="1:11" x14ac:dyDescent="0.3">
      <c r="A301"/>
      <c r="B301"/>
      <c r="C301"/>
      <c r="D301"/>
      <c r="E301"/>
      <c r="F301"/>
      <c r="G301"/>
      <c r="H301"/>
    </row>
    <row r="302" spans="1:11" x14ac:dyDescent="0.3">
      <c r="E302" s="74"/>
      <c r="F302" s="74"/>
      <c r="G302" s="74"/>
      <c r="H302" s="74"/>
    </row>
    <row r="303" spans="1:11" x14ac:dyDescent="0.3">
      <c r="E303" s="74"/>
      <c r="F303" s="74"/>
      <c r="G303" s="74"/>
      <c r="H303" s="74"/>
    </row>
    <row r="304" spans="1:11" x14ac:dyDescent="0.3">
      <c r="E304" s="74"/>
      <c r="F304" s="74"/>
      <c r="G304" s="74"/>
      <c r="H304" s="74"/>
    </row>
    <row r="305" spans="5:8" x14ac:dyDescent="0.3">
      <c r="E305" s="74"/>
      <c r="F305" s="74"/>
      <c r="G305" s="74"/>
      <c r="H305" s="74"/>
    </row>
    <row r="306" spans="5:8" x14ac:dyDescent="0.3">
      <c r="E306" s="74"/>
      <c r="F306" s="74"/>
      <c r="G306" s="74"/>
      <c r="H306" s="74"/>
    </row>
    <row r="307" spans="5:8" x14ac:dyDescent="0.3">
      <c r="E307" s="74"/>
      <c r="F307" s="74"/>
      <c r="G307" s="74"/>
      <c r="H307" s="74"/>
    </row>
    <row r="308" spans="5:8" x14ac:dyDescent="0.3">
      <c r="E308" s="74"/>
      <c r="F308" s="74"/>
      <c r="G308" s="74"/>
      <c r="H308" s="74"/>
    </row>
    <row r="309" spans="5:8" x14ac:dyDescent="0.3">
      <c r="E309" s="74"/>
      <c r="F309" s="74"/>
      <c r="G309" s="74"/>
      <c r="H309" s="74"/>
    </row>
    <row r="310" spans="5:8" x14ac:dyDescent="0.3">
      <c r="E310" s="74"/>
      <c r="F310" s="74"/>
      <c r="G310" s="74"/>
      <c r="H310" s="74"/>
    </row>
    <row r="311" spans="5:8" x14ac:dyDescent="0.3">
      <c r="E311" s="74"/>
      <c r="F311" s="74"/>
      <c r="G311" s="74"/>
      <c r="H311" s="74"/>
    </row>
    <row r="312" spans="5:8" x14ac:dyDescent="0.3">
      <c r="E312" s="74"/>
      <c r="F312" s="74"/>
      <c r="G312" s="74"/>
      <c r="H312" s="74"/>
    </row>
    <row r="313" spans="5:8" x14ac:dyDescent="0.3">
      <c r="E313" s="74"/>
      <c r="F313" s="74"/>
      <c r="G313" s="74"/>
      <c r="H313" s="74"/>
    </row>
    <row r="314" spans="5:8" x14ac:dyDescent="0.3">
      <c r="E314" s="74"/>
      <c r="F314" s="74"/>
      <c r="G314" s="74"/>
      <c r="H314" s="74"/>
    </row>
    <row r="315" spans="5:8" x14ac:dyDescent="0.3">
      <c r="E315" s="74"/>
      <c r="F315" s="74"/>
      <c r="G315" s="74"/>
      <c r="H315" s="74"/>
    </row>
    <row r="316" spans="5:8" x14ac:dyDescent="0.3">
      <c r="E316" s="74"/>
      <c r="F316" s="74"/>
      <c r="G316" s="74"/>
      <c r="H316" s="74"/>
    </row>
    <row r="317" spans="5:8" x14ac:dyDescent="0.3">
      <c r="E317" s="74"/>
      <c r="F317" s="74"/>
      <c r="G317" s="74"/>
      <c r="H317" s="74"/>
    </row>
    <row r="318" spans="5:8" x14ac:dyDescent="0.3">
      <c r="E318" s="74"/>
      <c r="F318" s="74"/>
      <c r="G318" s="74"/>
      <c r="H318" s="74"/>
    </row>
    <row r="319" spans="5:8" x14ac:dyDescent="0.3">
      <c r="E319" s="74"/>
      <c r="F319" s="74"/>
      <c r="G319" s="74"/>
      <c r="H319" s="74"/>
    </row>
    <row r="320" spans="5:8" x14ac:dyDescent="0.3">
      <c r="E320" s="74"/>
      <c r="F320" s="74"/>
      <c r="G320" s="74"/>
      <c r="H320" s="74"/>
    </row>
    <row r="321" spans="5:8" x14ac:dyDescent="0.3">
      <c r="E321" s="74"/>
      <c r="F321" s="74"/>
      <c r="G321" s="74"/>
      <c r="H321" s="74"/>
    </row>
    <row r="322" spans="5:8" x14ac:dyDescent="0.3">
      <c r="E322" s="74"/>
      <c r="F322" s="74"/>
      <c r="G322" s="74"/>
      <c r="H322" s="74"/>
    </row>
    <row r="323" spans="5:8" x14ac:dyDescent="0.3">
      <c r="E323" s="74"/>
      <c r="F323" s="74"/>
      <c r="G323" s="74"/>
      <c r="H323" s="74"/>
    </row>
    <row r="324" spans="5:8" x14ac:dyDescent="0.3">
      <c r="E324" s="74"/>
      <c r="F324" s="74"/>
      <c r="G324" s="74"/>
      <c r="H324" s="74"/>
    </row>
    <row r="325" spans="5:8" x14ac:dyDescent="0.3">
      <c r="E325" s="74"/>
      <c r="F325" s="74"/>
      <c r="G325" s="74"/>
      <c r="H325" s="74"/>
    </row>
    <row r="326" spans="5:8" x14ac:dyDescent="0.3">
      <c r="E326" s="74"/>
      <c r="F326" s="74"/>
      <c r="G326" s="74"/>
      <c r="H326" s="74"/>
    </row>
    <row r="327" spans="5:8" x14ac:dyDescent="0.3">
      <c r="E327" s="74"/>
      <c r="F327" s="74"/>
      <c r="G327" s="74"/>
      <c r="H327" s="74"/>
    </row>
    <row r="328" spans="5:8" x14ac:dyDescent="0.3">
      <c r="E328" s="74"/>
      <c r="F328" s="74"/>
      <c r="G328" s="74"/>
      <c r="H328" s="74"/>
    </row>
    <row r="329" spans="5:8" x14ac:dyDescent="0.3">
      <c r="E329" s="74"/>
      <c r="F329" s="74"/>
      <c r="G329" s="74"/>
      <c r="H329" s="74"/>
    </row>
    <row r="330" spans="5:8" x14ac:dyDescent="0.3">
      <c r="E330" s="74"/>
      <c r="F330" s="74"/>
      <c r="G330" s="74"/>
      <c r="H330" s="74"/>
    </row>
    <row r="331" spans="5:8" x14ac:dyDescent="0.3">
      <c r="E331" s="74"/>
      <c r="F331" s="74"/>
      <c r="G331" s="74"/>
      <c r="H331" s="74"/>
    </row>
    <row r="332" spans="5:8" x14ac:dyDescent="0.3">
      <c r="E332" s="74"/>
      <c r="F332" s="74"/>
      <c r="G332" s="74"/>
      <c r="H332" s="74"/>
    </row>
    <row r="333" spans="5:8" x14ac:dyDescent="0.3">
      <c r="E333" s="74"/>
      <c r="F333" s="74"/>
      <c r="G333" s="74"/>
      <c r="H333" s="74"/>
    </row>
    <row r="334" spans="5:8" x14ac:dyDescent="0.3">
      <c r="E334" s="74"/>
      <c r="F334" s="74"/>
      <c r="G334" s="74"/>
      <c r="H334" s="74"/>
    </row>
    <row r="335" spans="5:8" x14ac:dyDescent="0.3">
      <c r="E335" s="74"/>
      <c r="F335" s="74"/>
      <c r="G335" s="74"/>
      <c r="H335" s="74"/>
    </row>
    <row r="336" spans="5:8" x14ac:dyDescent="0.3">
      <c r="E336" s="74"/>
      <c r="F336" s="74"/>
      <c r="G336" s="74"/>
      <c r="H336" s="74"/>
    </row>
    <row r="337" spans="5:8" x14ac:dyDescent="0.3">
      <c r="E337" s="74"/>
      <c r="F337" s="74"/>
      <c r="G337" s="74"/>
      <c r="H337" s="74"/>
    </row>
    <row r="338" spans="5:8" x14ac:dyDescent="0.3">
      <c r="E338" s="74"/>
      <c r="F338" s="74"/>
      <c r="G338" s="74"/>
      <c r="H338" s="74"/>
    </row>
    <row r="339" spans="5:8" x14ac:dyDescent="0.3">
      <c r="E339" s="74"/>
      <c r="F339" s="74"/>
      <c r="G339" s="74"/>
      <c r="H339" s="74"/>
    </row>
    <row r="340" spans="5:8" x14ac:dyDescent="0.3">
      <c r="E340" s="74"/>
      <c r="F340" s="74"/>
      <c r="G340" s="74"/>
      <c r="H340" s="74"/>
    </row>
    <row r="341" spans="5:8" x14ac:dyDescent="0.3">
      <c r="E341" s="74"/>
      <c r="F341" s="74"/>
      <c r="G341" s="74"/>
      <c r="H341" s="74"/>
    </row>
    <row r="342" spans="5:8" x14ac:dyDescent="0.3">
      <c r="E342" s="74"/>
      <c r="F342" s="74"/>
      <c r="G342" s="74"/>
      <c r="H342" s="74"/>
    </row>
    <row r="343" spans="5:8" x14ac:dyDescent="0.3">
      <c r="E343" s="74"/>
      <c r="F343" s="74"/>
      <c r="G343" s="74"/>
      <c r="H343" s="74"/>
    </row>
    <row r="344" spans="5:8" x14ac:dyDescent="0.3">
      <c r="E344" s="74"/>
      <c r="F344" s="74"/>
      <c r="G344" s="74"/>
      <c r="H344" s="74"/>
    </row>
    <row r="345" spans="5:8" x14ac:dyDescent="0.3">
      <c r="E345" s="74"/>
      <c r="F345" s="74"/>
      <c r="G345" s="74"/>
      <c r="H345" s="74"/>
    </row>
    <row r="346" spans="5:8" x14ac:dyDescent="0.3">
      <c r="E346" s="74"/>
      <c r="F346" s="74"/>
      <c r="G346" s="74"/>
      <c r="H346" s="74"/>
    </row>
    <row r="347" spans="5:8" x14ac:dyDescent="0.3">
      <c r="E347" s="74"/>
      <c r="F347" s="74"/>
      <c r="G347" s="74"/>
      <c r="H347" s="74"/>
    </row>
    <row r="348" spans="5:8" x14ac:dyDescent="0.3">
      <c r="E348" s="74"/>
      <c r="F348" s="74"/>
      <c r="G348" s="74"/>
      <c r="H348" s="74"/>
    </row>
    <row r="349" spans="5:8" x14ac:dyDescent="0.3">
      <c r="E349" s="74"/>
      <c r="F349" s="74"/>
      <c r="G349" s="74"/>
      <c r="H349" s="74"/>
    </row>
    <row r="350" spans="5:8" x14ac:dyDescent="0.3">
      <c r="E350" s="74"/>
      <c r="F350" s="74"/>
      <c r="G350" s="74"/>
      <c r="H350" s="74"/>
    </row>
    <row r="351" spans="5:8" x14ac:dyDescent="0.3">
      <c r="E351" s="74"/>
      <c r="F351" s="74"/>
      <c r="G351" s="74"/>
      <c r="H351" s="74"/>
    </row>
    <row r="352" spans="5:8" x14ac:dyDescent="0.3">
      <c r="E352" s="74"/>
      <c r="F352" s="74"/>
      <c r="G352" s="74"/>
      <c r="H352" s="74"/>
    </row>
    <row r="353" spans="5:8" x14ac:dyDescent="0.3">
      <c r="E353" s="74"/>
      <c r="F353" s="74"/>
      <c r="G353" s="74"/>
      <c r="H353" s="74"/>
    </row>
    <row r="354" spans="5:8" x14ac:dyDescent="0.3">
      <c r="E354" s="74"/>
      <c r="F354" s="74"/>
      <c r="G354" s="74"/>
      <c r="H354" s="74"/>
    </row>
  </sheetData>
  <autoFilter ref="A9:K284"/>
  <mergeCells count="1">
    <mergeCell ref="A2:G3"/>
  </mergeCells>
  <pageMargins left="0.7" right="0.7" top="0.75" bottom="0.75" header="0.3" footer="0.3"/>
  <legacy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64"/>
  <sheetViews>
    <sheetView zoomScale="80" zoomScaleNormal="80" workbookViewId="0">
      <selection activeCell="J260" sqref="J260"/>
    </sheetView>
  </sheetViews>
  <sheetFormatPr defaultRowHeight="15.6" x14ac:dyDescent="0.3"/>
  <cols>
    <col min="1" max="1" width="20.88671875" customWidth="1"/>
    <col min="2" max="2" width="26.33203125" customWidth="1"/>
    <col min="3" max="3" width="14.44140625" customWidth="1"/>
    <col min="4" max="4" width="21.33203125" customWidth="1"/>
    <col min="5" max="5" width="12.21875" customWidth="1"/>
    <col min="6" max="6" width="20" customWidth="1"/>
    <col min="7" max="7" width="19.33203125" style="17" customWidth="1"/>
    <col min="8" max="8" width="12.44140625" customWidth="1"/>
    <col min="9" max="9" width="9" customWidth="1"/>
    <col min="10" max="10" width="15.6640625" customWidth="1"/>
    <col min="11" max="11" width="18.21875" style="63" customWidth="1"/>
    <col min="12" max="12" width="14.109375" customWidth="1"/>
    <col min="13" max="14" width="17.109375" bestFit="1" customWidth="1"/>
    <col min="15" max="15" width="14.44140625" bestFit="1" customWidth="1"/>
  </cols>
  <sheetData>
    <row r="1" spans="1:18" ht="25.8" x14ac:dyDescent="0.5">
      <c r="A1" s="428" t="s">
        <v>3492</v>
      </c>
    </row>
    <row r="3" spans="1:18" ht="158.4" x14ac:dyDescent="0.3">
      <c r="A3" s="72" t="s">
        <v>3493</v>
      </c>
      <c r="B3" s="72"/>
      <c r="C3" s="72" t="s">
        <v>3279</v>
      </c>
      <c r="D3" s="72"/>
      <c r="E3" s="72"/>
      <c r="F3" s="72"/>
      <c r="G3" s="72" t="s">
        <v>3494</v>
      </c>
      <c r="H3" s="72"/>
      <c r="I3" s="72"/>
      <c r="J3" s="429"/>
      <c r="K3" s="1194" t="s">
        <v>3495</v>
      </c>
      <c r="L3" s="1194" t="s">
        <v>3496</v>
      </c>
      <c r="M3" s="1194" t="s">
        <v>3497</v>
      </c>
      <c r="N3" s="1194" t="s">
        <v>3498</v>
      </c>
    </row>
    <row r="4" spans="1:18" ht="28.8" x14ac:dyDescent="0.3">
      <c r="A4" s="72" t="s">
        <v>975</v>
      </c>
      <c r="B4" s="72" t="s">
        <v>3499</v>
      </c>
      <c r="C4" s="72" t="s">
        <v>3500</v>
      </c>
      <c r="D4" s="72" t="s">
        <v>3501</v>
      </c>
      <c r="E4" s="72" t="s">
        <v>3502</v>
      </c>
      <c r="F4" s="72" t="s">
        <v>765</v>
      </c>
      <c r="G4" s="72" t="s">
        <v>3503</v>
      </c>
      <c r="H4" s="72" t="s">
        <v>3504</v>
      </c>
      <c r="I4" s="72" t="s">
        <v>3502</v>
      </c>
      <c r="J4" s="429" t="s">
        <v>2690</v>
      </c>
      <c r="K4" s="1194"/>
      <c r="L4" s="1194"/>
      <c r="M4" s="1194"/>
      <c r="N4" s="1194"/>
    </row>
    <row r="5" spans="1:18" x14ac:dyDescent="0.3">
      <c r="A5" t="s">
        <v>976</v>
      </c>
      <c r="B5" t="s">
        <v>89</v>
      </c>
      <c r="C5" s="352">
        <v>-18300</v>
      </c>
      <c r="D5" s="352"/>
      <c r="E5" s="352"/>
      <c r="F5" s="352">
        <v>-18300</v>
      </c>
      <c r="G5" s="430">
        <v>227468.99999999997</v>
      </c>
      <c r="H5" s="352">
        <v>0</v>
      </c>
      <c r="I5" s="352">
        <v>0</v>
      </c>
      <c r="J5" s="352">
        <v>227468.99999999997</v>
      </c>
      <c r="K5" s="352">
        <v>0</v>
      </c>
      <c r="L5" s="352">
        <v>5229106.7231355822</v>
      </c>
      <c r="M5" s="352">
        <v>5456575.7231355822</v>
      </c>
      <c r="N5" s="352">
        <v>5229106.7231355822</v>
      </c>
    </row>
    <row r="6" spans="1:18" x14ac:dyDescent="0.3">
      <c r="A6" t="s">
        <v>976</v>
      </c>
      <c r="B6" t="s">
        <v>3505</v>
      </c>
      <c r="C6" s="352">
        <v>-26600</v>
      </c>
      <c r="D6" s="352"/>
      <c r="E6" s="352"/>
      <c r="F6" s="352">
        <v>-26600</v>
      </c>
      <c r="G6" s="430">
        <v>330637.99999999994</v>
      </c>
      <c r="H6" s="352">
        <v>0</v>
      </c>
      <c r="I6" s="352">
        <v>0</v>
      </c>
      <c r="J6" s="352">
        <v>330637.99999999994</v>
      </c>
      <c r="K6" s="352">
        <v>0</v>
      </c>
      <c r="L6" s="352">
        <v>0</v>
      </c>
      <c r="M6" s="352">
        <v>330637.99999999994</v>
      </c>
      <c r="N6" s="352">
        <v>0</v>
      </c>
    </row>
    <row r="7" spans="1:18" x14ac:dyDescent="0.3">
      <c r="A7" t="s">
        <v>976</v>
      </c>
      <c r="B7" t="s">
        <v>3506</v>
      </c>
      <c r="C7" s="352">
        <v>-2500</v>
      </c>
      <c r="D7" s="352"/>
      <c r="E7" s="352"/>
      <c r="F7" s="352">
        <v>-2500</v>
      </c>
      <c r="G7" s="430">
        <v>31074.999999999996</v>
      </c>
      <c r="H7" s="352">
        <v>0</v>
      </c>
      <c r="I7" s="352">
        <v>0</v>
      </c>
      <c r="J7" s="352">
        <v>31074.999999999996</v>
      </c>
      <c r="K7" s="352">
        <v>0</v>
      </c>
      <c r="L7" s="352">
        <v>0</v>
      </c>
      <c r="M7" s="352">
        <v>31074.999999999996</v>
      </c>
      <c r="N7" s="352">
        <v>0</v>
      </c>
      <c r="P7" s="431"/>
      <c r="Q7" s="431"/>
      <c r="R7" s="431"/>
    </row>
    <row r="8" spans="1:18" x14ac:dyDescent="0.3">
      <c r="A8" t="s">
        <v>976</v>
      </c>
      <c r="B8" t="s">
        <v>3507</v>
      </c>
      <c r="C8" s="352">
        <v>-6400</v>
      </c>
      <c r="D8" s="352"/>
      <c r="E8" s="352"/>
      <c r="F8" s="352">
        <v>-6400</v>
      </c>
      <c r="G8" s="430">
        <v>79551.999999999985</v>
      </c>
      <c r="H8" s="352">
        <v>0</v>
      </c>
      <c r="I8" s="352">
        <v>0</v>
      </c>
      <c r="J8" s="352">
        <v>79551.999999999985</v>
      </c>
      <c r="K8" s="352">
        <v>0</v>
      </c>
      <c r="L8" s="352">
        <v>0</v>
      </c>
      <c r="M8" s="352">
        <v>79551.999999999985</v>
      </c>
      <c r="N8" s="352">
        <v>0</v>
      </c>
      <c r="P8" s="431"/>
      <c r="Q8" s="431"/>
      <c r="R8" s="431"/>
    </row>
    <row r="9" spans="1:18" x14ac:dyDescent="0.3">
      <c r="A9" t="s">
        <v>976</v>
      </c>
      <c r="B9" t="s">
        <v>3508</v>
      </c>
      <c r="C9" s="352">
        <v>-2500</v>
      </c>
      <c r="D9" s="352"/>
      <c r="E9" s="352"/>
      <c r="F9" s="352">
        <v>-2500</v>
      </c>
      <c r="G9" s="430">
        <v>31074.999999999996</v>
      </c>
      <c r="H9" s="352">
        <v>0</v>
      </c>
      <c r="I9" s="352">
        <v>0</v>
      </c>
      <c r="J9" s="352">
        <v>31074.999999999996</v>
      </c>
      <c r="K9" s="352">
        <v>0</v>
      </c>
      <c r="L9" s="352">
        <v>0</v>
      </c>
      <c r="M9" s="352">
        <v>31074.999999999996</v>
      </c>
      <c r="N9" s="352">
        <v>0</v>
      </c>
      <c r="P9" s="431"/>
      <c r="Q9" s="431"/>
      <c r="R9" s="431"/>
    </row>
    <row r="10" spans="1:18" x14ac:dyDescent="0.3">
      <c r="A10" t="s">
        <v>976</v>
      </c>
      <c r="B10" t="s">
        <v>3509</v>
      </c>
      <c r="C10" s="352">
        <v>-5000</v>
      </c>
      <c r="D10" s="352"/>
      <c r="E10" s="352"/>
      <c r="F10" s="352">
        <v>-5000</v>
      </c>
      <c r="G10" s="430">
        <v>62149.999999999993</v>
      </c>
      <c r="H10" s="352">
        <v>0</v>
      </c>
      <c r="I10" s="352">
        <v>0</v>
      </c>
      <c r="J10" s="352">
        <v>62149.999999999993</v>
      </c>
      <c r="K10" s="352">
        <v>0</v>
      </c>
      <c r="L10" s="352">
        <v>0</v>
      </c>
      <c r="M10" s="352">
        <v>62149.999999999993</v>
      </c>
      <c r="N10" s="352">
        <v>0</v>
      </c>
      <c r="O10" s="2"/>
      <c r="P10" s="431"/>
      <c r="Q10" s="431"/>
      <c r="R10" s="431"/>
    </row>
    <row r="11" spans="1:18" x14ac:dyDescent="0.3">
      <c r="A11" t="s">
        <v>976</v>
      </c>
      <c r="B11" t="s">
        <v>3510</v>
      </c>
      <c r="C11" s="352">
        <v>-2500</v>
      </c>
      <c r="D11" s="352"/>
      <c r="E11" s="352"/>
      <c r="F11" s="352">
        <v>-2500</v>
      </c>
      <c r="G11" s="430">
        <v>31074.999999999996</v>
      </c>
      <c r="H11" s="352">
        <v>0</v>
      </c>
      <c r="I11" s="352">
        <v>0</v>
      </c>
      <c r="J11" s="352">
        <v>31074.999999999996</v>
      </c>
      <c r="K11" s="352">
        <v>0</v>
      </c>
      <c r="L11" s="352">
        <v>0</v>
      </c>
      <c r="M11" s="352">
        <v>31074.999999999996</v>
      </c>
      <c r="N11" s="352">
        <v>0</v>
      </c>
      <c r="P11" s="179"/>
      <c r="Q11" s="431"/>
      <c r="R11" s="431"/>
    </row>
    <row r="12" spans="1:18" x14ac:dyDescent="0.3">
      <c r="A12" t="s">
        <v>976</v>
      </c>
      <c r="B12" t="s">
        <v>3511</v>
      </c>
      <c r="C12" s="352">
        <v>-2600</v>
      </c>
      <c r="D12" s="352"/>
      <c r="E12" s="352"/>
      <c r="F12" s="352">
        <v>-2600</v>
      </c>
      <c r="G12" s="430">
        <v>32317.999999999996</v>
      </c>
      <c r="H12" s="352">
        <v>0</v>
      </c>
      <c r="I12" s="352">
        <v>0</v>
      </c>
      <c r="J12" s="352">
        <v>32317.999999999996</v>
      </c>
      <c r="K12" s="352">
        <v>0</v>
      </c>
      <c r="L12" s="352">
        <v>0</v>
      </c>
      <c r="M12" s="352">
        <v>32317.999999999996</v>
      </c>
      <c r="N12" s="352">
        <v>0</v>
      </c>
      <c r="P12" s="179"/>
      <c r="Q12" s="431"/>
      <c r="R12" s="431"/>
    </row>
    <row r="13" spans="1:18" x14ac:dyDescent="0.3">
      <c r="A13" t="s">
        <v>976</v>
      </c>
      <c r="B13" t="s">
        <v>3512</v>
      </c>
      <c r="C13" s="352"/>
      <c r="D13" s="352"/>
      <c r="E13" s="352"/>
      <c r="F13" s="352"/>
      <c r="G13" s="430"/>
      <c r="H13" s="352"/>
      <c r="I13" s="352"/>
      <c r="J13" s="352"/>
      <c r="K13" s="352">
        <v>143451</v>
      </c>
      <c r="L13" s="352">
        <v>0</v>
      </c>
      <c r="M13" s="352">
        <v>143451</v>
      </c>
      <c r="N13" s="352">
        <v>143451</v>
      </c>
      <c r="P13" s="431"/>
      <c r="Q13" s="431"/>
      <c r="R13" s="431"/>
    </row>
    <row r="14" spans="1:18" x14ac:dyDescent="0.3">
      <c r="A14" t="s">
        <v>976</v>
      </c>
      <c r="B14" t="s">
        <v>111</v>
      </c>
      <c r="C14" s="352"/>
      <c r="D14" s="352"/>
      <c r="E14" s="432"/>
      <c r="F14" s="352"/>
      <c r="G14" s="430"/>
      <c r="H14" s="352"/>
      <c r="I14" s="352"/>
      <c r="J14" s="352"/>
      <c r="K14" s="352"/>
      <c r="L14" s="352">
        <v>464286.48073666997</v>
      </c>
      <c r="M14" s="352">
        <v>464286.48073666997</v>
      </c>
      <c r="N14" s="352">
        <v>464286.48073666997</v>
      </c>
      <c r="P14" s="179"/>
      <c r="Q14" s="431"/>
      <c r="R14" s="431"/>
    </row>
    <row r="15" spans="1:18" x14ac:dyDescent="0.3">
      <c r="A15" t="s">
        <v>976</v>
      </c>
      <c r="B15" t="s">
        <v>91</v>
      </c>
      <c r="C15" s="352"/>
      <c r="D15" s="352"/>
      <c r="E15" s="352"/>
      <c r="F15" s="352"/>
      <c r="G15" s="430"/>
      <c r="H15" s="352"/>
      <c r="I15" s="352"/>
      <c r="J15" s="352"/>
      <c r="K15" s="352"/>
      <c r="L15" s="352">
        <v>1037690.9822916355</v>
      </c>
      <c r="M15" s="352">
        <v>1037690.9822916355</v>
      </c>
      <c r="N15" s="352">
        <v>1037690.9822916355</v>
      </c>
      <c r="P15" s="179"/>
      <c r="Q15" s="431"/>
      <c r="R15" s="431"/>
    </row>
    <row r="16" spans="1:18" x14ac:dyDescent="0.3">
      <c r="A16" t="s">
        <v>978</v>
      </c>
      <c r="C16" s="352">
        <v>-66400</v>
      </c>
      <c r="D16" s="352"/>
      <c r="E16" s="352"/>
      <c r="F16" s="352">
        <v>-66400</v>
      </c>
      <c r="G16" s="430">
        <v>825351.99999999988</v>
      </c>
      <c r="H16" s="352">
        <v>0</v>
      </c>
      <c r="I16" s="352">
        <v>0</v>
      </c>
      <c r="J16" s="352">
        <v>825351.99999999988</v>
      </c>
      <c r="K16" s="352">
        <v>143451</v>
      </c>
      <c r="L16" s="352">
        <v>6731084.1861638883</v>
      </c>
      <c r="M16" s="352">
        <v>7699887.1861638883</v>
      </c>
      <c r="N16" s="352">
        <v>6874535.1861638883</v>
      </c>
      <c r="P16" s="179"/>
      <c r="Q16" s="431"/>
      <c r="R16" s="431"/>
    </row>
    <row r="17" spans="1:18" x14ac:dyDescent="0.3">
      <c r="A17" t="s">
        <v>979</v>
      </c>
      <c r="B17" t="s">
        <v>92</v>
      </c>
      <c r="C17" s="352"/>
      <c r="D17" s="352"/>
      <c r="E17" s="352"/>
      <c r="F17" s="352"/>
      <c r="G17" s="430"/>
      <c r="H17" s="352"/>
      <c r="I17" s="352"/>
      <c r="J17" s="352"/>
      <c r="K17" s="352"/>
      <c r="L17" s="352">
        <v>1861425.0610179852</v>
      </c>
      <c r="M17" s="352">
        <v>1861425.0610179852</v>
      </c>
      <c r="N17" s="352">
        <v>1861425.0610179852</v>
      </c>
      <c r="O17" s="2"/>
      <c r="P17" s="431"/>
      <c r="Q17" s="431"/>
      <c r="R17" s="431"/>
    </row>
    <row r="18" spans="1:18" x14ac:dyDescent="0.3">
      <c r="A18" t="s">
        <v>979</v>
      </c>
      <c r="B18" t="s">
        <v>90</v>
      </c>
      <c r="C18" s="352"/>
      <c r="D18" s="352"/>
      <c r="E18" s="352"/>
      <c r="F18" s="352"/>
      <c r="G18" s="430"/>
      <c r="H18" s="352"/>
      <c r="I18" s="352"/>
      <c r="J18" s="352"/>
      <c r="K18" s="352"/>
      <c r="L18" s="352">
        <v>556287.9492697427</v>
      </c>
      <c r="M18" s="352">
        <v>556287.9492697427</v>
      </c>
      <c r="N18" s="352">
        <v>556287.9492697427</v>
      </c>
    </row>
    <row r="19" spans="1:18" x14ac:dyDescent="0.3">
      <c r="A19" s="433" t="s">
        <v>980</v>
      </c>
      <c r="B19" s="433" t="s">
        <v>154</v>
      </c>
      <c r="C19" s="434"/>
      <c r="D19" s="434"/>
      <c r="E19" s="434"/>
      <c r="F19" s="434"/>
      <c r="G19" s="434"/>
      <c r="H19" s="434"/>
      <c r="I19" s="434"/>
      <c r="J19" s="435"/>
      <c r="K19" s="434"/>
      <c r="L19" s="434">
        <v>2417713.0102877282</v>
      </c>
      <c r="M19" s="434">
        <v>2417713.0102877282</v>
      </c>
      <c r="N19" s="434">
        <v>2417713.0102877282</v>
      </c>
    </row>
    <row r="20" spans="1:18" x14ac:dyDescent="0.3">
      <c r="A20" t="s">
        <v>981</v>
      </c>
      <c r="B20" t="s">
        <v>983</v>
      </c>
      <c r="C20" s="352"/>
      <c r="D20" s="352"/>
      <c r="E20" s="352"/>
      <c r="F20" s="352"/>
      <c r="G20" s="430"/>
      <c r="H20" s="352"/>
      <c r="I20" s="352"/>
      <c r="J20" s="352"/>
      <c r="K20" s="352"/>
      <c r="L20" s="352">
        <v>834431.92390461429</v>
      </c>
      <c r="M20" s="352">
        <v>834431.92390461429</v>
      </c>
      <c r="N20" s="352">
        <v>834431.92390461429</v>
      </c>
    </row>
    <row r="21" spans="1:18" x14ac:dyDescent="0.3">
      <c r="A21" t="s">
        <v>981</v>
      </c>
      <c r="B21" t="s">
        <v>962</v>
      </c>
      <c r="C21" s="352"/>
      <c r="D21" s="352"/>
      <c r="E21" s="352"/>
      <c r="F21" s="352"/>
      <c r="G21" s="430"/>
      <c r="H21" s="352"/>
      <c r="I21" s="352"/>
      <c r="J21" s="352"/>
      <c r="K21" s="352">
        <v>116424</v>
      </c>
      <c r="L21" s="352">
        <v>970385.7223898418</v>
      </c>
      <c r="M21" s="352">
        <v>1086809.7223898419</v>
      </c>
      <c r="N21" s="352">
        <v>1086809.7223898419</v>
      </c>
    </row>
    <row r="22" spans="1:18" x14ac:dyDescent="0.3">
      <c r="A22" t="s">
        <v>981</v>
      </c>
      <c r="B22" t="s">
        <v>3513</v>
      </c>
      <c r="C22" s="352">
        <v>-17900</v>
      </c>
      <c r="D22" s="352"/>
      <c r="E22" s="352"/>
      <c r="F22" s="352">
        <v>-17900</v>
      </c>
      <c r="G22" s="430">
        <v>222496.99999999997</v>
      </c>
      <c r="H22" s="352">
        <v>0</v>
      </c>
      <c r="I22" s="352">
        <v>0</v>
      </c>
      <c r="J22" s="352">
        <v>222496.99999999997</v>
      </c>
      <c r="K22" s="352">
        <v>116424</v>
      </c>
      <c r="L22" s="352">
        <v>0</v>
      </c>
      <c r="M22" s="352">
        <v>338921</v>
      </c>
      <c r="N22" s="352">
        <v>116424</v>
      </c>
    </row>
    <row r="23" spans="1:18" x14ac:dyDescent="0.3">
      <c r="A23" t="s">
        <v>981</v>
      </c>
      <c r="B23" t="s">
        <v>3514</v>
      </c>
      <c r="C23" s="352">
        <v>-4100</v>
      </c>
      <c r="D23" s="352"/>
      <c r="E23" s="352"/>
      <c r="F23" s="352">
        <v>-4100</v>
      </c>
      <c r="G23" s="430">
        <v>50962.999999999993</v>
      </c>
      <c r="H23" s="352">
        <v>0</v>
      </c>
      <c r="I23" s="352">
        <v>0</v>
      </c>
      <c r="J23" s="352">
        <v>50962.999999999993</v>
      </c>
      <c r="K23" s="352">
        <v>54054</v>
      </c>
      <c r="L23" s="352">
        <v>0</v>
      </c>
      <c r="M23" s="352">
        <v>105017</v>
      </c>
      <c r="N23" s="352">
        <v>54054</v>
      </c>
    </row>
    <row r="24" spans="1:18" x14ac:dyDescent="0.3">
      <c r="A24" t="s">
        <v>981</v>
      </c>
      <c r="B24" t="s">
        <v>3515</v>
      </c>
      <c r="C24" s="352">
        <v>-14700</v>
      </c>
      <c r="D24" s="352"/>
      <c r="E24" s="352"/>
      <c r="F24" s="352">
        <v>-14700</v>
      </c>
      <c r="G24" s="430">
        <v>182720.99999999997</v>
      </c>
      <c r="H24" s="352">
        <v>0</v>
      </c>
      <c r="I24" s="352">
        <v>0</v>
      </c>
      <c r="J24" s="352">
        <v>182720.99999999997</v>
      </c>
      <c r="K24" s="352">
        <v>0</v>
      </c>
      <c r="L24" s="352">
        <v>0</v>
      </c>
      <c r="M24" s="352">
        <v>182720.99999999997</v>
      </c>
      <c r="N24" s="352">
        <v>0</v>
      </c>
    </row>
    <row r="25" spans="1:18" x14ac:dyDescent="0.3">
      <c r="A25" t="s">
        <v>981</v>
      </c>
      <c r="B25" t="s">
        <v>3516</v>
      </c>
      <c r="C25" s="352">
        <v>-81900</v>
      </c>
      <c r="D25" s="352"/>
      <c r="E25" s="352"/>
      <c r="F25" s="352">
        <v>-81900</v>
      </c>
      <c r="G25" s="430">
        <v>1018016.9999999999</v>
      </c>
      <c r="H25" s="352">
        <v>0</v>
      </c>
      <c r="I25" s="352">
        <v>0</v>
      </c>
      <c r="J25" s="352">
        <v>1018016.9999999999</v>
      </c>
      <c r="K25" s="352">
        <v>0</v>
      </c>
      <c r="L25" s="352">
        <v>0</v>
      </c>
      <c r="M25" s="352">
        <v>1018016.9999999999</v>
      </c>
      <c r="N25" s="352">
        <v>0</v>
      </c>
      <c r="O25" s="2"/>
    </row>
    <row r="26" spans="1:18" x14ac:dyDescent="0.3">
      <c r="A26" s="433" t="s">
        <v>985</v>
      </c>
      <c r="B26" s="433"/>
      <c r="C26" s="434">
        <v>-118600</v>
      </c>
      <c r="D26" s="434"/>
      <c r="E26" s="434"/>
      <c r="F26" s="434">
        <v>-118600</v>
      </c>
      <c r="G26" s="434">
        <v>1474197.9999999998</v>
      </c>
      <c r="H26" s="434">
        <v>0</v>
      </c>
      <c r="I26" s="434">
        <v>0</v>
      </c>
      <c r="J26" s="435">
        <v>1474197.9999999998</v>
      </c>
      <c r="K26" s="434">
        <v>286902</v>
      </c>
      <c r="L26" s="434">
        <v>1804817.646294456</v>
      </c>
      <c r="M26" s="434">
        <v>3565917.646294456</v>
      </c>
      <c r="N26" s="434">
        <v>2091719.646294456</v>
      </c>
    </row>
    <row r="27" spans="1:18" hidden="1" x14ac:dyDescent="0.3">
      <c r="A27" t="s">
        <v>986</v>
      </c>
      <c r="B27" t="s">
        <v>987</v>
      </c>
      <c r="C27" s="352"/>
      <c r="D27" s="352"/>
      <c r="E27" s="352"/>
      <c r="F27" s="352"/>
      <c r="G27" s="430"/>
      <c r="H27" s="352"/>
      <c r="I27" s="352"/>
      <c r="J27" s="352"/>
      <c r="K27" s="352"/>
      <c r="L27" s="352">
        <v>1133971.588896014</v>
      </c>
      <c r="M27" s="352">
        <v>1133971.588896014</v>
      </c>
      <c r="N27" s="352">
        <v>1133971.588896014</v>
      </c>
    </row>
    <row r="28" spans="1:18" x14ac:dyDescent="0.3">
      <c r="A28" t="s">
        <v>986</v>
      </c>
      <c r="B28" t="s">
        <v>957</v>
      </c>
      <c r="C28" s="352"/>
      <c r="D28" s="352"/>
      <c r="E28" s="352"/>
      <c r="F28" s="352"/>
      <c r="G28" s="430"/>
      <c r="H28" s="352"/>
      <c r="I28" s="352"/>
      <c r="J28" s="352"/>
      <c r="K28" s="352"/>
      <c r="L28" s="352">
        <v>64187.071069585698</v>
      </c>
      <c r="M28" s="352">
        <v>64187.071069585698</v>
      </c>
      <c r="N28" s="352">
        <v>64187.071069585698</v>
      </c>
    </row>
    <row r="29" spans="1:18" x14ac:dyDescent="0.3">
      <c r="A29" t="s">
        <v>986</v>
      </c>
      <c r="B29" t="s">
        <v>988</v>
      </c>
      <c r="C29" s="352"/>
      <c r="D29" s="352"/>
      <c r="E29" s="352"/>
      <c r="F29" s="352"/>
      <c r="G29" s="430"/>
      <c r="H29" s="352"/>
      <c r="I29" s="352"/>
      <c r="J29" s="352"/>
      <c r="K29" s="352"/>
      <c r="L29" s="352">
        <v>145490.69442439423</v>
      </c>
      <c r="M29" s="352">
        <v>145490.69442439423</v>
      </c>
      <c r="N29" s="352">
        <v>145490.69442439423</v>
      </c>
    </row>
    <row r="30" spans="1:18" x14ac:dyDescent="0.3">
      <c r="A30" s="433" t="s">
        <v>989</v>
      </c>
      <c r="B30" s="433"/>
      <c r="C30" s="434"/>
      <c r="D30" s="434"/>
      <c r="E30" s="434"/>
      <c r="F30" s="434"/>
      <c r="G30" s="434"/>
      <c r="H30" s="434"/>
      <c r="I30" s="434"/>
      <c r="J30" s="435"/>
      <c r="K30" s="434"/>
      <c r="L30" s="434">
        <v>1343649.3543899939</v>
      </c>
      <c r="M30" s="434">
        <v>1343649.3543899939</v>
      </c>
      <c r="N30" s="434">
        <v>1343649.3543899939</v>
      </c>
    </row>
    <row r="31" spans="1:18" x14ac:dyDescent="0.3">
      <c r="A31" t="s">
        <v>990</v>
      </c>
      <c r="B31" t="s">
        <v>3517</v>
      </c>
      <c r="C31" s="352">
        <v>-9800</v>
      </c>
      <c r="D31" s="352"/>
      <c r="E31" s="352"/>
      <c r="F31" s="352">
        <v>-9800</v>
      </c>
      <c r="G31" s="430">
        <v>121813.99999999999</v>
      </c>
      <c r="H31" s="352">
        <v>0</v>
      </c>
      <c r="I31" s="352">
        <v>0</v>
      </c>
      <c r="J31" s="352">
        <v>121813.99999999999</v>
      </c>
      <c r="K31" s="352">
        <v>0</v>
      </c>
      <c r="L31" s="352">
        <v>0</v>
      </c>
      <c r="M31" s="352">
        <v>121813.99999999999</v>
      </c>
      <c r="N31" s="352">
        <v>0</v>
      </c>
    </row>
    <row r="32" spans="1:18" x14ac:dyDescent="0.3">
      <c r="A32" t="s">
        <v>990</v>
      </c>
      <c r="B32" t="s">
        <v>992</v>
      </c>
      <c r="C32" s="352">
        <v>-8100</v>
      </c>
      <c r="D32" s="352"/>
      <c r="E32" s="352"/>
      <c r="F32" s="352">
        <v>-8100</v>
      </c>
      <c r="G32" s="430">
        <v>100682.99999999999</v>
      </c>
      <c r="H32" s="352">
        <v>0</v>
      </c>
      <c r="I32" s="352">
        <v>0</v>
      </c>
      <c r="J32" s="352">
        <v>100682.99999999999</v>
      </c>
      <c r="K32" s="352">
        <v>5544</v>
      </c>
      <c r="L32" s="352">
        <v>1861425.0610179852</v>
      </c>
      <c r="M32" s="352">
        <v>1967652.0610179852</v>
      </c>
      <c r="N32" s="352">
        <v>1866969.0610179852</v>
      </c>
    </row>
    <row r="33" spans="1:15" x14ac:dyDescent="0.3">
      <c r="A33" t="s">
        <v>990</v>
      </c>
      <c r="B33" t="s">
        <v>3518</v>
      </c>
      <c r="C33" s="352">
        <v>-8100</v>
      </c>
      <c r="D33" s="352"/>
      <c r="E33" s="352"/>
      <c r="F33" s="352">
        <v>-8100</v>
      </c>
      <c r="G33" s="430">
        <v>100682.99999999999</v>
      </c>
      <c r="H33" s="352">
        <v>0</v>
      </c>
      <c r="I33" s="352">
        <v>0</v>
      </c>
      <c r="J33" s="352">
        <v>100682.99999999999</v>
      </c>
      <c r="K33" s="352">
        <v>5544</v>
      </c>
      <c r="L33" s="352">
        <v>0</v>
      </c>
      <c r="M33" s="352">
        <v>106226.99999999999</v>
      </c>
      <c r="N33" s="352">
        <v>5544</v>
      </c>
    </row>
    <row r="34" spans="1:15" x14ac:dyDescent="0.3">
      <c r="A34" t="s">
        <v>990</v>
      </c>
      <c r="B34" t="s">
        <v>3519</v>
      </c>
      <c r="C34" s="352">
        <v>-38200</v>
      </c>
      <c r="D34" s="352"/>
      <c r="E34" s="352"/>
      <c r="F34" s="352">
        <v>-38200</v>
      </c>
      <c r="G34" s="430">
        <v>474825.99999999994</v>
      </c>
      <c r="H34" s="352">
        <v>0</v>
      </c>
      <c r="I34" s="352">
        <v>0</v>
      </c>
      <c r="J34" s="352">
        <v>474825.99999999994</v>
      </c>
      <c r="K34" s="352">
        <v>0</v>
      </c>
      <c r="L34" s="352">
        <v>0</v>
      </c>
      <c r="M34" s="352">
        <v>474825.99999999994</v>
      </c>
      <c r="N34" s="352">
        <v>0</v>
      </c>
      <c r="O34" s="2"/>
    </row>
    <row r="35" spans="1:15" x14ac:dyDescent="0.3">
      <c r="A35" t="s">
        <v>990</v>
      </c>
      <c r="B35" t="s">
        <v>951</v>
      </c>
      <c r="C35" s="352">
        <v>-45700</v>
      </c>
      <c r="D35" s="352"/>
      <c r="E35" s="352"/>
      <c r="F35" s="352">
        <v>-45700</v>
      </c>
      <c r="G35" s="430">
        <v>568051</v>
      </c>
      <c r="H35" s="352">
        <v>0</v>
      </c>
      <c r="I35" s="352">
        <v>0</v>
      </c>
      <c r="J35" s="352">
        <v>568051</v>
      </c>
      <c r="K35" s="352">
        <v>136831.6551724138</v>
      </c>
      <c r="L35" s="352">
        <v>21687852.197259095</v>
      </c>
      <c r="M35" s="352">
        <v>22392734.85243151</v>
      </c>
      <c r="N35" s="352">
        <v>21824683.85243151</v>
      </c>
    </row>
    <row r="36" spans="1:15" x14ac:dyDescent="0.3">
      <c r="A36" t="s">
        <v>990</v>
      </c>
      <c r="B36" t="s">
        <v>3520</v>
      </c>
      <c r="C36" s="352">
        <v>-104400</v>
      </c>
      <c r="D36" s="352"/>
      <c r="E36" s="352"/>
      <c r="F36" s="352">
        <v>-104400</v>
      </c>
      <c r="G36" s="430">
        <v>1297691.9999999998</v>
      </c>
      <c r="H36" s="352">
        <v>0</v>
      </c>
      <c r="I36" s="352">
        <v>0</v>
      </c>
      <c r="J36" s="352">
        <v>1297691.9999999998</v>
      </c>
      <c r="K36" s="352">
        <v>232848</v>
      </c>
      <c r="L36" s="352">
        <v>0</v>
      </c>
      <c r="M36" s="352">
        <v>1530539.9999999998</v>
      </c>
      <c r="N36" s="352">
        <v>232848</v>
      </c>
    </row>
    <row r="37" spans="1:15" x14ac:dyDescent="0.3">
      <c r="A37" t="s">
        <v>990</v>
      </c>
      <c r="B37" t="s">
        <v>995</v>
      </c>
      <c r="C37" s="352">
        <v>-4900</v>
      </c>
      <c r="D37" s="352"/>
      <c r="E37" s="352"/>
      <c r="F37" s="352">
        <v>-4900</v>
      </c>
      <c r="G37" s="430">
        <v>60906.999999999993</v>
      </c>
      <c r="H37" s="352">
        <v>0</v>
      </c>
      <c r="I37" s="352">
        <v>0</v>
      </c>
      <c r="J37" s="352">
        <v>60906.999999999993</v>
      </c>
      <c r="K37" s="352">
        <v>0</v>
      </c>
      <c r="L37" s="352">
        <v>192561.21320875711</v>
      </c>
      <c r="M37" s="352">
        <v>253468.21320875711</v>
      </c>
      <c r="N37" s="352">
        <v>192561.21320875711</v>
      </c>
    </row>
    <row r="38" spans="1:15" x14ac:dyDescent="0.3">
      <c r="A38" t="s">
        <v>990</v>
      </c>
      <c r="B38" t="s">
        <v>3521</v>
      </c>
      <c r="C38" s="352">
        <v>-24500</v>
      </c>
      <c r="D38" s="352"/>
      <c r="E38" s="352"/>
      <c r="F38" s="352">
        <v>-24500</v>
      </c>
      <c r="G38" s="430">
        <v>304535</v>
      </c>
      <c r="H38" s="352">
        <v>0</v>
      </c>
      <c r="I38" s="352">
        <v>0</v>
      </c>
      <c r="J38" s="352">
        <v>304535</v>
      </c>
      <c r="K38" s="352">
        <v>0</v>
      </c>
      <c r="L38" s="352">
        <v>0</v>
      </c>
      <c r="M38" s="352">
        <v>304535</v>
      </c>
      <c r="N38" s="352">
        <v>0</v>
      </c>
    </row>
    <row r="39" spans="1:15" x14ac:dyDescent="0.3">
      <c r="A39" t="s">
        <v>990</v>
      </c>
      <c r="B39" t="s">
        <v>3522</v>
      </c>
      <c r="C39" s="352">
        <v>-24500</v>
      </c>
      <c r="D39" s="352"/>
      <c r="E39" s="352"/>
      <c r="F39" s="352">
        <v>-24500</v>
      </c>
      <c r="G39" s="430">
        <v>304535</v>
      </c>
      <c r="H39" s="352">
        <v>0</v>
      </c>
      <c r="I39" s="352">
        <v>0</v>
      </c>
      <c r="J39" s="352">
        <v>304535</v>
      </c>
      <c r="K39" s="352">
        <v>0</v>
      </c>
      <c r="L39" s="352">
        <v>0</v>
      </c>
      <c r="M39" s="352">
        <v>304535</v>
      </c>
      <c r="N39" s="352">
        <v>0</v>
      </c>
    </row>
    <row r="40" spans="1:15" x14ac:dyDescent="0.3">
      <c r="A40" t="s">
        <v>990</v>
      </c>
      <c r="B40" t="s">
        <v>3523</v>
      </c>
      <c r="C40" s="352">
        <v>-7400</v>
      </c>
      <c r="D40" s="352"/>
      <c r="E40" s="352"/>
      <c r="F40" s="352">
        <v>-7400</v>
      </c>
      <c r="G40" s="430">
        <v>91981.999999999985</v>
      </c>
      <c r="H40" s="352">
        <v>0</v>
      </c>
      <c r="I40" s="352">
        <v>0</v>
      </c>
      <c r="J40" s="352">
        <v>91981.999999999985</v>
      </c>
      <c r="K40" s="352">
        <v>0</v>
      </c>
      <c r="L40" s="352">
        <v>0</v>
      </c>
      <c r="M40" s="352">
        <v>91981.999999999985</v>
      </c>
      <c r="N40" s="352">
        <v>0</v>
      </c>
      <c r="O40" s="2"/>
    </row>
    <row r="41" spans="1:15" x14ac:dyDescent="0.3">
      <c r="A41" t="s">
        <v>990</v>
      </c>
      <c r="B41" t="s">
        <v>3524</v>
      </c>
      <c r="C41" s="352">
        <v>-447500</v>
      </c>
      <c r="D41" s="352"/>
      <c r="E41" s="352"/>
      <c r="F41" s="352">
        <v>-447500</v>
      </c>
      <c r="G41" s="430">
        <v>5562424.9999999991</v>
      </c>
      <c r="H41" s="352">
        <v>0</v>
      </c>
      <c r="I41" s="352">
        <v>0</v>
      </c>
      <c r="J41" s="352">
        <v>5562424.9999999991</v>
      </c>
      <c r="K41" s="352">
        <v>1975050</v>
      </c>
      <c r="L41" s="352">
        <v>0</v>
      </c>
      <c r="M41" s="352">
        <v>7537474.9999999991</v>
      </c>
      <c r="N41" s="352">
        <v>1975050</v>
      </c>
    </row>
    <row r="42" spans="1:15" x14ac:dyDescent="0.3">
      <c r="A42" t="s">
        <v>990</v>
      </c>
      <c r="B42" t="s">
        <v>3525</v>
      </c>
      <c r="C42" s="352">
        <v>-4900</v>
      </c>
      <c r="D42" s="352"/>
      <c r="E42" s="352"/>
      <c r="F42" s="352">
        <v>-4900</v>
      </c>
      <c r="G42" s="430">
        <v>60906.999999999993</v>
      </c>
      <c r="H42" s="352">
        <v>0</v>
      </c>
      <c r="I42" s="352">
        <v>0</v>
      </c>
      <c r="J42" s="352">
        <v>60906.999999999993</v>
      </c>
      <c r="K42" s="352">
        <v>0</v>
      </c>
      <c r="L42" s="352">
        <v>0</v>
      </c>
      <c r="M42" s="352">
        <v>60906.999999999993</v>
      </c>
      <c r="N42" s="352">
        <v>0</v>
      </c>
    </row>
    <row r="43" spans="1:15" x14ac:dyDescent="0.3">
      <c r="A43" t="s">
        <v>990</v>
      </c>
      <c r="B43" t="s">
        <v>3526</v>
      </c>
      <c r="C43" s="352">
        <v>-9800</v>
      </c>
      <c r="D43" s="352"/>
      <c r="E43" s="352"/>
      <c r="F43" s="352">
        <v>-9800</v>
      </c>
      <c r="G43" s="430">
        <v>121813.99999999999</v>
      </c>
      <c r="H43" s="352">
        <v>0</v>
      </c>
      <c r="I43" s="352">
        <v>0</v>
      </c>
      <c r="J43" s="352">
        <v>121813.99999999999</v>
      </c>
      <c r="K43" s="352">
        <v>0</v>
      </c>
      <c r="L43" s="352">
        <v>0</v>
      </c>
      <c r="M43" s="352">
        <v>121813.99999999999</v>
      </c>
      <c r="N43" s="352">
        <v>0</v>
      </c>
    </row>
    <row r="44" spans="1:15" x14ac:dyDescent="0.3">
      <c r="A44" t="s">
        <v>990</v>
      </c>
      <c r="B44" t="s">
        <v>3527</v>
      </c>
      <c r="C44" s="352">
        <v>-14500</v>
      </c>
      <c r="D44" s="352"/>
      <c r="E44" s="352"/>
      <c r="F44" s="352">
        <v>-14500</v>
      </c>
      <c r="G44" s="430">
        <v>180234.99999999997</v>
      </c>
      <c r="H44" s="352">
        <v>0</v>
      </c>
      <c r="I44" s="352">
        <v>0</v>
      </c>
      <c r="J44" s="352">
        <v>180234.99999999997</v>
      </c>
      <c r="K44" s="352">
        <v>116424</v>
      </c>
      <c r="L44" s="352">
        <v>0</v>
      </c>
      <c r="M44" s="352">
        <v>296659</v>
      </c>
      <c r="N44" s="352">
        <v>116424</v>
      </c>
    </row>
    <row r="45" spans="1:15" x14ac:dyDescent="0.3">
      <c r="A45" t="s">
        <v>990</v>
      </c>
      <c r="B45" t="s">
        <v>3528</v>
      </c>
      <c r="C45" s="352">
        <v>-4900</v>
      </c>
      <c r="D45" s="352"/>
      <c r="E45" s="352"/>
      <c r="F45" s="352">
        <v>-4900</v>
      </c>
      <c r="G45" s="430">
        <v>60906.999999999993</v>
      </c>
      <c r="H45" s="352">
        <v>0</v>
      </c>
      <c r="I45" s="352">
        <v>0</v>
      </c>
      <c r="J45" s="352">
        <v>60906.999999999993</v>
      </c>
      <c r="K45" s="352">
        <v>0</v>
      </c>
      <c r="L45" s="352">
        <v>0</v>
      </c>
      <c r="M45" s="352">
        <v>60906.999999999993</v>
      </c>
      <c r="N45" s="352">
        <v>0</v>
      </c>
    </row>
    <row r="46" spans="1:15" x14ac:dyDescent="0.3">
      <c r="A46" t="s">
        <v>990</v>
      </c>
      <c r="B46" t="s">
        <v>3529</v>
      </c>
      <c r="C46" s="352">
        <v>-7400</v>
      </c>
      <c r="D46" s="352"/>
      <c r="E46" s="352"/>
      <c r="F46" s="352">
        <v>-7400</v>
      </c>
      <c r="G46" s="430">
        <v>91981.999999999985</v>
      </c>
      <c r="H46" s="352">
        <v>0</v>
      </c>
      <c r="I46" s="352">
        <v>0</v>
      </c>
      <c r="J46" s="352">
        <v>91981.999999999985</v>
      </c>
      <c r="K46" s="352">
        <v>0</v>
      </c>
      <c r="L46" s="352">
        <v>0</v>
      </c>
      <c r="M46" s="352">
        <v>91981.999999999985</v>
      </c>
      <c r="N46" s="352">
        <v>0</v>
      </c>
      <c r="O46" s="2"/>
    </row>
    <row r="47" spans="1:15" x14ac:dyDescent="0.3">
      <c r="A47" t="s">
        <v>990</v>
      </c>
      <c r="B47" t="s">
        <v>3530</v>
      </c>
      <c r="C47" s="352">
        <v>-16200</v>
      </c>
      <c r="D47" s="352"/>
      <c r="E47" s="352"/>
      <c r="F47" s="352">
        <v>-16200</v>
      </c>
      <c r="G47" s="430">
        <v>201365.99999999997</v>
      </c>
      <c r="H47" s="352">
        <v>0</v>
      </c>
      <c r="I47" s="352">
        <v>0</v>
      </c>
      <c r="J47" s="352">
        <v>201365.99999999997</v>
      </c>
      <c r="K47" s="352">
        <v>121968</v>
      </c>
      <c r="L47" s="352">
        <v>0</v>
      </c>
      <c r="M47" s="352">
        <v>323334</v>
      </c>
      <c r="N47" s="352">
        <v>121968</v>
      </c>
    </row>
    <row r="48" spans="1:15" x14ac:dyDescent="0.3">
      <c r="A48" t="s">
        <v>990</v>
      </c>
      <c r="B48" t="s">
        <v>3531</v>
      </c>
      <c r="C48" s="352">
        <v>-4900</v>
      </c>
      <c r="D48" s="352"/>
      <c r="E48" s="352"/>
      <c r="F48" s="352">
        <v>-4900</v>
      </c>
      <c r="G48" s="430">
        <v>60906.999999999993</v>
      </c>
      <c r="H48" s="352">
        <v>0</v>
      </c>
      <c r="I48" s="352">
        <v>0</v>
      </c>
      <c r="J48" s="352">
        <v>60906.999999999993</v>
      </c>
      <c r="K48" s="352">
        <v>0</v>
      </c>
      <c r="L48" s="352">
        <v>0</v>
      </c>
      <c r="M48" s="352">
        <v>60906.999999999993</v>
      </c>
      <c r="N48" s="352">
        <v>0</v>
      </c>
    </row>
    <row r="49" spans="1:15" x14ac:dyDescent="0.3">
      <c r="A49" t="s">
        <v>990</v>
      </c>
      <c r="B49" t="s">
        <v>3532</v>
      </c>
      <c r="C49" s="352">
        <v>-9800</v>
      </c>
      <c r="D49" s="352"/>
      <c r="E49" s="352"/>
      <c r="F49" s="352">
        <v>-9800</v>
      </c>
      <c r="G49" s="430">
        <v>121813.99999999999</v>
      </c>
      <c r="H49" s="352">
        <v>0</v>
      </c>
      <c r="I49" s="352">
        <v>0</v>
      </c>
      <c r="J49" s="352">
        <v>121813.99999999999</v>
      </c>
      <c r="K49" s="352">
        <v>0</v>
      </c>
      <c r="L49" s="352">
        <v>0</v>
      </c>
      <c r="M49" s="352">
        <v>121813.99999999999</v>
      </c>
      <c r="N49" s="352">
        <v>0</v>
      </c>
    </row>
    <row r="50" spans="1:15" x14ac:dyDescent="0.3">
      <c r="A50" t="s">
        <v>990</v>
      </c>
      <c r="B50" t="s">
        <v>3533</v>
      </c>
      <c r="C50" s="352">
        <v>-7400</v>
      </c>
      <c r="D50" s="352"/>
      <c r="E50" s="352"/>
      <c r="F50" s="352">
        <v>-7400</v>
      </c>
      <c r="G50" s="430">
        <v>91981.999999999985</v>
      </c>
      <c r="H50" s="352">
        <v>0</v>
      </c>
      <c r="I50" s="352">
        <v>0</v>
      </c>
      <c r="J50" s="352">
        <v>91981.999999999985</v>
      </c>
      <c r="K50" s="352">
        <v>0</v>
      </c>
      <c r="L50" s="352">
        <v>0</v>
      </c>
      <c r="M50" s="352">
        <v>91981.999999999985</v>
      </c>
      <c r="N50" s="352">
        <v>0</v>
      </c>
    </row>
    <row r="51" spans="1:15" x14ac:dyDescent="0.3">
      <c r="A51" t="s">
        <v>990</v>
      </c>
      <c r="B51" t="s">
        <v>3534</v>
      </c>
      <c r="C51" s="352">
        <v>-75100</v>
      </c>
      <c r="D51" s="352"/>
      <c r="E51" s="352"/>
      <c r="F51" s="352">
        <v>-75100</v>
      </c>
      <c r="G51" s="430">
        <v>933492.99999999988</v>
      </c>
      <c r="H51" s="352">
        <v>0</v>
      </c>
      <c r="I51" s="352">
        <v>0</v>
      </c>
      <c r="J51" s="352">
        <v>933492.99999999988</v>
      </c>
      <c r="K51" s="352">
        <v>116424</v>
      </c>
      <c r="L51" s="352">
        <v>0</v>
      </c>
      <c r="M51" s="352">
        <v>1049917</v>
      </c>
      <c r="N51" s="352">
        <v>116424</v>
      </c>
      <c r="O51" s="2"/>
    </row>
    <row r="52" spans="1:15" x14ac:dyDescent="0.3">
      <c r="A52" t="s">
        <v>990</v>
      </c>
      <c r="B52" t="s">
        <v>3535</v>
      </c>
      <c r="C52" s="352">
        <v>-19600</v>
      </c>
      <c r="D52" s="352"/>
      <c r="E52" s="352"/>
      <c r="F52" s="352">
        <v>-19600</v>
      </c>
      <c r="G52" s="430">
        <v>243627.99999999997</v>
      </c>
      <c r="H52" s="352">
        <v>0</v>
      </c>
      <c r="I52" s="352">
        <v>0</v>
      </c>
      <c r="J52" s="352">
        <v>243627.99999999997</v>
      </c>
      <c r="K52" s="352">
        <v>0</v>
      </c>
      <c r="L52" s="352">
        <v>0</v>
      </c>
      <c r="M52" s="352">
        <v>243627.99999999997</v>
      </c>
      <c r="N52" s="352">
        <v>0</v>
      </c>
    </row>
    <row r="53" spans="1:15" x14ac:dyDescent="0.3">
      <c r="A53" t="s">
        <v>990</v>
      </c>
      <c r="B53" t="s">
        <v>3536</v>
      </c>
      <c r="C53" s="352">
        <v>-28600</v>
      </c>
      <c r="D53" s="352"/>
      <c r="E53" s="352"/>
      <c r="F53" s="352">
        <v>-28600</v>
      </c>
      <c r="G53" s="430">
        <v>355497.99999999994</v>
      </c>
      <c r="H53" s="352">
        <v>0</v>
      </c>
      <c r="I53" s="352">
        <v>0</v>
      </c>
      <c r="J53" s="352">
        <v>355497.99999999994</v>
      </c>
      <c r="K53" s="352">
        <v>116424</v>
      </c>
      <c r="L53" s="352">
        <v>0</v>
      </c>
      <c r="M53" s="352">
        <v>471921.99999999994</v>
      </c>
      <c r="N53" s="352">
        <v>116424</v>
      </c>
    </row>
    <row r="54" spans="1:15" x14ac:dyDescent="0.3">
      <c r="A54" t="s">
        <v>990</v>
      </c>
      <c r="B54" t="s">
        <v>3537</v>
      </c>
      <c r="C54" s="352">
        <v>-16200</v>
      </c>
      <c r="D54" s="352"/>
      <c r="E54" s="352"/>
      <c r="F54" s="352">
        <v>-16200</v>
      </c>
      <c r="G54" s="430">
        <v>201365.99999999997</v>
      </c>
      <c r="H54" s="352">
        <v>0</v>
      </c>
      <c r="I54" s="352">
        <v>0</v>
      </c>
      <c r="J54" s="352">
        <v>201365.99999999997</v>
      </c>
      <c r="K54" s="352">
        <v>121968</v>
      </c>
      <c r="L54" s="352">
        <v>0</v>
      </c>
      <c r="M54" s="352">
        <v>323334</v>
      </c>
      <c r="N54" s="352">
        <v>121968</v>
      </c>
    </row>
    <row r="55" spans="1:15" hidden="1" x14ac:dyDescent="0.3">
      <c r="A55" t="s">
        <v>990</v>
      </c>
      <c r="B55" t="s">
        <v>993</v>
      </c>
      <c r="C55" s="352"/>
      <c r="D55" s="352"/>
      <c r="E55" s="432"/>
      <c r="F55" s="352"/>
      <c r="G55" s="430"/>
      <c r="H55" s="352"/>
      <c r="I55" s="352"/>
      <c r="J55" s="352"/>
      <c r="K55" s="352"/>
      <c r="L55" s="352">
        <v>620475.02033932845</v>
      </c>
      <c r="M55" s="352">
        <v>620475.02033932845</v>
      </c>
      <c r="N55" s="352">
        <v>620475.02033932845</v>
      </c>
    </row>
    <row r="56" spans="1:15" x14ac:dyDescent="0.3">
      <c r="A56" t="s">
        <v>990</v>
      </c>
      <c r="B56" t="s">
        <v>991</v>
      </c>
      <c r="C56" s="352"/>
      <c r="D56" s="352"/>
      <c r="E56" s="352"/>
      <c r="F56" s="352"/>
      <c r="G56" s="430"/>
      <c r="H56" s="352"/>
      <c r="I56" s="352"/>
      <c r="J56" s="352"/>
      <c r="K56" s="352"/>
      <c r="L56" s="352">
        <v>1403658.4296577503</v>
      </c>
      <c r="M56" s="352">
        <v>1403658.4296577503</v>
      </c>
      <c r="N56" s="352">
        <v>1403658.4296577503</v>
      </c>
    </row>
    <row r="57" spans="1:15" x14ac:dyDescent="0.3">
      <c r="A57" t="s">
        <v>990</v>
      </c>
      <c r="B57" t="s">
        <v>3538</v>
      </c>
      <c r="C57" s="352"/>
      <c r="D57" s="352"/>
      <c r="E57" s="352"/>
      <c r="F57" s="352"/>
      <c r="G57" s="430"/>
      <c r="H57" s="352"/>
      <c r="I57" s="352"/>
      <c r="J57" s="352"/>
      <c r="K57" s="352"/>
      <c r="L57" s="352">
        <v>23869363</v>
      </c>
      <c r="M57" s="352">
        <v>23869363</v>
      </c>
      <c r="N57" s="352">
        <v>23869363</v>
      </c>
    </row>
    <row r="58" spans="1:15" x14ac:dyDescent="0.3">
      <c r="A58" s="433" t="s">
        <v>996</v>
      </c>
      <c r="B58" s="433"/>
      <c r="C58" s="434">
        <v>-942400</v>
      </c>
      <c r="D58" s="434"/>
      <c r="E58" s="434"/>
      <c r="F58" s="434">
        <v>-942400</v>
      </c>
      <c r="G58" s="434">
        <v>11714031.999999998</v>
      </c>
      <c r="H58" s="434">
        <v>0</v>
      </c>
      <c r="I58" s="434">
        <v>0</v>
      </c>
      <c r="J58" s="435">
        <v>11714031.999999998</v>
      </c>
      <c r="K58" s="434">
        <v>2949025.6551724141</v>
      </c>
      <c r="L58" s="434">
        <v>49635334.921482921</v>
      </c>
      <c r="M58" s="434">
        <v>64298392.576655328</v>
      </c>
      <c r="N58" s="434">
        <v>52584360.576655336</v>
      </c>
      <c r="O58" s="2"/>
    </row>
    <row r="59" spans="1:15" x14ac:dyDescent="0.3">
      <c r="A59" t="s">
        <v>997</v>
      </c>
      <c r="B59" t="s">
        <v>998</v>
      </c>
      <c r="C59" s="352"/>
      <c r="D59" s="352"/>
      <c r="E59" s="352"/>
      <c r="F59" s="352"/>
      <c r="G59" s="430"/>
      <c r="H59" s="352"/>
      <c r="I59" s="352"/>
      <c r="J59" s="352"/>
      <c r="K59" s="352">
        <v>47124</v>
      </c>
      <c r="L59" s="352">
        <v>949968.65182986832</v>
      </c>
      <c r="M59" s="352">
        <v>997092.65182986832</v>
      </c>
      <c r="N59" s="352">
        <v>997092.65182986832</v>
      </c>
    </row>
    <row r="60" spans="1:15" x14ac:dyDescent="0.3">
      <c r="A60" s="433" t="s">
        <v>999</v>
      </c>
      <c r="B60" s="433"/>
      <c r="C60" s="434"/>
      <c r="D60" s="434"/>
      <c r="E60" s="434"/>
      <c r="F60" s="434"/>
      <c r="G60" s="434"/>
      <c r="H60" s="434"/>
      <c r="I60" s="434"/>
      <c r="J60" s="435"/>
      <c r="K60" s="434">
        <v>47124</v>
      </c>
      <c r="L60" s="434">
        <v>949968.65182986832</v>
      </c>
      <c r="M60" s="434">
        <v>997092.65182986832</v>
      </c>
      <c r="N60" s="434">
        <v>997092.65182986832</v>
      </c>
    </row>
    <row r="61" spans="1:15" x14ac:dyDescent="0.3">
      <c r="A61" t="s">
        <v>3539</v>
      </c>
      <c r="B61" t="s">
        <v>3540</v>
      </c>
      <c r="C61" s="352">
        <v>-38200</v>
      </c>
      <c r="D61" s="430"/>
      <c r="E61" s="352"/>
      <c r="F61" s="352">
        <v>-38200</v>
      </c>
      <c r="G61" s="430">
        <v>474825.99999999994</v>
      </c>
      <c r="H61" s="352">
        <v>0</v>
      </c>
      <c r="I61" s="352">
        <v>0</v>
      </c>
      <c r="J61" s="352">
        <v>474825.99999999994</v>
      </c>
      <c r="K61" s="352">
        <v>0</v>
      </c>
      <c r="L61" s="352">
        <v>0</v>
      </c>
      <c r="M61" s="352">
        <v>474825.99999999994</v>
      </c>
      <c r="N61" s="352">
        <v>0</v>
      </c>
    </row>
    <row r="62" spans="1:15" x14ac:dyDescent="0.3">
      <c r="A62" s="433" t="s">
        <v>3541</v>
      </c>
      <c r="B62" s="433"/>
      <c r="C62" s="434">
        <v>-38200</v>
      </c>
      <c r="D62" s="434"/>
      <c r="E62" s="434"/>
      <c r="F62" s="434">
        <v>-38200</v>
      </c>
      <c r="G62" s="434">
        <v>474825.99999999994</v>
      </c>
      <c r="H62" s="434">
        <v>0</v>
      </c>
      <c r="I62" s="434">
        <v>0</v>
      </c>
      <c r="J62" s="435">
        <v>474825.99999999994</v>
      </c>
      <c r="K62" s="434">
        <v>0</v>
      </c>
      <c r="L62" s="434">
        <v>0</v>
      </c>
      <c r="M62" s="434">
        <v>474825.99999999994</v>
      </c>
      <c r="N62" s="434">
        <v>0</v>
      </c>
    </row>
    <row r="63" spans="1:15" x14ac:dyDescent="0.3">
      <c r="A63" t="s">
        <v>1000</v>
      </c>
      <c r="B63" t="s">
        <v>3542</v>
      </c>
      <c r="C63" s="352">
        <v>-4900</v>
      </c>
      <c r="D63" s="430"/>
      <c r="E63" s="352"/>
      <c r="F63" s="352">
        <v>-4900</v>
      </c>
      <c r="G63" s="430">
        <v>60906.999999999993</v>
      </c>
      <c r="H63" s="352">
        <v>0</v>
      </c>
      <c r="I63" s="352">
        <v>0</v>
      </c>
      <c r="J63" s="352">
        <v>60906.999999999993</v>
      </c>
      <c r="K63" s="352">
        <v>0</v>
      </c>
      <c r="L63" s="352">
        <v>0</v>
      </c>
      <c r="M63" s="352">
        <v>60906.999999999993</v>
      </c>
      <c r="N63" s="352">
        <v>0</v>
      </c>
    </row>
    <row r="64" spans="1:15" x14ac:dyDescent="0.3">
      <c r="A64" t="s">
        <v>1000</v>
      </c>
      <c r="B64" t="s">
        <v>1003</v>
      </c>
      <c r="C64" s="352">
        <v>-329700</v>
      </c>
      <c r="D64" s="352"/>
      <c r="E64" s="352"/>
      <c r="F64" s="352">
        <v>-329700</v>
      </c>
      <c r="G64" s="430">
        <v>4098170.9999999995</v>
      </c>
      <c r="H64" s="352">
        <v>0</v>
      </c>
      <c r="I64" s="352">
        <v>0</v>
      </c>
      <c r="J64" s="352">
        <v>4098170.9999999995</v>
      </c>
      <c r="K64" s="352">
        <v>1193692.5</v>
      </c>
      <c r="L64" s="352">
        <v>39869799.194873132</v>
      </c>
      <c r="M64" s="352">
        <v>45161662.694873132</v>
      </c>
      <c r="N64" s="352">
        <v>41063491.694873132</v>
      </c>
    </row>
    <row r="65" spans="1:14" hidden="1" x14ac:dyDescent="0.3">
      <c r="A65" t="s">
        <v>1000</v>
      </c>
      <c r="B65" t="s">
        <v>941</v>
      </c>
      <c r="C65" s="352">
        <v>-12000</v>
      </c>
      <c r="D65" s="352"/>
      <c r="E65" s="432"/>
      <c r="F65" s="352">
        <v>-12000</v>
      </c>
      <c r="G65" s="430">
        <v>149160</v>
      </c>
      <c r="H65" s="352">
        <v>0</v>
      </c>
      <c r="I65" s="352">
        <v>0</v>
      </c>
      <c r="J65" s="352">
        <v>149160</v>
      </c>
      <c r="K65" s="352">
        <v>0</v>
      </c>
      <c r="L65" s="352">
        <v>1579001.9483118083</v>
      </c>
      <c r="M65" s="352">
        <v>1728161.9483118083</v>
      </c>
      <c r="N65" s="352">
        <v>1579001.9483118083</v>
      </c>
    </row>
    <row r="66" spans="1:14" x14ac:dyDescent="0.3">
      <c r="A66" t="s">
        <v>1000</v>
      </c>
      <c r="B66" t="s">
        <v>3543</v>
      </c>
      <c r="C66" s="352">
        <v>-11400</v>
      </c>
      <c r="D66" s="436">
        <v>-4900</v>
      </c>
      <c r="E66" s="432"/>
      <c r="F66" s="352">
        <v>-16300</v>
      </c>
      <c r="G66" s="437">
        <v>141702</v>
      </c>
      <c r="H66" s="352">
        <v>60906.999999999993</v>
      </c>
      <c r="I66" s="352">
        <v>0</v>
      </c>
      <c r="J66" s="352">
        <v>202608.99999999997</v>
      </c>
      <c r="K66" s="352">
        <v>257796</v>
      </c>
      <c r="L66" s="352">
        <v>0</v>
      </c>
      <c r="M66" s="352">
        <v>460405</v>
      </c>
      <c r="N66" s="352">
        <v>257796</v>
      </c>
    </row>
    <row r="67" spans="1:14" x14ac:dyDescent="0.3">
      <c r="A67" t="s">
        <v>1000</v>
      </c>
      <c r="B67" t="s">
        <v>3544</v>
      </c>
      <c r="C67" s="352">
        <v>-11100</v>
      </c>
      <c r="D67" s="436"/>
      <c r="E67" s="432"/>
      <c r="F67" s="352">
        <v>-11100</v>
      </c>
      <c r="G67" s="437">
        <v>137973</v>
      </c>
      <c r="H67" s="352">
        <v>0</v>
      </c>
      <c r="I67" s="352">
        <v>0</v>
      </c>
      <c r="J67" s="352">
        <v>137973</v>
      </c>
      <c r="K67" s="352">
        <v>160776</v>
      </c>
      <c r="L67" s="352">
        <v>0</v>
      </c>
      <c r="M67" s="352">
        <v>298749</v>
      </c>
      <c r="N67" s="352">
        <v>160776</v>
      </c>
    </row>
    <row r="68" spans="1:14" x14ac:dyDescent="0.3">
      <c r="A68" t="s">
        <v>1000</v>
      </c>
      <c r="B68" t="s">
        <v>1004</v>
      </c>
      <c r="C68" s="352">
        <v>-151400</v>
      </c>
      <c r="D68" s="352"/>
      <c r="E68" s="352"/>
      <c r="F68" s="352">
        <v>-151400</v>
      </c>
      <c r="G68" s="437">
        <v>1881901.9999999998</v>
      </c>
      <c r="H68" s="352">
        <v>0</v>
      </c>
      <c r="I68" s="352">
        <v>0</v>
      </c>
      <c r="J68" s="352">
        <v>1881901.9999999998</v>
      </c>
      <c r="K68" s="352">
        <v>166320</v>
      </c>
      <c r="L68" s="352">
        <v>620475.02033932845</v>
      </c>
      <c r="M68" s="352">
        <v>2668697.0203393283</v>
      </c>
      <c r="N68" s="352">
        <v>786795.02033932845</v>
      </c>
    </row>
    <row r="69" spans="1:14" x14ac:dyDescent="0.3">
      <c r="A69" t="s">
        <v>1000</v>
      </c>
      <c r="B69" t="s">
        <v>3545</v>
      </c>
      <c r="C69" s="352">
        <v>-2500</v>
      </c>
      <c r="D69" s="352"/>
      <c r="E69" s="352"/>
      <c r="F69" s="352">
        <v>-2500</v>
      </c>
      <c r="G69" s="437">
        <v>31074.999999999996</v>
      </c>
      <c r="H69" s="352">
        <v>0</v>
      </c>
      <c r="I69" s="352">
        <v>0</v>
      </c>
      <c r="J69" s="352">
        <v>31074.999999999996</v>
      </c>
      <c r="K69" s="352">
        <v>0</v>
      </c>
      <c r="L69" s="352">
        <v>0</v>
      </c>
      <c r="M69" s="352">
        <v>31074.999999999996</v>
      </c>
      <c r="N69" s="352">
        <v>0</v>
      </c>
    </row>
    <row r="70" spans="1:14" x14ac:dyDescent="0.3">
      <c r="A70" t="s">
        <v>1000</v>
      </c>
      <c r="B70" t="s">
        <v>3546</v>
      </c>
      <c r="C70" s="352">
        <v>-9800</v>
      </c>
      <c r="D70" s="352"/>
      <c r="E70" s="352"/>
      <c r="F70" s="352">
        <v>-9800</v>
      </c>
      <c r="G70" s="437">
        <v>121813.99999999999</v>
      </c>
      <c r="H70" s="352">
        <v>0</v>
      </c>
      <c r="I70" s="352">
        <v>0</v>
      </c>
      <c r="J70" s="352">
        <v>121813.99999999999</v>
      </c>
      <c r="K70" s="352">
        <v>0</v>
      </c>
      <c r="L70" s="352">
        <v>0</v>
      </c>
      <c r="M70" s="352">
        <v>121813.99999999999</v>
      </c>
      <c r="N70" s="352">
        <v>0</v>
      </c>
    </row>
    <row r="71" spans="1:14" x14ac:dyDescent="0.3">
      <c r="A71" t="s">
        <v>1000</v>
      </c>
      <c r="B71" t="s">
        <v>1001</v>
      </c>
      <c r="C71" s="352"/>
      <c r="D71" s="430"/>
      <c r="E71" s="352"/>
      <c r="F71" s="352"/>
      <c r="G71" s="437"/>
      <c r="H71" s="352"/>
      <c r="I71" s="352"/>
      <c r="J71" s="352"/>
      <c r="K71" s="352"/>
      <c r="L71" s="352">
        <v>620475.02033932845</v>
      </c>
      <c r="M71" s="352">
        <v>620475.02033932845</v>
      </c>
      <c r="N71" s="352">
        <v>620475.02033932845</v>
      </c>
    </row>
    <row r="72" spans="1:14" x14ac:dyDescent="0.3">
      <c r="A72" s="433" t="s">
        <v>1005</v>
      </c>
      <c r="B72" s="433"/>
      <c r="C72" s="434">
        <v>-532800</v>
      </c>
      <c r="D72" s="434">
        <v>-4900</v>
      </c>
      <c r="E72" s="434"/>
      <c r="F72" s="434">
        <v>-537700</v>
      </c>
      <c r="G72" s="438">
        <v>6622703.9999999991</v>
      </c>
      <c r="H72" s="434">
        <v>60906.999999999993</v>
      </c>
      <c r="I72" s="434">
        <v>0</v>
      </c>
      <c r="J72" s="435">
        <v>6683610.9999999991</v>
      </c>
      <c r="K72" s="434">
        <v>1778584.5</v>
      </c>
      <c r="L72" s="434">
        <v>42689751.183863595</v>
      </c>
      <c r="M72" s="434">
        <v>51151946.683863595</v>
      </c>
      <c r="N72" s="434">
        <v>44468335.683863595</v>
      </c>
    </row>
    <row r="73" spans="1:14" x14ac:dyDescent="0.3">
      <c r="A73" t="s">
        <v>1006</v>
      </c>
      <c r="B73" t="s">
        <v>3547</v>
      </c>
      <c r="C73" s="352">
        <v>-26900</v>
      </c>
      <c r="D73" s="430"/>
      <c r="E73" s="352"/>
      <c r="F73" s="352">
        <v>-26900</v>
      </c>
      <c r="G73" s="437">
        <v>334366.99999999994</v>
      </c>
      <c r="H73" s="352">
        <v>0</v>
      </c>
      <c r="I73" s="352">
        <v>0</v>
      </c>
      <c r="J73" s="352">
        <v>334366.99999999994</v>
      </c>
      <c r="K73" s="352">
        <v>88704</v>
      </c>
      <c r="L73" s="352">
        <v>0</v>
      </c>
      <c r="M73" s="352">
        <v>423070.99999999994</v>
      </c>
      <c r="N73" s="352">
        <v>88704</v>
      </c>
    </row>
    <row r="74" spans="1:14" x14ac:dyDescent="0.3">
      <c r="A74" t="s">
        <v>1006</v>
      </c>
      <c r="B74" t="s">
        <v>1007</v>
      </c>
      <c r="C74" s="352"/>
      <c r="D74" s="430"/>
      <c r="E74" s="352"/>
      <c r="F74" s="352"/>
      <c r="G74" s="437"/>
      <c r="H74" s="352"/>
      <c r="I74" s="352"/>
      <c r="J74" s="352"/>
      <c r="K74" s="352"/>
      <c r="L74" s="352">
        <v>1155367.2792525424</v>
      </c>
      <c r="M74" s="352">
        <v>1155367.2792525424</v>
      </c>
      <c r="N74" s="352">
        <v>1155367.2792525424</v>
      </c>
    </row>
    <row r="75" spans="1:14" x14ac:dyDescent="0.3">
      <c r="A75" t="s">
        <v>1006</v>
      </c>
      <c r="B75" t="s">
        <v>1008</v>
      </c>
      <c r="C75" s="352">
        <v>-34500</v>
      </c>
      <c r="D75" s="430"/>
      <c r="E75" s="352"/>
      <c r="F75" s="352">
        <v>-34500</v>
      </c>
      <c r="G75" s="437">
        <v>428834.99999999994</v>
      </c>
      <c r="H75" s="352">
        <v>0</v>
      </c>
      <c r="I75" s="352">
        <v>0</v>
      </c>
      <c r="J75" s="352">
        <v>428834.99999999994</v>
      </c>
      <c r="K75" s="352">
        <v>26334</v>
      </c>
      <c r="L75" s="352">
        <v>984201.75640031393</v>
      </c>
      <c r="M75" s="352">
        <v>1439370.7564003139</v>
      </c>
      <c r="N75" s="352">
        <v>1010535.7564003139</v>
      </c>
    </row>
    <row r="76" spans="1:14" x14ac:dyDescent="0.3">
      <c r="A76" s="433" t="s">
        <v>1009</v>
      </c>
      <c r="B76" s="433"/>
      <c r="C76" s="434">
        <v>-61400</v>
      </c>
      <c r="D76" s="434"/>
      <c r="E76" s="434"/>
      <c r="F76" s="434">
        <v>-61400</v>
      </c>
      <c r="G76" s="438">
        <v>763201.99999999988</v>
      </c>
      <c r="H76" s="434">
        <v>0</v>
      </c>
      <c r="I76" s="434">
        <v>0</v>
      </c>
      <c r="J76" s="435">
        <v>763201.99999999988</v>
      </c>
      <c r="K76" s="434">
        <v>115038</v>
      </c>
      <c r="L76" s="434">
        <v>2139569.0356528563</v>
      </c>
      <c r="M76" s="434">
        <v>3017809.0356528563</v>
      </c>
      <c r="N76" s="434">
        <v>2254607.0356528563</v>
      </c>
    </row>
    <row r="77" spans="1:14" x14ac:dyDescent="0.3">
      <c r="A77" t="s">
        <v>3548</v>
      </c>
      <c r="B77" t="s">
        <v>3549</v>
      </c>
      <c r="C77" s="352">
        <v>-4900</v>
      </c>
      <c r="D77" s="430"/>
      <c r="E77" s="352"/>
      <c r="F77" s="352">
        <v>-4900</v>
      </c>
      <c r="G77" s="437">
        <v>60906.999999999993</v>
      </c>
      <c r="H77" s="352">
        <v>0</v>
      </c>
      <c r="I77" s="352">
        <v>0</v>
      </c>
      <c r="J77" s="352">
        <v>60906.999999999993</v>
      </c>
      <c r="K77" s="352">
        <v>0</v>
      </c>
      <c r="L77" s="352">
        <v>0</v>
      </c>
      <c r="M77" s="352">
        <v>60906.999999999993</v>
      </c>
      <c r="N77" s="352">
        <v>0</v>
      </c>
    </row>
    <row r="78" spans="1:14" x14ac:dyDescent="0.3">
      <c r="A78" s="433" t="s">
        <v>3550</v>
      </c>
      <c r="B78" s="433"/>
      <c r="C78" s="434">
        <v>-4900</v>
      </c>
      <c r="D78" s="434"/>
      <c r="E78" s="434"/>
      <c r="F78" s="434">
        <v>-4900</v>
      </c>
      <c r="G78" s="438">
        <v>60906.999999999993</v>
      </c>
      <c r="H78" s="434">
        <v>0</v>
      </c>
      <c r="I78" s="434">
        <v>0</v>
      </c>
      <c r="J78" s="435">
        <v>60906.999999999993</v>
      </c>
      <c r="K78" s="434">
        <v>0</v>
      </c>
      <c r="L78" s="434">
        <v>0</v>
      </c>
      <c r="M78" s="434">
        <v>60906.999999999993</v>
      </c>
      <c r="N78" s="434">
        <v>0</v>
      </c>
    </row>
    <row r="79" spans="1:14" x14ac:dyDescent="0.3">
      <c r="A79" t="s">
        <v>1010</v>
      </c>
      <c r="B79" t="s">
        <v>1012</v>
      </c>
      <c r="C79" s="352">
        <v>-15000</v>
      </c>
      <c r="D79" s="352"/>
      <c r="E79" s="352"/>
      <c r="F79" s="352">
        <v>-15000</v>
      </c>
      <c r="G79" s="437">
        <v>186449.99999999997</v>
      </c>
      <c r="H79" s="352">
        <v>0</v>
      </c>
      <c r="I79" s="352">
        <v>0</v>
      </c>
      <c r="J79" s="352">
        <v>186449.99999999997</v>
      </c>
      <c r="K79" s="352">
        <v>142758</v>
      </c>
      <c r="L79" s="352">
        <v>632574.65212715894</v>
      </c>
      <c r="M79" s="352">
        <v>961782.65212715894</v>
      </c>
      <c r="N79" s="352">
        <v>775332.65212715894</v>
      </c>
    </row>
    <row r="80" spans="1:14" x14ac:dyDescent="0.3">
      <c r="A80" t="s">
        <v>1010</v>
      </c>
      <c r="B80" t="s">
        <v>936</v>
      </c>
      <c r="C80" s="352"/>
      <c r="D80" s="352"/>
      <c r="E80" s="352"/>
      <c r="F80" s="352"/>
      <c r="G80" s="437"/>
      <c r="H80" s="352"/>
      <c r="I80" s="352"/>
      <c r="J80" s="352"/>
      <c r="K80" s="352"/>
      <c r="L80" s="352">
        <v>1056947.1036125112</v>
      </c>
      <c r="M80" s="352">
        <v>1056947.1036125112</v>
      </c>
      <c r="N80" s="352">
        <v>1056947.1036125112</v>
      </c>
    </row>
    <row r="81" spans="1:14" x14ac:dyDescent="0.3">
      <c r="A81" t="s">
        <v>1010</v>
      </c>
      <c r="B81" t="s">
        <v>1013</v>
      </c>
      <c r="C81" s="352">
        <v>-75500</v>
      </c>
      <c r="D81" s="352"/>
      <c r="E81" s="352"/>
      <c r="F81" s="352">
        <v>-75500</v>
      </c>
      <c r="G81" s="437">
        <v>938464.99999999988</v>
      </c>
      <c r="H81" s="352">
        <v>0</v>
      </c>
      <c r="I81" s="352">
        <v>0</v>
      </c>
      <c r="J81" s="352">
        <v>938464.99999999988</v>
      </c>
      <c r="K81" s="352">
        <v>83160</v>
      </c>
      <c r="L81" s="352">
        <v>34233.104570445706</v>
      </c>
      <c r="M81" s="352">
        <v>1055858.1045704456</v>
      </c>
      <c r="N81" s="352">
        <v>117393.10457044571</v>
      </c>
    </row>
    <row r="82" spans="1:14" hidden="1" x14ac:dyDescent="0.3">
      <c r="A82" s="433" t="s">
        <v>1015</v>
      </c>
      <c r="B82" s="433"/>
      <c r="C82" s="434">
        <v>-90500</v>
      </c>
      <c r="D82" s="434"/>
      <c r="E82" s="439"/>
      <c r="F82" s="434">
        <v>-90500</v>
      </c>
      <c r="G82" s="438">
        <v>1124915</v>
      </c>
      <c r="H82" s="434">
        <v>0</v>
      </c>
      <c r="I82" s="434">
        <v>0</v>
      </c>
      <c r="J82" s="435">
        <v>1124915</v>
      </c>
      <c r="K82" s="434">
        <v>225918</v>
      </c>
      <c r="L82" s="434">
        <v>1723754.8603101161</v>
      </c>
      <c r="M82" s="434">
        <v>3074587.8603101159</v>
      </c>
      <c r="N82" s="434">
        <v>1949672.8603101161</v>
      </c>
    </row>
    <row r="83" spans="1:14" x14ac:dyDescent="0.3">
      <c r="A83" t="s">
        <v>1016</v>
      </c>
      <c r="B83" t="s">
        <v>1017</v>
      </c>
      <c r="C83" s="352">
        <v>-22900</v>
      </c>
      <c r="D83" s="352"/>
      <c r="E83" s="352"/>
      <c r="F83" s="352">
        <v>-22900</v>
      </c>
      <c r="G83" s="437">
        <v>284647</v>
      </c>
      <c r="H83" s="352">
        <v>0</v>
      </c>
      <c r="I83" s="352">
        <v>0</v>
      </c>
      <c r="J83" s="352">
        <v>284647</v>
      </c>
      <c r="K83" s="352">
        <v>0</v>
      </c>
      <c r="L83" s="352">
        <v>297400.09595574706</v>
      </c>
      <c r="M83" s="352">
        <v>582047.09595574706</v>
      </c>
      <c r="N83" s="352">
        <v>297400.09595574706</v>
      </c>
    </row>
    <row r="84" spans="1:14" hidden="1" x14ac:dyDescent="0.3">
      <c r="A84" s="433" t="s">
        <v>1019</v>
      </c>
      <c r="B84" s="433"/>
      <c r="C84" s="434">
        <v>-22900</v>
      </c>
      <c r="D84" s="434"/>
      <c r="E84" s="439"/>
      <c r="F84" s="434">
        <v>-22900</v>
      </c>
      <c r="G84" s="438">
        <v>284647</v>
      </c>
      <c r="H84" s="434">
        <v>0</v>
      </c>
      <c r="I84" s="434">
        <v>0</v>
      </c>
      <c r="J84" s="435">
        <v>284647</v>
      </c>
      <c r="K84" s="434">
        <v>0</v>
      </c>
      <c r="L84" s="434">
        <v>297400.09595574706</v>
      </c>
      <c r="M84" s="434">
        <v>582047.09595574706</v>
      </c>
      <c r="N84" s="434">
        <v>297400.09595574706</v>
      </c>
    </row>
    <row r="85" spans="1:14" x14ac:dyDescent="0.3">
      <c r="A85" t="s">
        <v>3551</v>
      </c>
      <c r="B85" t="s">
        <v>3552</v>
      </c>
      <c r="C85" s="352"/>
      <c r="D85" s="352"/>
      <c r="E85" s="352"/>
      <c r="F85" s="352"/>
      <c r="G85" s="437"/>
      <c r="H85" s="352"/>
      <c r="I85" s="352"/>
      <c r="J85" s="352"/>
      <c r="K85" s="352">
        <v>72072</v>
      </c>
      <c r="L85" s="352">
        <v>0</v>
      </c>
      <c r="M85" s="352">
        <v>72072</v>
      </c>
      <c r="N85" s="352">
        <v>72072</v>
      </c>
    </row>
    <row r="86" spans="1:14" hidden="1" x14ac:dyDescent="0.3">
      <c r="A86" s="433" t="s">
        <v>3553</v>
      </c>
      <c r="B86" s="433"/>
      <c r="C86" s="434"/>
      <c r="D86" s="434"/>
      <c r="E86" s="439"/>
      <c r="F86" s="434"/>
      <c r="G86" s="438"/>
      <c r="H86" s="434"/>
      <c r="I86" s="434"/>
      <c r="J86" s="435"/>
      <c r="K86" s="434">
        <v>72072</v>
      </c>
      <c r="L86" s="434">
        <v>0</v>
      </c>
      <c r="M86" s="434">
        <v>72072</v>
      </c>
      <c r="N86" s="434">
        <v>72072</v>
      </c>
    </row>
    <row r="87" spans="1:14" x14ac:dyDescent="0.3">
      <c r="A87" t="s">
        <v>1020</v>
      </c>
      <c r="B87" t="s">
        <v>1022</v>
      </c>
      <c r="C87" s="352">
        <v>-1700</v>
      </c>
      <c r="D87" s="352"/>
      <c r="E87" s="352"/>
      <c r="F87" s="352">
        <v>-1700</v>
      </c>
      <c r="G87" s="437">
        <v>21130.999999999996</v>
      </c>
      <c r="H87" s="352">
        <v>0</v>
      </c>
      <c r="I87" s="352">
        <v>0</v>
      </c>
      <c r="J87" s="352">
        <v>21130.999999999996</v>
      </c>
      <c r="K87" s="352">
        <v>257796</v>
      </c>
      <c r="L87" s="352">
        <v>6667487.3410351714</v>
      </c>
      <c r="M87" s="352">
        <v>6946414.3410351714</v>
      </c>
      <c r="N87" s="352">
        <v>6925283.3410351714</v>
      </c>
    </row>
    <row r="88" spans="1:14" x14ac:dyDescent="0.3">
      <c r="A88" t="s">
        <v>1020</v>
      </c>
      <c r="B88" t="s">
        <v>931</v>
      </c>
      <c r="C88" s="352"/>
      <c r="D88" s="352"/>
      <c r="E88" s="352"/>
      <c r="F88" s="352"/>
      <c r="G88" s="437"/>
      <c r="H88" s="352"/>
      <c r="I88" s="352"/>
      <c r="J88" s="352"/>
      <c r="K88" s="352"/>
      <c r="L88" s="352">
        <v>730364.18262301013</v>
      </c>
      <c r="M88" s="352">
        <v>730364.18262301013</v>
      </c>
      <c r="N88" s="352">
        <v>730364.18262301013</v>
      </c>
    </row>
    <row r="89" spans="1:14" x14ac:dyDescent="0.3">
      <c r="A89" t="s">
        <v>1020</v>
      </c>
      <c r="B89" t="s">
        <v>3554</v>
      </c>
      <c r="C89" s="352">
        <v>-7400</v>
      </c>
      <c r="D89" s="352"/>
      <c r="E89" s="432"/>
      <c r="F89" s="352">
        <v>-7400</v>
      </c>
      <c r="G89" s="437">
        <v>91981.999999999985</v>
      </c>
      <c r="H89" s="352">
        <v>0</v>
      </c>
      <c r="I89" s="352">
        <v>0</v>
      </c>
      <c r="J89" s="352">
        <v>91981.999999999985</v>
      </c>
      <c r="K89" s="352">
        <v>0</v>
      </c>
      <c r="L89" s="352">
        <v>0</v>
      </c>
      <c r="M89" s="352">
        <v>91981.999999999985</v>
      </c>
      <c r="N89" s="352">
        <v>0</v>
      </c>
    </row>
    <row r="90" spans="1:14" x14ac:dyDescent="0.3">
      <c r="A90" t="s">
        <v>1020</v>
      </c>
      <c r="B90" t="s">
        <v>3555</v>
      </c>
      <c r="C90" s="352">
        <v>-4900</v>
      </c>
      <c r="D90" s="352"/>
      <c r="E90" s="432"/>
      <c r="F90" s="352">
        <v>-4900</v>
      </c>
      <c r="G90" s="437">
        <v>60906.999999999993</v>
      </c>
      <c r="H90" s="352">
        <v>0</v>
      </c>
      <c r="I90" s="352">
        <v>0</v>
      </c>
      <c r="J90" s="352">
        <v>60906.999999999993</v>
      </c>
      <c r="K90" s="352">
        <v>0</v>
      </c>
      <c r="L90" s="352">
        <v>0</v>
      </c>
      <c r="M90" s="352">
        <v>60906.999999999993</v>
      </c>
      <c r="N90" s="352">
        <v>0</v>
      </c>
    </row>
    <row r="91" spans="1:14" x14ac:dyDescent="0.3">
      <c r="A91" t="s">
        <v>1020</v>
      </c>
      <c r="B91" t="s">
        <v>3556</v>
      </c>
      <c r="C91" s="352">
        <v>-23100</v>
      </c>
      <c r="D91" s="352"/>
      <c r="E91" s="352"/>
      <c r="F91" s="352">
        <v>-23100</v>
      </c>
      <c r="G91" s="437">
        <v>287133</v>
      </c>
      <c r="H91" s="352">
        <v>0</v>
      </c>
      <c r="I91" s="352">
        <v>0</v>
      </c>
      <c r="J91" s="352">
        <v>287133</v>
      </c>
      <c r="K91" s="352">
        <v>14899.5</v>
      </c>
      <c r="L91" s="352">
        <v>0</v>
      </c>
      <c r="M91" s="352">
        <v>302032.5</v>
      </c>
      <c r="N91" s="352">
        <v>14899.5</v>
      </c>
    </row>
    <row r="92" spans="1:14" x14ac:dyDescent="0.3">
      <c r="A92" t="s">
        <v>1020</v>
      </c>
      <c r="B92" t="s">
        <v>3557</v>
      </c>
      <c r="C92" s="352">
        <v>-2500</v>
      </c>
      <c r="D92" s="352"/>
      <c r="E92" s="352"/>
      <c r="F92" s="352">
        <v>-2500</v>
      </c>
      <c r="G92" s="437">
        <v>31074.999999999996</v>
      </c>
      <c r="H92" s="352">
        <v>0</v>
      </c>
      <c r="I92" s="352">
        <v>0</v>
      </c>
      <c r="J92" s="352">
        <v>31074.999999999996</v>
      </c>
      <c r="K92" s="352">
        <v>0</v>
      </c>
      <c r="L92" s="352">
        <v>0</v>
      </c>
      <c r="M92" s="352">
        <v>31074.999999999996</v>
      </c>
      <c r="N92" s="352">
        <v>0</v>
      </c>
    </row>
    <row r="93" spans="1:14" x14ac:dyDescent="0.3">
      <c r="A93" t="s">
        <v>1020</v>
      </c>
      <c r="B93" t="s">
        <v>3558</v>
      </c>
      <c r="C93" s="352">
        <v>-19700</v>
      </c>
      <c r="D93" s="352"/>
      <c r="E93" s="352"/>
      <c r="F93" s="352">
        <v>-19700</v>
      </c>
      <c r="G93" s="437">
        <v>244870.99999999997</v>
      </c>
      <c r="H93" s="352">
        <v>0</v>
      </c>
      <c r="I93" s="352">
        <v>0</v>
      </c>
      <c r="J93" s="352">
        <v>244870.99999999997</v>
      </c>
      <c r="K93" s="352">
        <v>0</v>
      </c>
      <c r="L93" s="352">
        <v>0</v>
      </c>
      <c r="M93" s="352">
        <v>244870.99999999997</v>
      </c>
      <c r="N93" s="352">
        <v>0</v>
      </c>
    </row>
    <row r="94" spans="1:14" x14ac:dyDescent="0.3">
      <c r="A94" t="s">
        <v>1020</v>
      </c>
      <c r="B94" t="s">
        <v>3559</v>
      </c>
      <c r="C94" s="352">
        <v>-4100</v>
      </c>
      <c r="D94" s="352"/>
      <c r="E94" s="352"/>
      <c r="F94" s="352">
        <v>-4100</v>
      </c>
      <c r="G94" s="437">
        <v>50962.999999999993</v>
      </c>
      <c r="H94" s="352">
        <v>0</v>
      </c>
      <c r="I94" s="352">
        <v>0</v>
      </c>
      <c r="J94" s="352">
        <v>50962.999999999993</v>
      </c>
      <c r="K94" s="352">
        <v>58212</v>
      </c>
      <c r="L94" s="352">
        <v>0</v>
      </c>
      <c r="M94" s="352">
        <v>109175</v>
      </c>
      <c r="N94" s="352">
        <v>58212</v>
      </c>
    </row>
    <row r="95" spans="1:14" x14ac:dyDescent="0.3">
      <c r="A95" s="433" t="s">
        <v>1023</v>
      </c>
      <c r="B95" s="433"/>
      <c r="C95" s="434">
        <v>-63400</v>
      </c>
      <c r="D95" s="434"/>
      <c r="E95" s="434"/>
      <c r="F95" s="434">
        <v>-63400</v>
      </c>
      <c r="G95" s="438">
        <v>788061.99999999988</v>
      </c>
      <c r="H95" s="434">
        <v>0</v>
      </c>
      <c r="I95" s="434">
        <v>0</v>
      </c>
      <c r="J95" s="435">
        <v>788061.99999999988</v>
      </c>
      <c r="K95" s="434">
        <v>330907.5</v>
      </c>
      <c r="L95" s="434">
        <v>7397851.5236581815</v>
      </c>
      <c r="M95" s="434">
        <v>8516821.0236581825</v>
      </c>
      <c r="N95" s="434">
        <v>7728759.0236581815</v>
      </c>
    </row>
    <row r="96" spans="1:14" x14ac:dyDescent="0.3">
      <c r="A96" t="s">
        <v>1024</v>
      </c>
      <c r="B96" t="s">
        <v>1025</v>
      </c>
      <c r="C96" s="352"/>
      <c r="D96" s="352"/>
      <c r="E96" s="352"/>
      <c r="F96" s="352"/>
      <c r="G96" s="437"/>
      <c r="H96" s="352"/>
      <c r="I96" s="352"/>
      <c r="J96" s="352"/>
      <c r="K96" s="352"/>
      <c r="L96" s="352">
        <v>885781.5807602827</v>
      </c>
      <c r="M96" s="352">
        <v>885781.5807602827</v>
      </c>
      <c r="N96" s="352">
        <v>885781.5807602827</v>
      </c>
    </row>
    <row r="97" spans="1:14" x14ac:dyDescent="0.3">
      <c r="A97" t="s">
        <v>1024</v>
      </c>
      <c r="B97" t="s">
        <v>1026</v>
      </c>
      <c r="C97" s="352">
        <v>-31800</v>
      </c>
      <c r="D97" s="352"/>
      <c r="E97" s="352"/>
      <c r="F97" s="352">
        <v>-31800</v>
      </c>
      <c r="G97" s="437">
        <v>395273.99999999994</v>
      </c>
      <c r="H97" s="352">
        <v>0</v>
      </c>
      <c r="I97" s="352">
        <v>0</v>
      </c>
      <c r="J97" s="352">
        <v>395273.99999999994</v>
      </c>
      <c r="K97" s="352">
        <v>0</v>
      </c>
      <c r="L97" s="352">
        <v>1279462.2833204081</v>
      </c>
      <c r="M97" s="352">
        <v>1674736.2833204081</v>
      </c>
      <c r="N97" s="352">
        <v>1279462.2833204081</v>
      </c>
    </row>
    <row r="98" spans="1:14" x14ac:dyDescent="0.3">
      <c r="A98" s="433" t="s">
        <v>1027</v>
      </c>
      <c r="B98" s="433"/>
      <c r="C98" s="434">
        <v>-31800</v>
      </c>
      <c r="D98" s="434"/>
      <c r="E98" s="434"/>
      <c r="F98" s="434">
        <v>-31800</v>
      </c>
      <c r="G98" s="438">
        <v>395273.99999999994</v>
      </c>
      <c r="H98" s="434">
        <v>0</v>
      </c>
      <c r="I98" s="434">
        <v>0</v>
      </c>
      <c r="J98" s="435">
        <v>395273.99999999994</v>
      </c>
      <c r="K98" s="434">
        <v>0</v>
      </c>
      <c r="L98" s="434">
        <v>2165243.8640806908</v>
      </c>
      <c r="M98" s="434">
        <v>2560517.8640806908</v>
      </c>
      <c r="N98" s="434">
        <v>2165243.8640806908</v>
      </c>
    </row>
    <row r="99" spans="1:14" x14ac:dyDescent="0.3">
      <c r="A99" t="s">
        <v>1028</v>
      </c>
      <c r="B99" t="s">
        <v>1030</v>
      </c>
      <c r="C99" s="352">
        <v>-8000</v>
      </c>
      <c r="D99" s="352"/>
      <c r="E99" s="352"/>
      <c r="F99" s="352">
        <v>-8000</v>
      </c>
      <c r="G99" s="437">
        <v>99439.999999999985</v>
      </c>
      <c r="H99" s="352">
        <v>0</v>
      </c>
      <c r="I99" s="352">
        <v>0</v>
      </c>
      <c r="J99" s="352">
        <v>99439.999999999985</v>
      </c>
      <c r="K99" s="352">
        <v>0</v>
      </c>
      <c r="L99" s="352">
        <v>4172159.6195230703</v>
      </c>
      <c r="M99" s="352">
        <v>4271599.6195230698</v>
      </c>
      <c r="N99" s="352">
        <v>4172159.6195230703</v>
      </c>
    </row>
    <row r="100" spans="1:14" x14ac:dyDescent="0.3">
      <c r="A100" t="s">
        <v>1028</v>
      </c>
      <c r="B100" t="s">
        <v>925</v>
      </c>
      <c r="C100" s="352"/>
      <c r="D100" s="352"/>
      <c r="E100" s="352"/>
      <c r="F100" s="352"/>
      <c r="G100" s="437"/>
      <c r="H100" s="352"/>
      <c r="I100" s="352"/>
      <c r="J100" s="352"/>
      <c r="K100" s="352"/>
      <c r="L100" s="352">
        <v>2591018.1021756097</v>
      </c>
      <c r="M100" s="352">
        <v>2591018.1021756097</v>
      </c>
      <c r="N100" s="352">
        <v>2591018.1021756097</v>
      </c>
    </row>
    <row r="101" spans="1:14" x14ac:dyDescent="0.3">
      <c r="A101" t="s">
        <v>1028</v>
      </c>
      <c r="B101" t="s">
        <v>3560</v>
      </c>
      <c r="C101" s="352">
        <v>-46400</v>
      </c>
      <c r="D101" s="352"/>
      <c r="E101" s="352"/>
      <c r="F101" s="352">
        <v>-46400</v>
      </c>
      <c r="G101" s="437">
        <v>576752</v>
      </c>
      <c r="H101" s="352">
        <v>0</v>
      </c>
      <c r="I101" s="352">
        <v>0</v>
      </c>
      <c r="J101" s="352">
        <v>576752</v>
      </c>
      <c r="K101" s="352">
        <v>0</v>
      </c>
      <c r="L101" s="352">
        <v>0</v>
      </c>
      <c r="M101" s="352">
        <v>576752</v>
      </c>
      <c r="N101" s="352">
        <v>0</v>
      </c>
    </row>
    <row r="102" spans="1:14" x14ac:dyDescent="0.3">
      <c r="A102" t="s">
        <v>1028</v>
      </c>
      <c r="B102" t="s">
        <v>3538</v>
      </c>
      <c r="C102" s="352"/>
      <c r="D102" s="352"/>
      <c r="E102" s="352"/>
      <c r="F102" s="352"/>
      <c r="G102" s="437"/>
      <c r="H102" s="352"/>
      <c r="I102" s="352"/>
      <c r="J102" s="352"/>
      <c r="K102" s="352"/>
      <c r="L102" s="352">
        <v>968940</v>
      </c>
      <c r="M102" s="352">
        <v>968940</v>
      </c>
      <c r="N102" s="352">
        <v>968940</v>
      </c>
    </row>
    <row r="103" spans="1:14" x14ac:dyDescent="0.3">
      <c r="A103" s="433" t="s">
        <v>1032</v>
      </c>
      <c r="B103" s="433"/>
      <c r="C103" s="434">
        <v>-54400</v>
      </c>
      <c r="D103" s="434"/>
      <c r="E103" s="434"/>
      <c r="F103" s="434">
        <v>-54400</v>
      </c>
      <c r="G103" s="438">
        <v>676191.99999999988</v>
      </c>
      <c r="H103" s="434">
        <v>0</v>
      </c>
      <c r="I103" s="434">
        <v>0</v>
      </c>
      <c r="J103" s="435">
        <v>676191.99999999988</v>
      </c>
      <c r="K103" s="434">
        <v>0</v>
      </c>
      <c r="L103" s="434">
        <v>7732117.72169868</v>
      </c>
      <c r="M103" s="434">
        <v>8408309.721698679</v>
      </c>
      <c r="N103" s="434">
        <v>7732117.72169868</v>
      </c>
    </row>
    <row r="104" spans="1:14" x14ac:dyDescent="0.3">
      <c r="A104" t="s">
        <v>1033</v>
      </c>
      <c r="B104" t="s">
        <v>1034</v>
      </c>
      <c r="C104" s="352"/>
      <c r="D104" s="352"/>
      <c r="E104" s="352"/>
      <c r="F104" s="352"/>
      <c r="G104" s="437"/>
      <c r="H104" s="352"/>
      <c r="I104" s="352"/>
      <c r="J104" s="352"/>
      <c r="K104" s="352"/>
      <c r="L104" s="352">
        <v>800198.81933416834</v>
      </c>
      <c r="M104" s="352">
        <v>800198.81933416834</v>
      </c>
      <c r="N104" s="352">
        <v>800198.81933416834</v>
      </c>
    </row>
    <row r="105" spans="1:14" x14ac:dyDescent="0.3">
      <c r="A105" s="433" t="s">
        <v>1036</v>
      </c>
      <c r="B105" s="433"/>
      <c r="C105" s="434"/>
      <c r="D105" s="434"/>
      <c r="E105" s="434"/>
      <c r="F105" s="434"/>
      <c r="G105" s="438"/>
      <c r="H105" s="434"/>
      <c r="I105" s="434"/>
      <c r="J105" s="435"/>
      <c r="K105" s="434"/>
      <c r="L105" s="434">
        <v>800198.81933416834</v>
      </c>
      <c r="M105" s="434">
        <v>800198.81933416834</v>
      </c>
      <c r="N105" s="434">
        <v>800198.81933416834</v>
      </c>
    </row>
    <row r="106" spans="1:14" x14ac:dyDescent="0.3">
      <c r="A106" t="s">
        <v>1037</v>
      </c>
      <c r="B106" t="s">
        <v>3561</v>
      </c>
      <c r="C106" s="352"/>
      <c r="D106" s="352"/>
      <c r="E106" s="352"/>
      <c r="F106" s="352"/>
      <c r="G106" s="437"/>
      <c r="H106" s="352"/>
      <c r="I106" s="352"/>
      <c r="J106" s="352"/>
      <c r="K106" s="352">
        <v>58212</v>
      </c>
      <c r="L106" s="352">
        <v>0</v>
      </c>
      <c r="M106" s="352">
        <v>58212</v>
      </c>
      <c r="N106" s="352">
        <v>58212</v>
      </c>
    </row>
    <row r="107" spans="1:14" x14ac:dyDescent="0.3">
      <c r="A107" t="s">
        <v>1037</v>
      </c>
      <c r="B107" t="s">
        <v>1039</v>
      </c>
      <c r="C107" s="352">
        <v>-151900</v>
      </c>
      <c r="D107" s="352"/>
      <c r="E107" s="352"/>
      <c r="F107" s="352">
        <v>-151900</v>
      </c>
      <c r="G107" s="437">
        <v>1888116.9999999998</v>
      </c>
      <c r="H107" s="352">
        <v>0</v>
      </c>
      <c r="I107" s="352">
        <v>0</v>
      </c>
      <c r="J107" s="352">
        <v>1888116.9999999998</v>
      </c>
      <c r="K107" s="352">
        <v>296604</v>
      </c>
      <c r="L107" s="352">
        <v>4306952.4687692011</v>
      </c>
      <c r="M107" s="352">
        <v>6491673.4687692011</v>
      </c>
      <c r="N107" s="352">
        <v>4603556.4687692011</v>
      </c>
    </row>
    <row r="108" spans="1:14" x14ac:dyDescent="0.3">
      <c r="A108" t="s">
        <v>1037</v>
      </c>
      <c r="B108" t="s">
        <v>920</v>
      </c>
      <c r="C108" s="352">
        <v>-6400</v>
      </c>
      <c r="D108" s="352"/>
      <c r="E108" s="352"/>
      <c r="F108" s="352">
        <v>-6400</v>
      </c>
      <c r="G108" s="437">
        <v>79551.999999999985</v>
      </c>
      <c r="H108" s="352">
        <v>0</v>
      </c>
      <c r="I108" s="352">
        <v>0</v>
      </c>
      <c r="J108" s="352">
        <v>79551.999999999985</v>
      </c>
      <c r="K108" s="352">
        <v>255024</v>
      </c>
      <c r="L108" s="352">
        <v>1861425.0610179852</v>
      </c>
      <c r="M108" s="352">
        <v>2196001.0610179855</v>
      </c>
      <c r="N108" s="352">
        <v>2116449.0610179855</v>
      </c>
    </row>
    <row r="109" spans="1:14" x14ac:dyDescent="0.3">
      <c r="A109" t="s">
        <v>1037</v>
      </c>
      <c r="B109" t="s">
        <v>3562</v>
      </c>
      <c r="C109" s="352">
        <v>-4100</v>
      </c>
      <c r="D109" s="352"/>
      <c r="E109" s="352"/>
      <c r="F109" s="352">
        <v>-4100</v>
      </c>
      <c r="G109" s="437">
        <v>50962.999999999993</v>
      </c>
      <c r="H109" s="352">
        <v>0</v>
      </c>
      <c r="I109" s="352">
        <v>0</v>
      </c>
      <c r="J109" s="352">
        <v>50962.999999999993</v>
      </c>
      <c r="K109" s="352">
        <v>0</v>
      </c>
      <c r="L109" s="352">
        <v>0</v>
      </c>
      <c r="M109" s="352">
        <v>50962.999999999993</v>
      </c>
      <c r="N109" s="352">
        <v>0</v>
      </c>
    </row>
    <row r="110" spans="1:14" x14ac:dyDescent="0.3">
      <c r="A110" t="s">
        <v>1037</v>
      </c>
      <c r="B110" t="s">
        <v>3563</v>
      </c>
      <c r="C110" s="352">
        <v>-4100</v>
      </c>
      <c r="D110" s="352"/>
      <c r="E110" s="352"/>
      <c r="F110" s="352">
        <v>-4100</v>
      </c>
      <c r="G110" s="437">
        <v>50962.999999999993</v>
      </c>
      <c r="H110" s="352">
        <v>0</v>
      </c>
      <c r="I110" s="352">
        <v>0</v>
      </c>
      <c r="J110" s="352">
        <v>50962.999999999993</v>
      </c>
      <c r="K110" s="352">
        <v>0</v>
      </c>
      <c r="L110" s="352">
        <v>0</v>
      </c>
      <c r="M110" s="352">
        <v>50962.999999999993</v>
      </c>
      <c r="N110" s="352">
        <v>0</v>
      </c>
    </row>
    <row r="111" spans="1:14" x14ac:dyDescent="0.3">
      <c r="A111" t="s">
        <v>1037</v>
      </c>
      <c r="B111" t="s">
        <v>3564</v>
      </c>
      <c r="C111" s="352">
        <v>-30000</v>
      </c>
      <c r="D111" s="352"/>
      <c r="E111" s="352"/>
      <c r="F111" s="352">
        <v>-30000</v>
      </c>
      <c r="G111" s="437">
        <v>372899.99999999994</v>
      </c>
      <c r="H111" s="352">
        <v>0</v>
      </c>
      <c r="I111" s="352">
        <v>0</v>
      </c>
      <c r="J111" s="352">
        <v>372899.99999999994</v>
      </c>
      <c r="K111" s="352">
        <v>0</v>
      </c>
      <c r="L111" s="352">
        <v>0</v>
      </c>
      <c r="M111" s="352">
        <v>372899.99999999994</v>
      </c>
      <c r="N111" s="352">
        <v>0</v>
      </c>
    </row>
    <row r="112" spans="1:14" x14ac:dyDescent="0.3">
      <c r="A112" t="s">
        <v>1037</v>
      </c>
      <c r="B112" t="s">
        <v>3538</v>
      </c>
      <c r="C112" s="352"/>
      <c r="D112" s="352"/>
      <c r="E112" s="352"/>
      <c r="F112" s="352"/>
      <c r="G112" s="437"/>
      <c r="H112" s="352"/>
      <c r="I112" s="352"/>
      <c r="J112" s="352"/>
      <c r="K112" s="352"/>
      <c r="L112" s="352">
        <v>1378861</v>
      </c>
      <c r="M112" s="352">
        <v>1378861</v>
      </c>
      <c r="N112" s="352">
        <v>1378861</v>
      </c>
    </row>
    <row r="113" spans="1:15" x14ac:dyDescent="0.3">
      <c r="A113" s="433" t="s">
        <v>1042</v>
      </c>
      <c r="B113" s="433"/>
      <c r="C113" s="434">
        <v>-196500</v>
      </c>
      <c r="D113" s="434"/>
      <c r="E113" s="434"/>
      <c r="F113" s="434">
        <v>-196500</v>
      </c>
      <c r="G113" s="438">
        <v>2442495</v>
      </c>
      <c r="H113" s="434">
        <v>0</v>
      </c>
      <c r="I113" s="434">
        <v>0</v>
      </c>
      <c r="J113" s="435">
        <v>2442495</v>
      </c>
      <c r="K113" s="434">
        <v>609840</v>
      </c>
      <c r="L113" s="434">
        <v>7547238.5297871865</v>
      </c>
      <c r="M113" s="434">
        <v>10599573.529787187</v>
      </c>
      <c r="N113" s="434">
        <v>8157078.5297871865</v>
      </c>
    </row>
    <row r="114" spans="1:15" x14ac:dyDescent="0.3">
      <c r="A114" t="s">
        <v>1043</v>
      </c>
      <c r="B114" t="s">
        <v>1045</v>
      </c>
      <c r="C114" s="352">
        <v>-5300</v>
      </c>
      <c r="D114" s="352"/>
      <c r="E114" s="352"/>
      <c r="F114" s="352">
        <v>-5300</v>
      </c>
      <c r="G114" s="437">
        <v>65879</v>
      </c>
      <c r="H114" s="352">
        <v>0</v>
      </c>
      <c r="I114" s="352">
        <v>0</v>
      </c>
      <c r="J114" s="352">
        <v>65879</v>
      </c>
      <c r="K114" s="352">
        <v>76230</v>
      </c>
      <c r="L114" s="352">
        <v>620475.02033932845</v>
      </c>
      <c r="M114" s="352">
        <v>762584.02033932845</v>
      </c>
      <c r="N114" s="352">
        <v>696705.02033932845</v>
      </c>
    </row>
    <row r="115" spans="1:15" x14ac:dyDescent="0.3">
      <c r="A115" t="s">
        <v>1043</v>
      </c>
      <c r="B115" t="s">
        <v>1047</v>
      </c>
      <c r="C115" s="352"/>
      <c r="D115" s="352"/>
      <c r="E115" s="352"/>
      <c r="F115" s="352"/>
      <c r="G115" s="437"/>
      <c r="H115" s="352"/>
      <c r="I115" s="352"/>
      <c r="J115" s="352"/>
      <c r="K115" s="352"/>
      <c r="L115" s="352">
        <v>457867.7736297113</v>
      </c>
      <c r="M115" s="352">
        <v>457867.7736297113</v>
      </c>
      <c r="N115" s="352">
        <v>457867.7736297113</v>
      </c>
    </row>
    <row r="116" spans="1:15" x14ac:dyDescent="0.3">
      <c r="A116" s="433" t="s">
        <v>1049</v>
      </c>
      <c r="B116" s="433"/>
      <c r="C116" s="434">
        <v>-5300</v>
      </c>
      <c r="D116" s="434"/>
      <c r="E116" s="434"/>
      <c r="F116" s="434">
        <v>-5300</v>
      </c>
      <c r="G116" s="438">
        <v>65879</v>
      </c>
      <c r="H116" s="434">
        <v>0</v>
      </c>
      <c r="I116" s="434">
        <v>0</v>
      </c>
      <c r="J116" s="435">
        <v>65879</v>
      </c>
      <c r="K116" s="434">
        <v>76230</v>
      </c>
      <c r="L116" s="434">
        <v>1078342.7939690398</v>
      </c>
      <c r="M116" s="434">
        <v>1220451.7939690398</v>
      </c>
      <c r="N116" s="434">
        <v>1154572.7939690398</v>
      </c>
    </row>
    <row r="117" spans="1:15" x14ac:dyDescent="0.3">
      <c r="A117" t="s">
        <v>1050</v>
      </c>
      <c r="B117" t="s">
        <v>1051</v>
      </c>
      <c r="C117" s="352"/>
      <c r="D117" s="352"/>
      <c r="E117" s="352"/>
      <c r="F117" s="352"/>
      <c r="G117" s="437"/>
      <c r="H117" s="352"/>
      <c r="I117" s="352"/>
      <c r="J117" s="352"/>
      <c r="K117" s="352"/>
      <c r="L117" s="352">
        <v>3703594.0007150955</v>
      </c>
      <c r="M117" s="352">
        <v>3703594.0007150955</v>
      </c>
      <c r="N117" s="352">
        <v>3703594.0007150955</v>
      </c>
    </row>
    <row r="118" spans="1:15" x14ac:dyDescent="0.3">
      <c r="A118" s="433" t="s">
        <v>1052</v>
      </c>
      <c r="B118" s="433" t="s">
        <v>154</v>
      </c>
      <c r="C118" s="434"/>
      <c r="D118" s="434"/>
      <c r="E118" s="434"/>
      <c r="F118" s="434"/>
      <c r="G118" s="438"/>
      <c r="H118" s="434"/>
      <c r="I118" s="434"/>
      <c r="J118" s="435"/>
      <c r="K118" s="434"/>
      <c r="L118" s="434">
        <v>3703594.0007150955</v>
      </c>
      <c r="M118" s="434">
        <v>3703594.0007150955</v>
      </c>
      <c r="N118" s="434">
        <v>3703594.0007150955</v>
      </c>
    </row>
    <row r="119" spans="1:15" x14ac:dyDescent="0.3">
      <c r="A119" t="s">
        <v>1053</v>
      </c>
      <c r="B119" t="s">
        <v>1054</v>
      </c>
      <c r="C119" s="352"/>
      <c r="D119" s="352"/>
      <c r="E119" s="352"/>
      <c r="F119" s="352"/>
      <c r="G119" s="437"/>
      <c r="H119" s="352"/>
      <c r="I119" s="352"/>
      <c r="J119" s="352"/>
      <c r="K119" s="352"/>
      <c r="L119" s="352">
        <v>423634.6690592657</v>
      </c>
      <c r="M119" s="352">
        <v>423634.6690592657</v>
      </c>
      <c r="N119" s="352">
        <v>423634.6690592657</v>
      </c>
    </row>
    <row r="120" spans="1:15" x14ac:dyDescent="0.3">
      <c r="A120" s="433" t="s">
        <v>1055</v>
      </c>
      <c r="B120" s="433"/>
      <c r="C120" s="434"/>
      <c r="D120" s="434"/>
      <c r="E120" s="434"/>
      <c r="F120" s="434"/>
      <c r="G120" s="438"/>
      <c r="H120" s="434"/>
      <c r="I120" s="434"/>
      <c r="J120" s="435"/>
      <c r="K120" s="434"/>
      <c r="L120" s="434">
        <v>423634.6690592657</v>
      </c>
      <c r="M120" s="434">
        <v>423634.6690592657</v>
      </c>
      <c r="N120" s="434">
        <v>423634.6690592657</v>
      </c>
    </row>
    <row r="121" spans="1:15" x14ac:dyDescent="0.3">
      <c r="A121" t="s">
        <v>1056</v>
      </c>
      <c r="B121" t="s">
        <v>869</v>
      </c>
      <c r="C121" s="352">
        <v>-11900</v>
      </c>
      <c r="D121" s="352"/>
      <c r="E121" s="352"/>
      <c r="F121" s="352">
        <v>-11900</v>
      </c>
      <c r="G121" s="437">
        <v>147917</v>
      </c>
      <c r="H121" s="352">
        <v>0</v>
      </c>
      <c r="I121" s="352">
        <v>0</v>
      </c>
      <c r="J121" s="352">
        <v>147917</v>
      </c>
      <c r="K121" s="352">
        <v>173250</v>
      </c>
      <c r="L121" s="352">
        <v>1240950.0406786569</v>
      </c>
      <c r="M121" s="352">
        <v>1562117.0406786569</v>
      </c>
      <c r="N121" s="352">
        <v>1414200.0406786569</v>
      </c>
      <c r="O121" s="2"/>
    </row>
    <row r="122" spans="1:15" x14ac:dyDescent="0.3">
      <c r="A122" s="433" t="s">
        <v>1058</v>
      </c>
      <c r="B122" s="433"/>
      <c r="C122" s="434">
        <v>-11900</v>
      </c>
      <c r="D122" s="434"/>
      <c r="E122" s="434"/>
      <c r="F122" s="434">
        <v>-11900</v>
      </c>
      <c r="G122" s="438">
        <v>147917</v>
      </c>
      <c r="H122" s="434">
        <v>0</v>
      </c>
      <c r="I122" s="434">
        <v>0</v>
      </c>
      <c r="J122" s="435">
        <v>147917</v>
      </c>
      <c r="K122" s="434">
        <v>173250</v>
      </c>
      <c r="L122" s="434">
        <v>1240950.0406786569</v>
      </c>
      <c r="M122" s="434">
        <v>1562117.0406786569</v>
      </c>
      <c r="N122" s="434">
        <v>1414200.0406786569</v>
      </c>
    </row>
    <row r="123" spans="1:15" x14ac:dyDescent="0.3">
      <c r="A123" t="s">
        <v>3565</v>
      </c>
      <c r="B123" t="s">
        <v>3566</v>
      </c>
      <c r="C123" s="352">
        <v>-63400</v>
      </c>
      <c r="D123" s="352"/>
      <c r="E123" s="352"/>
      <c r="F123" s="352">
        <v>-63400</v>
      </c>
      <c r="G123" s="437">
        <v>788061.99999999988</v>
      </c>
      <c r="H123" s="352">
        <v>0</v>
      </c>
      <c r="I123" s="352">
        <v>0</v>
      </c>
      <c r="J123" s="352">
        <v>788061.99999999988</v>
      </c>
      <c r="K123" s="352">
        <v>0</v>
      </c>
      <c r="L123" s="352">
        <v>0</v>
      </c>
      <c r="M123" s="352">
        <v>788061.99999999988</v>
      </c>
      <c r="N123" s="352">
        <v>0</v>
      </c>
    </row>
    <row r="124" spans="1:15" x14ac:dyDescent="0.3">
      <c r="A124" s="433" t="s">
        <v>3567</v>
      </c>
      <c r="B124" s="433"/>
      <c r="C124" s="434">
        <v>-63400</v>
      </c>
      <c r="D124" s="434"/>
      <c r="E124" s="434"/>
      <c r="F124" s="434">
        <v>-63400</v>
      </c>
      <c r="G124" s="438">
        <v>788061.99999999988</v>
      </c>
      <c r="H124" s="434">
        <v>0</v>
      </c>
      <c r="I124" s="434">
        <v>0</v>
      </c>
      <c r="J124" s="435">
        <v>788061.99999999988</v>
      </c>
      <c r="K124" s="434">
        <v>0</v>
      </c>
      <c r="L124" s="434">
        <v>0</v>
      </c>
      <c r="M124" s="434">
        <v>788061.99999999988</v>
      </c>
      <c r="N124" s="434">
        <v>0</v>
      </c>
    </row>
    <row r="125" spans="1:15" x14ac:dyDescent="0.3">
      <c r="A125" t="s">
        <v>3568</v>
      </c>
      <c r="B125" t="s">
        <v>3188</v>
      </c>
      <c r="C125" s="352">
        <v>-7400</v>
      </c>
      <c r="D125" s="352"/>
      <c r="E125" s="352"/>
      <c r="F125" s="352">
        <v>-7400</v>
      </c>
      <c r="G125" s="437">
        <v>91981.999999999985</v>
      </c>
      <c r="H125" s="352">
        <v>0</v>
      </c>
      <c r="I125" s="352">
        <v>0</v>
      </c>
      <c r="J125" s="352">
        <v>91981.999999999985</v>
      </c>
      <c r="K125" s="352">
        <v>141372</v>
      </c>
      <c r="L125" s="352">
        <v>620475</v>
      </c>
      <c r="M125" s="352">
        <v>853829</v>
      </c>
      <c r="N125" s="352">
        <v>761847</v>
      </c>
    </row>
    <row r="126" spans="1:15" x14ac:dyDescent="0.3">
      <c r="A126" s="433" t="s">
        <v>3569</v>
      </c>
      <c r="B126" s="433"/>
      <c r="C126" s="434">
        <v>-7400</v>
      </c>
      <c r="D126" s="434"/>
      <c r="E126" s="434"/>
      <c r="F126" s="434">
        <v>-7400</v>
      </c>
      <c r="G126" s="438">
        <v>91981.999999999985</v>
      </c>
      <c r="H126" s="434">
        <v>0</v>
      </c>
      <c r="I126" s="434">
        <v>0</v>
      </c>
      <c r="J126" s="435">
        <v>91981.999999999985</v>
      </c>
      <c r="K126" s="434">
        <v>141372</v>
      </c>
      <c r="L126" s="434">
        <v>620475</v>
      </c>
      <c r="M126" s="434">
        <v>853829</v>
      </c>
      <c r="N126" s="434">
        <v>761847</v>
      </c>
    </row>
    <row r="127" spans="1:15" x14ac:dyDescent="0.3">
      <c r="A127" t="s">
        <v>1059</v>
      </c>
      <c r="B127" t="s">
        <v>1060</v>
      </c>
      <c r="C127" s="352"/>
      <c r="D127" s="352"/>
      <c r="E127" s="352"/>
      <c r="F127" s="352"/>
      <c r="G127" s="437"/>
      <c r="H127" s="352"/>
      <c r="I127" s="352"/>
      <c r="J127" s="352"/>
      <c r="K127" s="352"/>
      <c r="L127" s="352">
        <v>620475.02033932845</v>
      </c>
      <c r="M127" s="352">
        <v>620475.02033932845</v>
      </c>
      <c r="N127" s="352">
        <v>620475.02033932845</v>
      </c>
    </row>
    <row r="128" spans="1:15" x14ac:dyDescent="0.3">
      <c r="A128" t="s">
        <v>1059</v>
      </c>
      <c r="B128" t="s">
        <v>1061</v>
      </c>
      <c r="C128" s="352"/>
      <c r="D128" s="352"/>
      <c r="E128" s="352"/>
      <c r="F128" s="352"/>
      <c r="G128" s="437"/>
      <c r="H128" s="352"/>
      <c r="I128" s="352"/>
      <c r="J128" s="352"/>
      <c r="K128" s="352"/>
      <c r="L128" s="352"/>
      <c r="M128" s="352">
        <v>0</v>
      </c>
      <c r="N128" s="352">
        <v>0</v>
      </c>
    </row>
    <row r="129" spans="1:14" x14ac:dyDescent="0.3">
      <c r="A129" s="433" t="s">
        <v>1062</v>
      </c>
      <c r="B129" s="433"/>
      <c r="C129" s="434"/>
      <c r="D129" s="434"/>
      <c r="E129" s="434"/>
      <c r="F129" s="434"/>
      <c r="G129" s="438"/>
      <c r="H129" s="434"/>
      <c r="I129" s="434"/>
      <c r="J129" s="435"/>
      <c r="K129" s="434"/>
      <c r="L129" s="434">
        <v>620475</v>
      </c>
      <c r="M129" s="434">
        <v>620475</v>
      </c>
      <c r="N129" s="434">
        <v>620475</v>
      </c>
    </row>
    <row r="130" spans="1:14" x14ac:dyDescent="0.3">
      <c r="A130" t="s">
        <v>1063</v>
      </c>
      <c r="B130" t="s">
        <v>3570</v>
      </c>
      <c r="C130" s="352">
        <v>-5000</v>
      </c>
      <c r="D130" s="352"/>
      <c r="E130" s="352"/>
      <c r="F130" s="352">
        <v>-5000</v>
      </c>
      <c r="G130" s="437">
        <v>62149.999999999993</v>
      </c>
      <c r="H130" s="352">
        <v>0</v>
      </c>
      <c r="I130" s="352">
        <v>0</v>
      </c>
      <c r="J130" s="352">
        <v>62149.999999999993</v>
      </c>
      <c r="K130" s="352">
        <v>0</v>
      </c>
      <c r="L130" s="352">
        <v>0</v>
      </c>
      <c r="M130" s="352">
        <v>62149.999999999993</v>
      </c>
      <c r="N130" s="352">
        <v>0</v>
      </c>
    </row>
    <row r="131" spans="1:14" x14ac:dyDescent="0.3">
      <c r="A131" t="s">
        <v>1063</v>
      </c>
      <c r="B131" t="s">
        <v>3571</v>
      </c>
      <c r="C131" s="352">
        <v>-4900</v>
      </c>
      <c r="D131" s="352"/>
      <c r="E131" s="352"/>
      <c r="F131" s="352">
        <v>-4900</v>
      </c>
      <c r="G131" s="437">
        <v>60906.999999999993</v>
      </c>
      <c r="H131" s="352">
        <v>0</v>
      </c>
      <c r="I131" s="352">
        <v>0</v>
      </c>
      <c r="J131" s="352">
        <v>60906.999999999993</v>
      </c>
      <c r="K131" s="352">
        <v>0</v>
      </c>
      <c r="L131" s="352">
        <v>0</v>
      </c>
      <c r="M131" s="352">
        <v>60906.999999999993</v>
      </c>
      <c r="N131" s="352">
        <v>0</v>
      </c>
    </row>
    <row r="132" spans="1:14" x14ac:dyDescent="0.3">
      <c r="A132" s="433" t="s">
        <v>1064</v>
      </c>
      <c r="B132" s="433"/>
      <c r="C132" s="434">
        <v>-9900</v>
      </c>
      <c r="D132" s="434"/>
      <c r="E132" s="434"/>
      <c r="F132" s="434">
        <v>-9900</v>
      </c>
      <c r="G132" s="438">
        <v>123056.99999999999</v>
      </c>
      <c r="H132" s="434">
        <v>0</v>
      </c>
      <c r="I132" s="434">
        <v>0</v>
      </c>
      <c r="J132" s="435">
        <v>123056.99999999999</v>
      </c>
      <c r="K132" s="434">
        <v>0</v>
      </c>
      <c r="L132" s="434">
        <v>0</v>
      </c>
      <c r="M132" s="434">
        <v>123056.99999999999</v>
      </c>
      <c r="N132" s="434">
        <v>0</v>
      </c>
    </row>
    <row r="133" spans="1:14" hidden="1" x14ac:dyDescent="0.3">
      <c r="A133" t="s">
        <v>3572</v>
      </c>
      <c r="B133" t="s">
        <v>3573</v>
      </c>
      <c r="C133" s="352">
        <v>-26100</v>
      </c>
      <c r="D133" s="352"/>
      <c r="E133" s="432"/>
      <c r="F133" s="352">
        <v>-26100</v>
      </c>
      <c r="G133" s="437">
        <v>324422.99999999994</v>
      </c>
      <c r="H133" s="352">
        <v>0</v>
      </c>
      <c r="I133" s="352">
        <v>0</v>
      </c>
      <c r="J133" s="352">
        <v>324422.99999999994</v>
      </c>
      <c r="K133" s="352">
        <v>0</v>
      </c>
      <c r="L133" s="352">
        <v>0</v>
      </c>
      <c r="M133" s="352">
        <v>324422.99999999994</v>
      </c>
      <c r="N133" s="352">
        <v>0</v>
      </c>
    </row>
    <row r="134" spans="1:14" x14ac:dyDescent="0.3">
      <c r="A134" s="433" t="s">
        <v>3574</v>
      </c>
      <c r="B134" s="433"/>
      <c r="C134" s="434">
        <v>-26100</v>
      </c>
      <c r="D134" s="434"/>
      <c r="E134" s="434"/>
      <c r="F134" s="434">
        <v>-26100</v>
      </c>
      <c r="G134" s="438">
        <v>324422.99999999994</v>
      </c>
      <c r="H134" s="434">
        <v>0</v>
      </c>
      <c r="I134" s="434">
        <v>0</v>
      </c>
      <c r="J134" s="435">
        <v>324422.99999999994</v>
      </c>
      <c r="K134" s="434">
        <v>0</v>
      </c>
      <c r="L134" s="434">
        <v>0</v>
      </c>
      <c r="M134" s="434">
        <v>324422.99999999994</v>
      </c>
      <c r="N134" s="434">
        <v>0</v>
      </c>
    </row>
    <row r="135" spans="1:14" x14ac:dyDescent="0.3">
      <c r="A135" t="s">
        <v>3575</v>
      </c>
      <c r="B135" t="s">
        <v>910</v>
      </c>
      <c r="C135" s="352"/>
      <c r="D135" s="352"/>
      <c r="E135" s="352"/>
      <c r="F135" s="352"/>
      <c r="G135" s="437"/>
      <c r="H135" s="352"/>
      <c r="I135" s="352"/>
      <c r="J135" s="352"/>
      <c r="K135" s="352">
        <v>203049</v>
      </c>
      <c r="L135" s="352">
        <v>0</v>
      </c>
      <c r="M135" s="352">
        <v>203049</v>
      </c>
      <c r="N135" s="352">
        <v>203049</v>
      </c>
    </row>
    <row r="136" spans="1:14" x14ac:dyDescent="0.3">
      <c r="A136" s="433" t="s">
        <v>3576</v>
      </c>
      <c r="B136" s="433"/>
      <c r="C136" s="434"/>
      <c r="D136" s="434"/>
      <c r="E136" s="434"/>
      <c r="F136" s="434"/>
      <c r="G136" s="438"/>
      <c r="H136" s="434"/>
      <c r="I136" s="434"/>
      <c r="J136" s="435"/>
      <c r="K136" s="434">
        <v>203049</v>
      </c>
      <c r="L136" s="434">
        <v>0</v>
      </c>
      <c r="M136" s="434">
        <v>203049</v>
      </c>
      <c r="N136" s="434">
        <v>203049</v>
      </c>
    </row>
    <row r="137" spans="1:14" x14ac:dyDescent="0.3">
      <c r="A137" t="s">
        <v>3577</v>
      </c>
      <c r="B137" t="s">
        <v>3578</v>
      </c>
      <c r="C137" s="352">
        <v>-4900</v>
      </c>
      <c r="D137" s="352"/>
      <c r="E137" s="352"/>
      <c r="F137" s="352">
        <v>-4900</v>
      </c>
      <c r="G137" s="437">
        <v>60906.999999999993</v>
      </c>
      <c r="H137" s="352">
        <v>0</v>
      </c>
      <c r="I137" s="352">
        <v>0</v>
      </c>
      <c r="J137" s="352">
        <v>60906.999999999993</v>
      </c>
      <c r="K137" s="352">
        <v>0</v>
      </c>
      <c r="L137" s="352">
        <v>0</v>
      </c>
      <c r="M137" s="352">
        <v>60906.999999999993</v>
      </c>
      <c r="N137" s="352">
        <v>0</v>
      </c>
    </row>
    <row r="138" spans="1:14" x14ac:dyDescent="0.3">
      <c r="A138" s="433" t="s">
        <v>3579</v>
      </c>
      <c r="B138" s="433"/>
      <c r="C138" s="434">
        <v>-4900</v>
      </c>
      <c r="D138" s="434"/>
      <c r="E138" s="434"/>
      <c r="F138" s="434">
        <v>-4900</v>
      </c>
      <c r="G138" s="438">
        <v>60906.999999999993</v>
      </c>
      <c r="H138" s="434">
        <v>0</v>
      </c>
      <c r="I138" s="434">
        <v>0</v>
      </c>
      <c r="J138" s="435">
        <v>60906.999999999993</v>
      </c>
      <c r="K138" s="434">
        <v>0</v>
      </c>
      <c r="L138" s="434">
        <v>0</v>
      </c>
      <c r="M138" s="434">
        <v>60906.999999999993</v>
      </c>
      <c r="N138" s="434">
        <v>0</v>
      </c>
    </row>
    <row r="139" spans="1:14" x14ac:dyDescent="0.3">
      <c r="A139" t="s">
        <v>1065</v>
      </c>
      <c r="B139" t="s">
        <v>1069</v>
      </c>
      <c r="C139" s="352">
        <v>-53400</v>
      </c>
      <c r="D139" s="352"/>
      <c r="E139" s="352"/>
      <c r="F139" s="352">
        <v>-53400</v>
      </c>
      <c r="G139" s="437">
        <v>663761.99999999988</v>
      </c>
      <c r="H139" s="352">
        <v>0</v>
      </c>
      <c r="I139" s="352">
        <v>0</v>
      </c>
      <c r="J139" s="352">
        <v>663761.99999999988</v>
      </c>
      <c r="K139" s="352">
        <v>116424</v>
      </c>
      <c r="L139" s="352">
        <v>269585.69849225995</v>
      </c>
      <c r="M139" s="352">
        <v>1049771.6984922597</v>
      </c>
      <c r="N139" s="352">
        <v>386009.69849225995</v>
      </c>
    </row>
    <row r="140" spans="1:14" x14ac:dyDescent="0.3">
      <c r="A140" t="s">
        <v>1065</v>
      </c>
      <c r="B140" t="s">
        <v>1066</v>
      </c>
      <c r="C140" s="352"/>
      <c r="D140" s="352"/>
      <c r="E140" s="352"/>
      <c r="F140" s="352"/>
      <c r="G140" s="437"/>
      <c r="H140" s="352"/>
      <c r="I140" s="352"/>
      <c r="J140" s="352"/>
      <c r="K140" s="352"/>
      <c r="L140" s="352">
        <v>213956.90356528567</v>
      </c>
      <c r="M140" s="352">
        <v>213956.90356528567</v>
      </c>
      <c r="N140" s="352">
        <v>213956.90356528567</v>
      </c>
    </row>
    <row r="141" spans="1:14" x14ac:dyDescent="0.3">
      <c r="A141" t="s">
        <v>1065</v>
      </c>
      <c r="B141" t="s">
        <v>1067</v>
      </c>
      <c r="C141" s="352"/>
      <c r="D141" s="352"/>
      <c r="E141" s="352"/>
      <c r="F141" s="352"/>
      <c r="G141" s="430"/>
      <c r="H141" s="352"/>
      <c r="I141" s="352"/>
      <c r="J141" s="352"/>
      <c r="K141" s="352"/>
      <c r="L141" s="352">
        <v>427913.80713057134</v>
      </c>
      <c r="M141" s="352">
        <v>427913.80713057134</v>
      </c>
      <c r="N141" s="352">
        <v>427913.80713057134</v>
      </c>
    </row>
    <row r="142" spans="1:14" x14ac:dyDescent="0.3">
      <c r="A142" t="s">
        <v>1065</v>
      </c>
      <c r="B142" t="s">
        <v>1068</v>
      </c>
      <c r="C142" s="352"/>
      <c r="D142" s="352"/>
      <c r="E142" s="352"/>
      <c r="F142" s="352"/>
      <c r="G142" s="430"/>
      <c r="H142" s="352"/>
      <c r="I142" s="352"/>
      <c r="J142" s="352"/>
      <c r="K142" s="352"/>
      <c r="L142" s="352">
        <v>620475.02033932845</v>
      </c>
      <c r="M142" s="352">
        <v>620475.02033932845</v>
      </c>
      <c r="N142" s="352">
        <v>620475.02033932845</v>
      </c>
    </row>
    <row r="143" spans="1:14" x14ac:dyDescent="0.3">
      <c r="A143" t="s">
        <v>1065</v>
      </c>
      <c r="B143" t="s">
        <v>1070</v>
      </c>
      <c r="C143" s="352"/>
      <c r="D143" s="352"/>
      <c r="E143" s="352"/>
      <c r="F143" s="352"/>
      <c r="G143" s="430"/>
      <c r="H143" s="352"/>
      <c r="I143" s="352"/>
      <c r="J143" s="352"/>
      <c r="K143" s="352"/>
      <c r="L143" s="352">
        <v>492100.87820015708</v>
      </c>
      <c r="M143" s="352">
        <v>492100.87820015708</v>
      </c>
      <c r="N143" s="352">
        <v>492100.87820015708</v>
      </c>
    </row>
    <row r="144" spans="1:14" x14ac:dyDescent="0.3">
      <c r="A144" t="s">
        <v>1065</v>
      </c>
      <c r="B144" t="s">
        <v>1071</v>
      </c>
      <c r="C144" s="352"/>
      <c r="D144" s="352"/>
      <c r="E144" s="352"/>
      <c r="F144" s="352"/>
      <c r="G144" s="430"/>
      <c r="H144" s="352"/>
      <c r="I144" s="352"/>
      <c r="J144" s="352"/>
      <c r="K144" s="352"/>
      <c r="L144" s="352">
        <v>1133971.588896014</v>
      </c>
      <c r="M144" s="352">
        <v>1133971.588896014</v>
      </c>
      <c r="N144" s="352">
        <v>1133971.588896014</v>
      </c>
    </row>
    <row r="145" spans="1:14" x14ac:dyDescent="0.3">
      <c r="A145" s="433" t="s">
        <v>1072</v>
      </c>
      <c r="B145" s="433"/>
      <c r="C145" s="434">
        <v>-53400</v>
      </c>
      <c r="D145" s="434"/>
      <c r="E145" s="434"/>
      <c r="F145" s="434">
        <v>-53400</v>
      </c>
      <c r="G145" s="434">
        <v>663761.99999999988</v>
      </c>
      <c r="H145" s="434">
        <v>0</v>
      </c>
      <c r="I145" s="434">
        <v>0</v>
      </c>
      <c r="J145" s="435">
        <v>663761.99999999988</v>
      </c>
      <c r="K145" s="434">
        <v>116424</v>
      </c>
      <c r="L145" s="434">
        <v>3158003.8966236166</v>
      </c>
      <c r="M145" s="434">
        <v>3938189.8966236166</v>
      </c>
      <c r="N145" s="434">
        <v>3274427.8966236166</v>
      </c>
    </row>
    <row r="146" spans="1:14" x14ac:dyDescent="0.3">
      <c r="A146" t="s">
        <v>1073</v>
      </c>
      <c r="B146" t="s">
        <v>1074</v>
      </c>
      <c r="C146" s="352">
        <v>-6100</v>
      </c>
      <c r="D146" s="352"/>
      <c r="E146" s="352"/>
      <c r="F146" s="352">
        <v>-6100</v>
      </c>
      <c r="G146" s="430">
        <v>75823</v>
      </c>
      <c r="H146" s="352">
        <v>0</v>
      </c>
      <c r="I146" s="352">
        <v>0</v>
      </c>
      <c r="J146" s="352">
        <v>75823</v>
      </c>
      <c r="K146" s="352">
        <v>76230</v>
      </c>
      <c r="L146" s="352">
        <v>526333.9827706028</v>
      </c>
      <c r="M146" s="352">
        <v>678386.9827706028</v>
      </c>
      <c r="N146" s="352">
        <v>602563.9827706028</v>
      </c>
    </row>
    <row r="147" spans="1:14" x14ac:dyDescent="0.3">
      <c r="A147" s="433" t="s">
        <v>1075</v>
      </c>
      <c r="B147" s="433"/>
      <c r="C147" s="434">
        <v>-6100</v>
      </c>
      <c r="D147" s="434"/>
      <c r="E147" s="434"/>
      <c r="F147" s="434">
        <v>-6100</v>
      </c>
      <c r="G147" s="434">
        <v>75823</v>
      </c>
      <c r="H147" s="434">
        <v>0</v>
      </c>
      <c r="I147" s="434">
        <v>0</v>
      </c>
      <c r="J147" s="435">
        <v>75823</v>
      </c>
      <c r="K147" s="434">
        <v>76230</v>
      </c>
      <c r="L147" s="434">
        <v>526333.9827706028</v>
      </c>
      <c r="M147" s="434">
        <v>678386.9827706028</v>
      </c>
      <c r="N147" s="434">
        <v>602563.9827706028</v>
      </c>
    </row>
    <row r="148" spans="1:14" x14ac:dyDescent="0.3">
      <c r="A148" t="s">
        <v>1076</v>
      </c>
      <c r="B148" t="s">
        <v>1088</v>
      </c>
      <c r="C148" s="352"/>
      <c r="D148" s="352"/>
      <c r="E148" s="352"/>
      <c r="F148" s="352"/>
      <c r="G148" s="430"/>
      <c r="H148" s="352"/>
      <c r="I148" s="352"/>
      <c r="J148" s="352"/>
      <c r="K148" s="352">
        <v>47124</v>
      </c>
      <c r="L148" s="352">
        <v>620475.02033932845</v>
      </c>
      <c r="M148" s="352">
        <v>667599.02033932845</v>
      </c>
      <c r="N148" s="352">
        <v>667599.02033932845</v>
      </c>
    </row>
    <row r="149" spans="1:14" x14ac:dyDescent="0.3">
      <c r="A149" t="s">
        <v>1076</v>
      </c>
      <c r="B149" t="s">
        <v>3182</v>
      </c>
      <c r="C149" s="352"/>
      <c r="D149" s="352"/>
      <c r="E149" s="352"/>
      <c r="F149" s="352"/>
      <c r="G149" s="430"/>
      <c r="H149" s="352"/>
      <c r="I149" s="352"/>
      <c r="J149" s="352"/>
      <c r="K149" s="352">
        <v>29106</v>
      </c>
      <c r="L149" s="352">
        <v>0</v>
      </c>
      <c r="M149" s="352">
        <v>29106</v>
      </c>
      <c r="N149" s="352">
        <v>29106</v>
      </c>
    </row>
    <row r="150" spans="1:14" x14ac:dyDescent="0.3">
      <c r="A150" t="s">
        <v>1076</v>
      </c>
      <c r="B150" t="s">
        <v>3176</v>
      </c>
      <c r="C150" s="352"/>
      <c r="D150" s="352">
        <v>-11800</v>
      </c>
      <c r="E150" s="352"/>
      <c r="F150" s="352">
        <v>-11800</v>
      </c>
      <c r="G150" s="430">
        <v>0</v>
      </c>
      <c r="H150" s="352">
        <v>146674</v>
      </c>
      <c r="I150" s="352">
        <v>0</v>
      </c>
      <c r="J150" s="352">
        <v>146674</v>
      </c>
      <c r="K150" s="352">
        <v>0</v>
      </c>
      <c r="L150" s="352">
        <v>0</v>
      </c>
      <c r="M150" s="352">
        <v>146674</v>
      </c>
      <c r="N150" s="352">
        <v>0</v>
      </c>
    </row>
    <row r="151" spans="1:14" x14ac:dyDescent="0.3">
      <c r="A151" t="s">
        <v>1076</v>
      </c>
      <c r="B151" t="s">
        <v>905</v>
      </c>
      <c r="C151" s="352"/>
      <c r="D151" s="352"/>
      <c r="E151" s="352"/>
      <c r="F151" s="352"/>
      <c r="G151" s="430"/>
      <c r="H151" s="352"/>
      <c r="I151" s="352"/>
      <c r="J151" s="352"/>
      <c r="K151" s="352"/>
      <c r="L151" s="352">
        <v>620475.02033932845</v>
      </c>
      <c r="M151" s="352">
        <v>620475.02033932845</v>
      </c>
      <c r="N151" s="352">
        <v>620475.02033932845</v>
      </c>
    </row>
    <row r="152" spans="1:14" x14ac:dyDescent="0.3">
      <c r="A152" t="s">
        <v>1076</v>
      </c>
      <c r="B152" t="s">
        <v>1078</v>
      </c>
      <c r="C152" s="352"/>
      <c r="D152" s="352"/>
      <c r="E152" s="352"/>
      <c r="F152" s="352"/>
      <c r="G152" s="430"/>
      <c r="H152" s="352"/>
      <c r="I152" s="352"/>
      <c r="J152" s="352"/>
      <c r="K152" s="352"/>
      <c r="L152" s="352">
        <v>128374.1421391714</v>
      </c>
      <c r="M152" s="352">
        <v>128374.1421391714</v>
      </c>
      <c r="N152" s="352">
        <v>128374.1421391714</v>
      </c>
    </row>
    <row r="153" spans="1:14" x14ac:dyDescent="0.3">
      <c r="A153" t="s">
        <v>1076</v>
      </c>
      <c r="B153" t="s">
        <v>1080</v>
      </c>
      <c r="C153" s="352"/>
      <c r="D153" s="352"/>
      <c r="E153" s="352"/>
      <c r="F153" s="352"/>
      <c r="G153" s="430"/>
      <c r="H153" s="352"/>
      <c r="I153" s="352"/>
      <c r="J153" s="352"/>
      <c r="K153" s="352"/>
      <c r="L153" s="352">
        <v>470705.18784362852</v>
      </c>
      <c r="M153" s="352">
        <v>470705.18784362852</v>
      </c>
      <c r="N153" s="352">
        <v>470705.18784362852</v>
      </c>
    </row>
    <row r="154" spans="1:14" x14ac:dyDescent="0.3">
      <c r="A154" t="s">
        <v>1076</v>
      </c>
      <c r="B154" t="s">
        <v>1082</v>
      </c>
      <c r="C154" s="352"/>
      <c r="D154" s="352"/>
      <c r="E154" s="352"/>
      <c r="F154" s="352"/>
      <c r="G154" s="430"/>
      <c r="H154" s="352"/>
      <c r="I154" s="352"/>
      <c r="J154" s="352"/>
      <c r="K154" s="352"/>
      <c r="L154" s="352">
        <v>78398.926718441202</v>
      </c>
      <c r="M154" s="352">
        <v>78398.926718441202</v>
      </c>
      <c r="N154" s="352">
        <v>78398.926718441202</v>
      </c>
    </row>
    <row r="155" spans="1:14" x14ac:dyDescent="0.3">
      <c r="A155" t="s">
        <v>1076</v>
      </c>
      <c r="B155" t="s">
        <v>1084</v>
      </c>
      <c r="C155" s="352"/>
      <c r="D155" s="352"/>
      <c r="E155" s="352"/>
      <c r="F155" s="352"/>
      <c r="G155" s="430"/>
      <c r="H155" s="352"/>
      <c r="I155" s="352"/>
      <c r="J155" s="352"/>
      <c r="K155" s="352"/>
      <c r="L155" s="352">
        <v>620475.02033932845</v>
      </c>
      <c r="M155" s="352">
        <v>620475.02033932845</v>
      </c>
      <c r="N155" s="352">
        <v>620475.02033932845</v>
      </c>
    </row>
    <row r="156" spans="1:14" x14ac:dyDescent="0.3">
      <c r="A156" t="s">
        <v>1076</v>
      </c>
      <c r="B156" t="s">
        <v>900</v>
      </c>
      <c r="C156" s="352"/>
      <c r="D156" s="352"/>
      <c r="E156" s="352"/>
      <c r="F156" s="352"/>
      <c r="G156" s="430"/>
      <c r="H156" s="352"/>
      <c r="I156" s="352"/>
      <c r="J156" s="352"/>
      <c r="K156" s="352"/>
      <c r="L156" s="352">
        <v>1240950.0406786569</v>
      </c>
      <c r="M156" s="352">
        <v>1240950.0406786569</v>
      </c>
      <c r="N156" s="352">
        <v>1240950.0406786569</v>
      </c>
    </row>
    <row r="157" spans="1:14" x14ac:dyDescent="0.3">
      <c r="A157" t="s">
        <v>1076</v>
      </c>
      <c r="B157" t="s">
        <v>1087</v>
      </c>
      <c r="C157" s="352"/>
      <c r="D157" s="352"/>
      <c r="E157" s="352"/>
      <c r="F157" s="352"/>
      <c r="G157" s="430"/>
      <c r="H157" s="352"/>
      <c r="I157" s="352"/>
      <c r="J157" s="352"/>
      <c r="K157" s="352"/>
      <c r="L157" s="352">
        <v>1116855.036610791</v>
      </c>
      <c r="M157" s="352">
        <v>1116855.036610791</v>
      </c>
      <c r="N157" s="352">
        <v>1116855.036610791</v>
      </c>
    </row>
    <row r="158" spans="1:14" x14ac:dyDescent="0.3">
      <c r="A158" t="s">
        <v>1076</v>
      </c>
      <c r="B158" t="s">
        <v>1089</v>
      </c>
      <c r="C158" s="352"/>
      <c r="D158" s="352"/>
      <c r="E158" s="352"/>
      <c r="F158" s="352"/>
      <c r="G158" s="430"/>
      <c r="H158" s="352"/>
      <c r="I158" s="352"/>
      <c r="J158" s="352"/>
      <c r="K158" s="352"/>
      <c r="L158" s="352">
        <v>2297897.1442911685</v>
      </c>
      <c r="M158" s="352">
        <v>2297897.1442911685</v>
      </c>
      <c r="N158" s="352">
        <v>2297897.1442911685</v>
      </c>
    </row>
    <row r="159" spans="1:14" x14ac:dyDescent="0.3">
      <c r="A159" s="433" t="s">
        <v>1090</v>
      </c>
      <c r="B159" s="433"/>
      <c r="C159" s="434"/>
      <c r="D159" s="434">
        <v>-11800</v>
      </c>
      <c r="E159" s="434"/>
      <c r="F159" s="434">
        <v>-11800</v>
      </c>
      <c r="G159" s="434">
        <v>0</v>
      </c>
      <c r="H159" s="434">
        <v>146674</v>
      </c>
      <c r="I159" s="434">
        <v>0</v>
      </c>
      <c r="J159" s="435">
        <v>146674</v>
      </c>
      <c r="K159" s="434">
        <v>76230</v>
      </c>
      <c r="L159" s="434">
        <v>7194605.5392998429</v>
      </c>
      <c r="M159" s="434">
        <v>7417509.5392998429</v>
      </c>
      <c r="N159" s="434">
        <v>7270835.5392998429</v>
      </c>
    </row>
    <row r="160" spans="1:14" x14ac:dyDescent="0.3">
      <c r="A160" t="s">
        <v>1091</v>
      </c>
      <c r="B160" t="s">
        <v>877</v>
      </c>
      <c r="C160" s="352"/>
      <c r="D160" s="352"/>
      <c r="E160" s="352"/>
      <c r="F160" s="352"/>
      <c r="G160" s="430"/>
      <c r="H160" s="352"/>
      <c r="I160" s="352"/>
      <c r="J160" s="352"/>
      <c r="K160" s="352">
        <v>15246</v>
      </c>
      <c r="L160" s="352">
        <v>0</v>
      </c>
      <c r="M160" s="352">
        <v>15246</v>
      </c>
      <c r="N160" s="352">
        <v>15246</v>
      </c>
    </row>
    <row r="161" spans="1:14" x14ac:dyDescent="0.3">
      <c r="A161" t="s">
        <v>1091</v>
      </c>
      <c r="B161" t="s">
        <v>1092</v>
      </c>
      <c r="C161" s="352"/>
      <c r="D161" s="352"/>
      <c r="E161" s="352"/>
      <c r="F161" s="352"/>
      <c r="G161" s="430"/>
      <c r="H161" s="352"/>
      <c r="I161" s="352"/>
      <c r="J161" s="352"/>
      <c r="K161" s="352"/>
      <c r="L161" s="352">
        <v>957387.0272597326</v>
      </c>
      <c r="M161" s="352">
        <v>957387.0272597326</v>
      </c>
      <c r="N161" s="352">
        <v>957387.0272597326</v>
      </c>
    </row>
    <row r="162" spans="1:14" x14ac:dyDescent="0.3">
      <c r="A162" t="s">
        <v>1091</v>
      </c>
      <c r="B162" t="s">
        <v>1095</v>
      </c>
      <c r="C162" s="352"/>
      <c r="D162" s="352"/>
      <c r="E162" s="352"/>
      <c r="F162" s="352"/>
      <c r="G162" s="430"/>
      <c r="H162" s="352"/>
      <c r="I162" s="352"/>
      <c r="J162" s="352"/>
      <c r="K162" s="352"/>
      <c r="L162" s="352">
        <v>213956.90356528567</v>
      </c>
      <c r="M162" s="352">
        <v>213956.90356528567</v>
      </c>
      <c r="N162" s="352">
        <v>213956.90356528567</v>
      </c>
    </row>
    <row r="163" spans="1:14" x14ac:dyDescent="0.3">
      <c r="A163" s="433" t="s">
        <v>1096</v>
      </c>
      <c r="B163" s="433"/>
      <c r="C163" s="434"/>
      <c r="D163" s="434"/>
      <c r="E163" s="434"/>
      <c r="F163" s="434"/>
      <c r="G163" s="434"/>
      <c r="H163" s="434"/>
      <c r="I163" s="434"/>
      <c r="J163" s="435"/>
      <c r="K163" s="434">
        <v>15246</v>
      </c>
      <c r="L163" s="434">
        <v>1171343.9308250183</v>
      </c>
      <c r="M163" s="434">
        <v>1186589.9308250183</v>
      </c>
      <c r="N163" s="434">
        <v>1186589.9308250183</v>
      </c>
    </row>
    <row r="164" spans="1:14" x14ac:dyDescent="0.3">
      <c r="A164" t="s">
        <v>1097</v>
      </c>
      <c r="B164" t="s">
        <v>1099</v>
      </c>
      <c r="C164" s="352">
        <v>-140859.99999999997</v>
      </c>
      <c r="D164" s="352"/>
      <c r="E164" s="352"/>
      <c r="F164" s="352">
        <v>-140859.99999999997</v>
      </c>
      <c r="G164" s="430">
        <v>1750889.7999999996</v>
      </c>
      <c r="H164" s="352">
        <v>0</v>
      </c>
      <c r="I164" s="352">
        <v>0</v>
      </c>
      <c r="J164" s="352">
        <v>1750889.7999999996</v>
      </c>
      <c r="K164" s="352">
        <v>209563.1999999996</v>
      </c>
      <c r="L164" s="352">
        <v>273864.83656356565</v>
      </c>
      <c r="M164" s="352">
        <v>2234317.8365635648</v>
      </c>
      <c r="N164" s="352">
        <v>483428.03656356526</v>
      </c>
    </row>
    <row r="165" spans="1:14" x14ac:dyDescent="0.3">
      <c r="A165" t="s">
        <v>1097</v>
      </c>
      <c r="B165" t="s">
        <v>3580</v>
      </c>
      <c r="C165" s="352">
        <v>-26650</v>
      </c>
      <c r="D165" s="352"/>
      <c r="E165" s="352"/>
      <c r="F165" s="352">
        <v>-26650</v>
      </c>
      <c r="G165" s="430">
        <v>331259.49999999994</v>
      </c>
      <c r="H165" s="352">
        <v>0</v>
      </c>
      <c r="I165" s="352">
        <v>0</v>
      </c>
      <c r="J165" s="352">
        <v>331259.49999999994</v>
      </c>
      <c r="K165" s="352">
        <v>0</v>
      </c>
      <c r="L165" s="352">
        <v>0</v>
      </c>
      <c r="M165" s="352">
        <v>331259.49999999994</v>
      </c>
      <c r="N165" s="352">
        <v>0</v>
      </c>
    </row>
    <row r="166" spans="1:14" x14ac:dyDescent="0.3">
      <c r="A166" t="s">
        <v>1097</v>
      </c>
      <c r="B166" t="s">
        <v>1100</v>
      </c>
      <c r="C166" s="352"/>
      <c r="D166" s="352"/>
      <c r="E166" s="352">
        <v>-2200</v>
      </c>
      <c r="F166" s="352">
        <v>-2200</v>
      </c>
      <c r="G166" s="430">
        <v>0</v>
      </c>
      <c r="H166" s="352">
        <v>0</v>
      </c>
      <c r="I166" s="352">
        <v>27345.999999999996</v>
      </c>
      <c r="J166" s="352">
        <v>27345.999999999996</v>
      </c>
      <c r="K166" s="352">
        <v>0</v>
      </c>
      <c r="L166" s="352">
        <v>5875256.5719027445</v>
      </c>
      <c r="M166" s="352">
        <v>5902602.5719027445</v>
      </c>
      <c r="N166" s="352">
        <v>5875256.5719027445</v>
      </c>
    </row>
    <row r="167" spans="1:14" x14ac:dyDescent="0.3">
      <c r="A167" t="s">
        <v>1097</v>
      </c>
      <c r="B167" t="s">
        <v>1101</v>
      </c>
      <c r="C167" s="352">
        <v>-25800</v>
      </c>
      <c r="D167" s="352"/>
      <c r="E167" s="352"/>
      <c r="F167" s="352">
        <v>-25800</v>
      </c>
      <c r="G167" s="430">
        <v>320693.99999999994</v>
      </c>
      <c r="H167" s="352">
        <v>0</v>
      </c>
      <c r="I167" s="352">
        <v>0</v>
      </c>
      <c r="J167" s="352">
        <v>320693.99999999994</v>
      </c>
      <c r="K167" s="352">
        <v>0</v>
      </c>
      <c r="L167" s="352">
        <v>1240950.0406786569</v>
      </c>
      <c r="M167" s="352">
        <v>1561644.0406786569</v>
      </c>
      <c r="N167" s="352">
        <v>1240950.0406786569</v>
      </c>
    </row>
    <row r="168" spans="1:14" x14ac:dyDescent="0.3">
      <c r="A168" t="s">
        <v>1097</v>
      </c>
      <c r="B168" t="s">
        <v>1102</v>
      </c>
      <c r="C168" s="352">
        <v>-39532.206896551725</v>
      </c>
      <c r="D168" s="352"/>
      <c r="E168" s="352"/>
      <c r="F168" s="352">
        <v>-39532.206896551725</v>
      </c>
      <c r="G168" s="430">
        <v>491385.33172413788</v>
      </c>
      <c r="H168" s="352">
        <v>0</v>
      </c>
      <c r="I168" s="352">
        <v>0</v>
      </c>
      <c r="J168" s="352">
        <v>491385.33172413788</v>
      </c>
      <c r="K168" s="352">
        <v>0</v>
      </c>
      <c r="L168" s="352">
        <v>504938.29241407418</v>
      </c>
      <c r="M168" s="352">
        <v>996323.62413821206</v>
      </c>
      <c r="N168" s="352">
        <v>504938.29241407418</v>
      </c>
    </row>
    <row r="169" spans="1:14" x14ac:dyDescent="0.3">
      <c r="A169" t="s">
        <v>1097</v>
      </c>
      <c r="B169" t="s">
        <v>3145</v>
      </c>
      <c r="C169" s="352">
        <v>-180600</v>
      </c>
      <c r="D169" s="352"/>
      <c r="E169" s="352"/>
      <c r="F169" s="352">
        <v>-180600</v>
      </c>
      <c r="G169" s="430">
        <v>2244858</v>
      </c>
      <c r="H169" s="352">
        <v>0</v>
      </c>
      <c r="I169" s="352">
        <v>0</v>
      </c>
      <c r="J169" s="352">
        <v>2244858</v>
      </c>
      <c r="K169" s="352">
        <v>0</v>
      </c>
      <c r="L169" s="352">
        <v>0</v>
      </c>
      <c r="M169" s="352">
        <v>2244858</v>
      </c>
      <c r="N169" s="352">
        <v>0</v>
      </c>
    </row>
    <row r="170" spans="1:14" x14ac:dyDescent="0.3">
      <c r="A170" t="s">
        <v>1097</v>
      </c>
      <c r="B170" t="s">
        <v>3147</v>
      </c>
      <c r="C170" s="352">
        <v>-103200</v>
      </c>
      <c r="D170" s="352"/>
      <c r="E170" s="352"/>
      <c r="F170" s="352">
        <v>-103200</v>
      </c>
      <c r="G170" s="430">
        <v>1282775.9999999998</v>
      </c>
      <c r="H170" s="352">
        <v>0</v>
      </c>
      <c r="I170" s="352">
        <v>0</v>
      </c>
      <c r="J170" s="352">
        <v>1282775.9999999998</v>
      </c>
      <c r="K170" s="352">
        <v>0</v>
      </c>
      <c r="L170" s="352">
        <v>0</v>
      </c>
      <c r="M170" s="352">
        <v>1282775.9999999998</v>
      </c>
      <c r="N170" s="352">
        <v>0</v>
      </c>
    </row>
    <row r="171" spans="1:14" x14ac:dyDescent="0.3">
      <c r="A171" s="433" t="s">
        <v>1103</v>
      </c>
      <c r="B171" s="433"/>
      <c r="C171" s="434">
        <v>-516642.20689655171</v>
      </c>
      <c r="D171" s="434"/>
      <c r="E171" s="434">
        <v>-2200</v>
      </c>
      <c r="F171" s="434">
        <v>-518842.20689655171</v>
      </c>
      <c r="G171" s="434">
        <v>6421862.6317241369</v>
      </c>
      <c r="H171" s="434">
        <v>0</v>
      </c>
      <c r="I171" s="434">
        <v>27345.999999999996</v>
      </c>
      <c r="J171" s="435">
        <v>6449208.6317241369</v>
      </c>
      <c r="K171" s="434">
        <v>209563.1999999996</v>
      </c>
      <c r="L171" s="434">
        <v>7895009.7415590417</v>
      </c>
      <c r="M171" s="434">
        <v>14553781.573283177</v>
      </c>
      <c r="N171" s="434">
        <v>8104572.9415590409</v>
      </c>
    </row>
    <row r="172" spans="1:14" x14ac:dyDescent="0.3">
      <c r="A172" t="s">
        <v>1104</v>
      </c>
      <c r="B172" t="s">
        <v>1106</v>
      </c>
      <c r="C172" s="352">
        <v>-147120</v>
      </c>
      <c r="D172" s="352"/>
      <c r="E172" s="352">
        <v>-61708.045977011512</v>
      </c>
      <c r="F172" s="352">
        <v>-208828.0459770115</v>
      </c>
      <c r="G172" s="430">
        <v>1828701.5999999999</v>
      </c>
      <c r="H172" s="352">
        <v>0</v>
      </c>
      <c r="I172" s="352">
        <v>767031.01149425306</v>
      </c>
      <c r="J172" s="352">
        <v>2595732.6114942525</v>
      </c>
      <c r="K172" s="352">
        <v>116424</v>
      </c>
      <c r="L172" s="352">
        <v>535666.93046060542</v>
      </c>
      <c r="M172" s="352">
        <v>3247823.5419548578</v>
      </c>
      <c r="N172" s="352">
        <v>652090.93046060542</v>
      </c>
    </row>
    <row r="173" spans="1:14" x14ac:dyDescent="0.3">
      <c r="A173" t="s">
        <v>1104</v>
      </c>
      <c r="B173" t="s">
        <v>3581</v>
      </c>
      <c r="C173" s="352">
        <v>-72203.149425287353</v>
      </c>
      <c r="D173" s="352"/>
      <c r="E173" s="352"/>
      <c r="F173" s="352">
        <v>-72203.149425287353</v>
      </c>
      <c r="G173" s="430">
        <v>897485.14735632169</v>
      </c>
      <c r="H173" s="352">
        <v>0</v>
      </c>
      <c r="I173" s="352">
        <v>0</v>
      </c>
      <c r="J173" s="352">
        <v>897485.14735632169</v>
      </c>
      <c r="K173" s="352">
        <v>0</v>
      </c>
      <c r="L173" s="352">
        <v>0</v>
      </c>
      <c r="M173" s="352">
        <v>897485.14735632169</v>
      </c>
      <c r="N173" s="352">
        <v>0</v>
      </c>
    </row>
    <row r="174" spans="1:14" x14ac:dyDescent="0.3">
      <c r="A174" t="s">
        <v>1104</v>
      </c>
      <c r="B174" t="s">
        <v>3582</v>
      </c>
      <c r="C174" s="352">
        <v>-79950</v>
      </c>
      <c r="D174" s="352"/>
      <c r="E174" s="352"/>
      <c r="F174" s="352">
        <v>-79950</v>
      </c>
      <c r="G174" s="430">
        <v>993778.49999999988</v>
      </c>
      <c r="H174" s="352">
        <v>0</v>
      </c>
      <c r="I174" s="352">
        <v>0</v>
      </c>
      <c r="J174" s="352">
        <v>993778.49999999988</v>
      </c>
      <c r="K174" s="352">
        <v>116424</v>
      </c>
      <c r="L174" s="352">
        <v>0</v>
      </c>
      <c r="M174" s="352">
        <v>1110202.5</v>
      </c>
      <c r="N174" s="352">
        <v>116424</v>
      </c>
    </row>
    <row r="175" spans="1:14" x14ac:dyDescent="0.3">
      <c r="A175" t="s">
        <v>1104</v>
      </c>
      <c r="B175" t="s">
        <v>1107</v>
      </c>
      <c r="C175" s="352">
        <v>-16300</v>
      </c>
      <c r="D175" s="352"/>
      <c r="E175" s="352">
        <v>-7500</v>
      </c>
      <c r="F175" s="352">
        <v>-23800</v>
      </c>
      <c r="G175" s="430">
        <v>202608.99999999997</v>
      </c>
      <c r="H175" s="352">
        <v>0</v>
      </c>
      <c r="I175" s="352">
        <v>93224.999999999985</v>
      </c>
      <c r="J175" s="352">
        <v>295834</v>
      </c>
      <c r="K175" s="352">
        <v>0</v>
      </c>
      <c r="L175" s="352">
        <v>3958202.715957786</v>
      </c>
      <c r="M175" s="352">
        <v>4254036.715957786</v>
      </c>
      <c r="N175" s="352">
        <v>3958202.715957786</v>
      </c>
    </row>
    <row r="176" spans="1:14" x14ac:dyDescent="0.3">
      <c r="A176" t="s">
        <v>1104</v>
      </c>
      <c r="B176" t="s">
        <v>1108</v>
      </c>
      <c r="C176" s="352"/>
      <c r="D176" s="352"/>
      <c r="E176" s="352"/>
      <c r="F176" s="352"/>
      <c r="G176" s="430"/>
      <c r="H176" s="352"/>
      <c r="I176" s="352"/>
      <c r="J176" s="352"/>
      <c r="K176" s="352"/>
      <c r="L176" s="352">
        <v>620475.02033932845</v>
      </c>
      <c r="M176" s="352">
        <v>620475.02033932845</v>
      </c>
      <c r="N176" s="352">
        <v>620475.02033932845</v>
      </c>
    </row>
    <row r="177" spans="1:14" x14ac:dyDescent="0.3">
      <c r="A177" t="s">
        <v>1104</v>
      </c>
      <c r="B177" t="s">
        <v>1109</v>
      </c>
      <c r="C177" s="352">
        <v>-21400</v>
      </c>
      <c r="D177" s="352"/>
      <c r="E177" s="352"/>
      <c r="F177" s="352">
        <v>-21400</v>
      </c>
      <c r="G177" s="430">
        <v>266002</v>
      </c>
      <c r="H177" s="352">
        <v>0</v>
      </c>
      <c r="I177" s="352">
        <v>0</v>
      </c>
      <c r="J177" s="352">
        <v>266002</v>
      </c>
      <c r="K177" s="352">
        <v>0</v>
      </c>
      <c r="L177" s="352">
        <v>620475.02033932845</v>
      </c>
      <c r="M177" s="352">
        <v>886477.02033932845</v>
      </c>
      <c r="N177" s="352">
        <v>620475.02033932845</v>
      </c>
    </row>
    <row r="178" spans="1:14" x14ac:dyDescent="0.3">
      <c r="A178" t="s">
        <v>1104</v>
      </c>
      <c r="B178" t="s">
        <v>3161</v>
      </c>
      <c r="C178" s="352">
        <v>-2600</v>
      </c>
      <c r="D178" s="352"/>
      <c r="E178" s="352"/>
      <c r="F178" s="352">
        <v>-2600</v>
      </c>
      <c r="G178" s="430">
        <v>32317.999999999996</v>
      </c>
      <c r="H178" s="352">
        <v>0</v>
      </c>
      <c r="I178" s="352">
        <v>0</v>
      </c>
      <c r="J178" s="352">
        <v>32317.999999999996</v>
      </c>
      <c r="K178" s="352">
        <v>0</v>
      </c>
      <c r="L178" s="352">
        <v>0</v>
      </c>
      <c r="M178" s="352">
        <v>32317.999999999996</v>
      </c>
      <c r="N178" s="352">
        <v>0</v>
      </c>
    </row>
    <row r="179" spans="1:14" x14ac:dyDescent="0.3">
      <c r="A179" s="433" t="s">
        <v>1110</v>
      </c>
      <c r="B179" s="433"/>
      <c r="C179" s="434">
        <v>-339573.14942528738</v>
      </c>
      <c r="D179" s="434"/>
      <c r="E179" s="434">
        <v>-69208.045977011512</v>
      </c>
      <c r="F179" s="434">
        <v>-408781.19540229882</v>
      </c>
      <c r="G179" s="434">
        <v>4220894.2473563217</v>
      </c>
      <c r="H179" s="434">
        <v>0</v>
      </c>
      <c r="I179" s="434">
        <v>860256.01149425306</v>
      </c>
      <c r="J179" s="435">
        <v>5081150.2588505736</v>
      </c>
      <c r="K179" s="434">
        <v>232848</v>
      </c>
      <c r="L179" s="434">
        <v>5734819.6870970475</v>
      </c>
      <c r="M179" s="434">
        <v>11048817.945947621</v>
      </c>
      <c r="N179" s="434">
        <v>5967667.6870970475</v>
      </c>
    </row>
    <row r="180" spans="1:14" x14ac:dyDescent="0.3">
      <c r="A180" t="s">
        <v>1111</v>
      </c>
      <c r="B180" t="s">
        <v>3583</v>
      </c>
      <c r="C180" s="352">
        <v>-164622.47126436781</v>
      </c>
      <c r="D180" s="352"/>
      <c r="E180" s="352"/>
      <c r="F180" s="352">
        <v>-164622.47126436781</v>
      </c>
      <c r="G180" s="430">
        <v>2046257.3178160915</v>
      </c>
      <c r="H180" s="352">
        <v>0</v>
      </c>
      <c r="I180" s="352">
        <v>0</v>
      </c>
      <c r="J180" s="352">
        <v>2046257.3178160915</v>
      </c>
      <c r="K180" s="352">
        <v>186278.40000000002</v>
      </c>
      <c r="L180" s="352">
        <v>0</v>
      </c>
      <c r="M180" s="352">
        <v>2232535.7178160916</v>
      </c>
      <c r="N180" s="352">
        <v>186278.40000000002</v>
      </c>
    </row>
    <row r="181" spans="1:14" x14ac:dyDescent="0.3">
      <c r="A181" t="s">
        <v>1111</v>
      </c>
      <c r="B181" t="s">
        <v>3584</v>
      </c>
      <c r="C181" s="352">
        <v>-101629.95331513745</v>
      </c>
      <c r="D181" s="352"/>
      <c r="E181" s="352"/>
      <c r="F181" s="352">
        <v>-101629.95331513745</v>
      </c>
      <c r="G181" s="430">
        <v>1263260.3197071583</v>
      </c>
      <c r="H181" s="352">
        <v>0</v>
      </c>
      <c r="I181" s="352">
        <v>0</v>
      </c>
      <c r="J181" s="352">
        <v>1263260.3197071583</v>
      </c>
      <c r="K181" s="352">
        <v>69854.399999999994</v>
      </c>
      <c r="L181" s="352">
        <v>0</v>
      </c>
      <c r="M181" s="352">
        <v>1333114.7197071582</v>
      </c>
      <c r="N181" s="352">
        <v>69854.399999999994</v>
      </c>
    </row>
    <row r="182" spans="1:14" x14ac:dyDescent="0.3">
      <c r="A182" t="s">
        <v>1111</v>
      </c>
      <c r="B182" t="s">
        <v>1112</v>
      </c>
      <c r="C182" s="352">
        <v>-29600</v>
      </c>
      <c r="D182" s="352"/>
      <c r="E182" s="352"/>
      <c r="F182" s="352">
        <v>-29600</v>
      </c>
      <c r="G182" s="430">
        <v>367927.99999999994</v>
      </c>
      <c r="H182" s="352">
        <v>0</v>
      </c>
      <c r="I182" s="352">
        <v>0</v>
      </c>
      <c r="J182" s="352">
        <v>367927.99999999994</v>
      </c>
      <c r="K182" s="352">
        <v>0</v>
      </c>
      <c r="L182" s="352">
        <v>4197834.4479509052</v>
      </c>
      <c r="M182" s="352">
        <v>4565762.4479509052</v>
      </c>
      <c r="N182" s="352">
        <v>4197834.4479509052</v>
      </c>
    </row>
    <row r="183" spans="1:14" x14ac:dyDescent="0.3">
      <c r="A183" t="s">
        <v>1111</v>
      </c>
      <c r="B183" t="s">
        <v>1113</v>
      </c>
      <c r="C183" s="352"/>
      <c r="D183" s="352"/>
      <c r="E183" s="352"/>
      <c r="F183" s="352"/>
      <c r="G183" s="430"/>
      <c r="H183" s="352"/>
      <c r="I183" s="352"/>
      <c r="J183" s="352"/>
      <c r="K183" s="352"/>
      <c r="L183" s="352">
        <v>620475.02033932845</v>
      </c>
      <c r="M183" s="352">
        <v>620475.02033932845</v>
      </c>
      <c r="N183" s="352">
        <v>620475.02033932845</v>
      </c>
    </row>
    <row r="184" spans="1:14" x14ac:dyDescent="0.3">
      <c r="A184" t="s">
        <v>1111</v>
      </c>
      <c r="B184" t="s">
        <v>3156</v>
      </c>
      <c r="C184" s="352">
        <v>-63000</v>
      </c>
      <c r="D184" s="352"/>
      <c r="E184" s="352"/>
      <c r="F184" s="352">
        <v>-63000</v>
      </c>
      <c r="G184" s="430">
        <v>783089.99999999988</v>
      </c>
      <c r="H184" s="352">
        <v>0</v>
      </c>
      <c r="I184" s="352">
        <v>0</v>
      </c>
      <c r="J184" s="352">
        <v>783089.99999999988</v>
      </c>
      <c r="K184" s="352">
        <v>0</v>
      </c>
      <c r="L184" s="352">
        <v>0</v>
      </c>
      <c r="M184" s="352">
        <v>783089.99999999988</v>
      </c>
      <c r="N184" s="352">
        <v>0</v>
      </c>
    </row>
    <row r="185" spans="1:14" x14ac:dyDescent="0.3">
      <c r="A185" t="s">
        <v>1111</v>
      </c>
      <c r="B185" t="s">
        <v>3157</v>
      </c>
      <c r="C185" s="352">
        <v>-12800</v>
      </c>
      <c r="D185" s="352"/>
      <c r="E185" s="352"/>
      <c r="F185" s="352">
        <v>-12800</v>
      </c>
      <c r="G185" s="430">
        <v>159103.99999999997</v>
      </c>
      <c r="H185" s="352">
        <v>0</v>
      </c>
      <c r="I185" s="352">
        <v>0</v>
      </c>
      <c r="J185" s="352">
        <v>159103.99999999997</v>
      </c>
      <c r="K185" s="352">
        <v>0</v>
      </c>
      <c r="L185" s="352">
        <v>0</v>
      </c>
      <c r="M185" s="352">
        <v>159103.99999999997</v>
      </c>
      <c r="N185" s="352">
        <v>0</v>
      </c>
    </row>
    <row r="186" spans="1:14" x14ac:dyDescent="0.3">
      <c r="A186" s="433" t="s">
        <v>1114</v>
      </c>
      <c r="B186" s="433"/>
      <c r="C186" s="434">
        <v>-371652.42457950523</v>
      </c>
      <c r="D186" s="434"/>
      <c r="E186" s="434"/>
      <c r="F186" s="434">
        <v>-371652.42457950523</v>
      </c>
      <c r="G186" s="434">
        <v>4619639.6375232497</v>
      </c>
      <c r="H186" s="434">
        <v>0</v>
      </c>
      <c r="I186" s="434">
        <v>0</v>
      </c>
      <c r="J186" s="435">
        <v>4619639.6375232497</v>
      </c>
      <c r="K186" s="434">
        <v>256132.80000000002</v>
      </c>
      <c r="L186" s="434">
        <v>4818309.468290234</v>
      </c>
      <c r="M186" s="434">
        <v>9694081.9058134835</v>
      </c>
      <c r="N186" s="434">
        <v>5074442.2682902338</v>
      </c>
    </row>
    <row r="187" spans="1:14" x14ac:dyDescent="0.3">
      <c r="A187" t="s">
        <v>1115</v>
      </c>
      <c r="B187" t="s">
        <v>1117</v>
      </c>
      <c r="C187" s="352">
        <v>-201715</v>
      </c>
      <c r="D187" s="352"/>
      <c r="E187" s="352">
        <v>-152000</v>
      </c>
      <c r="F187" s="352">
        <v>-353715</v>
      </c>
      <c r="G187" s="430">
        <v>2507317.4499999997</v>
      </c>
      <c r="H187" s="352">
        <v>0</v>
      </c>
      <c r="I187" s="352">
        <v>1889359.9999999998</v>
      </c>
      <c r="J187" s="352">
        <v>4396677.4499999993</v>
      </c>
      <c r="K187" s="352">
        <v>235620</v>
      </c>
      <c r="L187" s="352">
        <v>12837.41421391714</v>
      </c>
      <c r="M187" s="352">
        <v>4645134.8642139165</v>
      </c>
      <c r="N187" s="352">
        <v>248457.41421391713</v>
      </c>
    </row>
    <row r="188" spans="1:14" x14ac:dyDescent="0.3">
      <c r="A188" t="s">
        <v>1115</v>
      </c>
      <c r="B188" t="s">
        <v>3585</v>
      </c>
      <c r="C188" s="352">
        <v>-41000</v>
      </c>
      <c r="D188" s="352"/>
      <c r="E188" s="352"/>
      <c r="F188" s="352">
        <v>-41000</v>
      </c>
      <c r="G188" s="430">
        <v>509629.99999999994</v>
      </c>
      <c r="H188" s="352">
        <v>0</v>
      </c>
      <c r="I188" s="352">
        <v>0</v>
      </c>
      <c r="J188" s="352">
        <v>509629.99999999994</v>
      </c>
      <c r="K188" s="352">
        <v>116424</v>
      </c>
      <c r="L188" s="352">
        <v>0</v>
      </c>
      <c r="M188" s="352">
        <v>626054</v>
      </c>
      <c r="N188" s="352">
        <v>116424</v>
      </c>
    </row>
    <row r="189" spans="1:14" x14ac:dyDescent="0.3">
      <c r="A189" t="s">
        <v>1115</v>
      </c>
      <c r="B189" t="s">
        <v>1118</v>
      </c>
      <c r="C189" s="352">
        <v>-23600</v>
      </c>
      <c r="D189" s="352"/>
      <c r="E189" s="352"/>
      <c r="F189" s="352">
        <v>-23600</v>
      </c>
      <c r="G189" s="430">
        <v>293348</v>
      </c>
      <c r="H189" s="352">
        <v>0</v>
      </c>
      <c r="I189" s="352">
        <v>0</v>
      </c>
      <c r="J189" s="352">
        <v>293348</v>
      </c>
      <c r="K189" s="352">
        <v>0</v>
      </c>
      <c r="L189" s="352">
        <v>5141384.3926738147</v>
      </c>
      <c r="M189" s="352">
        <v>5434732.3926738147</v>
      </c>
      <c r="N189" s="352">
        <v>5141384.3926738147</v>
      </c>
    </row>
    <row r="190" spans="1:14" x14ac:dyDescent="0.3">
      <c r="A190" t="s">
        <v>1115</v>
      </c>
      <c r="B190" t="s">
        <v>1119</v>
      </c>
      <c r="C190" s="352">
        <v>-47800</v>
      </c>
      <c r="D190" s="352"/>
      <c r="E190" s="352"/>
      <c r="F190" s="352">
        <v>-47800</v>
      </c>
      <c r="G190" s="430">
        <v>594154</v>
      </c>
      <c r="H190" s="352">
        <v>0</v>
      </c>
      <c r="I190" s="352">
        <v>0</v>
      </c>
      <c r="J190" s="352">
        <v>594154</v>
      </c>
      <c r="K190" s="352">
        <v>0</v>
      </c>
      <c r="L190" s="352">
        <v>1240950.0406786569</v>
      </c>
      <c r="M190" s="352">
        <v>1835104.0406786569</v>
      </c>
      <c r="N190" s="352">
        <v>1240950.0406786569</v>
      </c>
    </row>
    <row r="191" spans="1:14" x14ac:dyDescent="0.3">
      <c r="A191" t="s">
        <v>1115</v>
      </c>
      <c r="B191" t="s">
        <v>3206</v>
      </c>
      <c r="C191" s="352">
        <v>-73100</v>
      </c>
      <c r="D191" s="352"/>
      <c r="E191" s="352"/>
      <c r="F191" s="352">
        <v>-73100</v>
      </c>
      <c r="G191" s="430">
        <v>908632.99999999988</v>
      </c>
      <c r="H191" s="352">
        <v>0</v>
      </c>
      <c r="I191" s="352">
        <v>0</v>
      </c>
      <c r="J191" s="352">
        <v>908632.99999999988</v>
      </c>
      <c r="K191" s="352">
        <v>0</v>
      </c>
      <c r="L191" s="352">
        <v>0</v>
      </c>
      <c r="M191" s="352">
        <v>908632.99999999988</v>
      </c>
      <c r="N191" s="352">
        <v>0</v>
      </c>
    </row>
    <row r="192" spans="1:14" x14ac:dyDescent="0.3">
      <c r="A192" s="433" t="s">
        <v>1120</v>
      </c>
      <c r="B192" s="433"/>
      <c r="C192" s="434">
        <v>-387215</v>
      </c>
      <c r="D192" s="434"/>
      <c r="E192" s="434">
        <v>-152000</v>
      </c>
      <c r="F192" s="434">
        <v>-539215</v>
      </c>
      <c r="G192" s="434">
        <v>4813082.4499999993</v>
      </c>
      <c r="H192" s="434">
        <v>0</v>
      </c>
      <c r="I192" s="434">
        <v>1889359.9999999998</v>
      </c>
      <c r="J192" s="435">
        <v>6702442.4499999993</v>
      </c>
      <c r="K192" s="434">
        <v>352044</v>
      </c>
      <c r="L192" s="434">
        <v>6395171.8475663885</v>
      </c>
      <c r="M192" s="434">
        <v>13449658.297566388</v>
      </c>
      <c r="N192" s="434">
        <v>6747215.8475663885</v>
      </c>
    </row>
    <row r="193" spans="1:14" x14ac:dyDescent="0.3">
      <c r="A193" t="s">
        <v>1121</v>
      </c>
      <c r="B193" t="s">
        <v>1123</v>
      </c>
      <c r="C193" s="352">
        <v>-11000</v>
      </c>
      <c r="D193" s="352"/>
      <c r="E193" s="352"/>
      <c r="F193" s="352">
        <v>-11000</v>
      </c>
      <c r="G193" s="430">
        <v>136730</v>
      </c>
      <c r="H193" s="352">
        <v>0</v>
      </c>
      <c r="I193" s="352">
        <v>0</v>
      </c>
      <c r="J193" s="352">
        <v>136730</v>
      </c>
      <c r="K193" s="352">
        <v>0</v>
      </c>
      <c r="L193" s="352">
        <v>81303.623354808544</v>
      </c>
      <c r="M193" s="352">
        <v>218033.62335480854</v>
      </c>
      <c r="N193" s="352">
        <v>81303.623354808544</v>
      </c>
    </row>
    <row r="194" spans="1:14" x14ac:dyDescent="0.3">
      <c r="A194" t="s">
        <v>1121</v>
      </c>
      <c r="B194" t="s">
        <v>1124</v>
      </c>
      <c r="C194" s="352"/>
      <c r="D194" s="352"/>
      <c r="E194" s="352"/>
      <c r="F194" s="352"/>
      <c r="G194" s="430"/>
      <c r="H194" s="352"/>
      <c r="I194" s="352"/>
      <c r="J194" s="352"/>
      <c r="K194" s="352"/>
      <c r="L194" s="352">
        <v>162607.24670961709</v>
      </c>
      <c r="M194" s="352">
        <v>162607.24670961709</v>
      </c>
      <c r="N194" s="352">
        <v>162607.24670961709</v>
      </c>
    </row>
    <row r="195" spans="1:14" x14ac:dyDescent="0.3">
      <c r="A195" s="433" t="s">
        <v>1125</v>
      </c>
      <c r="B195" s="433"/>
      <c r="C195" s="434">
        <v>-11000</v>
      </c>
      <c r="D195" s="434"/>
      <c r="E195" s="434"/>
      <c r="F195" s="434">
        <v>-11000</v>
      </c>
      <c r="G195" s="434">
        <v>136730</v>
      </c>
      <c r="H195" s="434">
        <v>0</v>
      </c>
      <c r="I195" s="434">
        <v>0</v>
      </c>
      <c r="J195" s="435">
        <v>136730</v>
      </c>
      <c r="K195" s="434">
        <v>0</v>
      </c>
      <c r="L195" s="434">
        <v>243910.87006442566</v>
      </c>
      <c r="M195" s="434">
        <v>380640.87006442563</v>
      </c>
      <c r="N195" s="434">
        <v>243910.87006442566</v>
      </c>
    </row>
    <row r="196" spans="1:14" x14ac:dyDescent="0.3">
      <c r="A196" t="s">
        <v>1126</v>
      </c>
      <c r="B196" t="s">
        <v>1128</v>
      </c>
      <c r="C196" s="352">
        <v>-334197</v>
      </c>
      <c r="D196" s="352"/>
      <c r="E196" s="352">
        <v>-211000</v>
      </c>
      <c r="F196" s="352">
        <v>-545197</v>
      </c>
      <c r="G196" s="430">
        <v>4154068.7099999995</v>
      </c>
      <c r="H196" s="352">
        <v>0</v>
      </c>
      <c r="I196" s="352">
        <v>2622729.9999999995</v>
      </c>
      <c r="J196" s="352">
        <v>6776798.709999999</v>
      </c>
      <c r="K196" s="352">
        <v>0</v>
      </c>
      <c r="L196" s="352">
        <v>3175120.4489088398</v>
      </c>
      <c r="M196" s="352">
        <v>9951919.1589088384</v>
      </c>
      <c r="N196" s="352">
        <v>3175120.4489088398</v>
      </c>
    </row>
    <row r="197" spans="1:14" x14ac:dyDescent="0.3">
      <c r="A197" t="s">
        <v>1126</v>
      </c>
      <c r="B197" t="s">
        <v>3586</v>
      </c>
      <c r="C197" s="352">
        <v>-40760</v>
      </c>
      <c r="D197" s="352"/>
      <c r="E197" s="352"/>
      <c r="F197" s="352">
        <v>-40760</v>
      </c>
      <c r="G197" s="430">
        <v>506646.79999999993</v>
      </c>
      <c r="H197" s="352">
        <v>0</v>
      </c>
      <c r="I197" s="352">
        <v>0</v>
      </c>
      <c r="J197" s="352">
        <v>506646.79999999993</v>
      </c>
      <c r="K197" s="352">
        <v>116424</v>
      </c>
      <c r="L197" s="352">
        <v>0</v>
      </c>
      <c r="M197" s="352">
        <v>623070.79999999993</v>
      </c>
      <c r="N197" s="352">
        <v>116424</v>
      </c>
    </row>
    <row r="198" spans="1:14" x14ac:dyDescent="0.3">
      <c r="A198" t="s">
        <v>1126</v>
      </c>
      <c r="B198" t="s">
        <v>1129</v>
      </c>
      <c r="C198" s="352"/>
      <c r="D198" s="352"/>
      <c r="E198" s="352"/>
      <c r="F198" s="352"/>
      <c r="G198" s="430"/>
      <c r="H198" s="352"/>
      <c r="I198" s="352"/>
      <c r="J198" s="352"/>
      <c r="K198" s="352"/>
      <c r="L198" s="352">
        <v>308097.94113401143</v>
      </c>
      <c r="M198" s="352">
        <v>308097.94113401143</v>
      </c>
      <c r="N198" s="352">
        <v>308097.94113401143</v>
      </c>
    </row>
    <row r="199" spans="1:14" x14ac:dyDescent="0.3">
      <c r="A199" s="433" t="s">
        <v>1130</v>
      </c>
      <c r="B199" s="433"/>
      <c r="C199" s="434">
        <v>-374957</v>
      </c>
      <c r="D199" s="434"/>
      <c r="E199" s="434">
        <v>-211000</v>
      </c>
      <c r="F199" s="434">
        <v>-585957</v>
      </c>
      <c r="G199" s="434">
        <v>4660715.51</v>
      </c>
      <c r="H199" s="434">
        <v>0</v>
      </c>
      <c r="I199" s="434">
        <v>2622729.9999999995</v>
      </c>
      <c r="J199" s="435">
        <v>7283445.5099999998</v>
      </c>
      <c r="K199" s="434">
        <v>116424</v>
      </c>
      <c r="L199" s="434">
        <v>3483218.3900428512</v>
      </c>
      <c r="M199" s="434">
        <v>10883087.900042851</v>
      </c>
      <c r="N199" s="434">
        <v>3599642.3900428512</v>
      </c>
    </row>
    <row r="200" spans="1:14" x14ac:dyDescent="0.3">
      <c r="A200" t="s">
        <v>1131</v>
      </c>
      <c r="B200" t="s">
        <v>1133</v>
      </c>
      <c r="C200" s="352">
        <v>-162585</v>
      </c>
      <c r="D200" s="352"/>
      <c r="E200" s="352">
        <v>-182500</v>
      </c>
      <c r="F200" s="352">
        <v>-345085</v>
      </c>
      <c r="G200" s="430">
        <v>2020931.5499999998</v>
      </c>
      <c r="H200" s="352">
        <v>0</v>
      </c>
      <c r="I200" s="352">
        <v>2268475</v>
      </c>
      <c r="J200" s="352">
        <v>4289406.55</v>
      </c>
      <c r="K200" s="352">
        <v>116424</v>
      </c>
      <c r="L200" s="352">
        <v>526333.9827706028</v>
      </c>
      <c r="M200" s="352">
        <v>4932164.532770603</v>
      </c>
      <c r="N200" s="352">
        <v>642757.9827706028</v>
      </c>
    </row>
    <row r="201" spans="1:14" x14ac:dyDescent="0.3">
      <c r="A201" t="s">
        <v>1131</v>
      </c>
      <c r="B201" t="s">
        <v>3587</v>
      </c>
      <c r="C201" s="352">
        <v>-17575</v>
      </c>
      <c r="D201" s="352"/>
      <c r="E201" s="352">
        <v>-18900</v>
      </c>
      <c r="F201" s="352">
        <v>-36475</v>
      </c>
      <c r="G201" s="430">
        <v>218457.24999999997</v>
      </c>
      <c r="H201" s="352">
        <v>0</v>
      </c>
      <c r="I201" s="352">
        <v>234926.99999999997</v>
      </c>
      <c r="J201" s="352">
        <v>453384.24999999994</v>
      </c>
      <c r="K201" s="352">
        <v>0</v>
      </c>
      <c r="L201" s="352">
        <v>0</v>
      </c>
      <c r="M201" s="352">
        <v>453384.24999999994</v>
      </c>
      <c r="N201" s="352">
        <v>0</v>
      </c>
    </row>
    <row r="202" spans="1:14" x14ac:dyDescent="0.3">
      <c r="A202" s="433" t="s">
        <v>1134</v>
      </c>
      <c r="B202" s="433"/>
      <c r="C202" s="434">
        <v>-180160</v>
      </c>
      <c r="D202" s="434"/>
      <c r="E202" s="434">
        <v>-201400</v>
      </c>
      <c r="F202" s="434">
        <v>-381560</v>
      </c>
      <c r="G202" s="434">
        <v>2239388.7999999998</v>
      </c>
      <c r="H202" s="434">
        <v>0</v>
      </c>
      <c r="I202" s="434">
        <v>2503401.9999999995</v>
      </c>
      <c r="J202" s="435">
        <v>4742790.8</v>
      </c>
      <c r="K202" s="434">
        <v>116424</v>
      </c>
      <c r="L202" s="434">
        <v>526333.9827706028</v>
      </c>
      <c r="M202" s="434">
        <v>5385548.782770603</v>
      </c>
      <c r="N202" s="434">
        <v>642757.9827706028</v>
      </c>
    </row>
    <row r="203" spans="1:14" x14ac:dyDescent="0.3">
      <c r="A203" t="s">
        <v>3588</v>
      </c>
      <c r="B203" t="s">
        <v>3589</v>
      </c>
      <c r="C203" s="352">
        <v>-118900</v>
      </c>
      <c r="D203" s="352"/>
      <c r="E203" s="352"/>
      <c r="F203" s="352">
        <v>-118900</v>
      </c>
      <c r="G203" s="430">
        <v>1477926.9999999998</v>
      </c>
      <c r="H203" s="352">
        <v>0</v>
      </c>
      <c r="I203" s="352">
        <v>0</v>
      </c>
      <c r="J203" s="352">
        <v>1477926.9999999998</v>
      </c>
      <c r="K203" s="352">
        <v>0</v>
      </c>
      <c r="L203" s="352">
        <v>0</v>
      </c>
      <c r="M203" s="352">
        <v>1477926.9999999998</v>
      </c>
      <c r="N203" s="352">
        <v>0</v>
      </c>
    </row>
    <row r="204" spans="1:14" x14ac:dyDescent="0.3">
      <c r="A204" s="433" t="s">
        <v>3590</v>
      </c>
      <c r="B204" s="433"/>
      <c r="C204" s="434">
        <v>-118900</v>
      </c>
      <c r="D204" s="434"/>
      <c r="E204" s="434"/>
      <c r="F204" s="434">
        <v>-118900</v>
      </c>
      <c r="G204" s="434">
        <v>1477926.9999999998</v>
      </c>
      <c r="H204" s="434">
        <v>0</v>
      </c>
      <c r="I204" s="434">
        <v>0</v>
      </c>
      <c r="J204" s="435">
        <v>1477926.9999999998</v>
      </c>
      <c r="K204" s="434">
        <v>0</v>
      </c>
      <c r="L204" s="434">
        <v>0</v>
      </c>
      <c r="M204" s="434">
        <v>1477926.9999999998</v>
      </c>
      <c r="N204" s="434">
        <v>0</v>
      </c>
    </row>
    <row r="205" spans="1:14" x14ac:dyDescent="0.3">
      <c r="A205" t="s">
        <v>1135</v>
      </c>
      <c r="B205" t="s">
        <v>1136</v>
      </c>
      <c r="C205" s="352">
        <v>-296144</v>
      </c>
      <c r="D205" s="352"/>
      <c r="E205" s="352"/>
      <c r="F205" s="352">
        <v>-296144</v>
      </c>
      <c r="G205" s="430">
        <v>3681069.9199999995</v>
      </c>
      <c r="H205" s="352">
        <v>0</v>
      </c>
      <c r="I205" s="352">
        <v>0</v>
      </c>
      <c r="J205" s="352">
        <v>3681069.9199999995</v>
      </c>
      <c r="K205" s="352">
        <v>0</v>
      </c>
      <c r="L205" s="352">
        <v>928572.96147333994</v>
      </c>
      <c r="M205" s="352">
        <v>4609642.8814733392</v>
      </c>
      <c r="N205" s="352">
        <v>928572.96147333994</v>
      </c>
    </row>
    <row r="206" spans="1:14" x14ac:dyDescent="0.3">
      <c r="A206" t="s">
        <v>1135</v>
      </c>
      <c r="B206" t="s">
        <v>3591</v>
      </c>
      <c r="C206" s="352">
        <v>-22490</v>
      </c>
      <c r="D206" s="352"/>
      <c r="E206" s="352"/>
      <c r="F206" s="352">
        <v>-22490</v>
      </c>
      <c r="G206" s="430">
        <v>279550.69999999995</v>
      </c>
      <c r="H206" s="352">
        <v>0</v>
      </c>
      <c r="I206" s="352">
        <v>0</v>
      </c>
      <c r="J206" s="352">
        <v>279550.69999999995</v>
      </c>
      <c r="K206" s="352">
        <v>0</v>
      </c>
      <c r="L206" s="352">
        <v>0</v>
      </c>
      <c r="M206" s="352">
        <v>279550.69999999995</v>
      </c>
      <c r="N206" s="352">
        <v>0</v>
      </c>
    </row>
    <row r="207" spans="1:14" x14ac:dyDescent="0.3">
      <c r="A207" t="s">
        <v>1135</v>
      </c>
      <c r="B207" t="s">
        <v>3592</v>
      </c>
      <c r="C207" s="352">
        <v>-8440</v>
      </c>
      <c r="D207" s="352"/>
      <c r="E207" s="352"/>
      <c r="F207" s="352">
        <v>-8440</v>
      </c>
      <c r="G207" s="430">
        <v>104909.2</v>
      </c>
      <c r="H207" s="352">
        <v>0</v>
      </c>
      <c r="I207" s="352">
        <v>0</v>
      </c>
      <c r="J207" s="352">
        <v>104909.2</v>
      </c>
      <c r="K207" s="352">
        <v>0</v>
      </c>
      <c r="L207" s="352">
        <v>0</v>
      </c>
      <c r="M207" s="352">
        <v>104909.2</v>
      </c>
      <c r="N207" s="352">
        <v>0</v>
      </c>
    </row>
    <row r="208" spans="1:14" x14ac:dyDescent="0.3">
      <c r="A208" t="s">
        <v>1135</v>
      </c>
      <c r="B208" t="s">
        <v>1137</v>
      </c>
      <c r="C208" s="352">
        <v>-73800</v>
      </c>
      <c r="D208" s="352"/>
      <c r="E208" s="352"/>
      <c r="F208" s="352">
        <v>-73800</v>
      </c>
      <c r="G208" s="430">
        <v>917333.99999999988</v>
      </c>
      <c r="H208" s="352">
        <v>0</v>
      </c>
      <c r="I208" s="352">
        <v>0</v>
      </c>
      <c r="J208" s="352">
        <v>917333.99999999988</v>
      </c>
      <c r="K208" s="352">
        <v>0</v>
      </c>
      <c r="L208" s="352">
        <v>4694686.8259565709</v>
      </c>
      <c r="M208" s="352">
        <v>5612020.8259565709</v>
      </c>
      <c r="N208" s="352">
        <v>4694686.8259565709</v>
      </c>
    </row>
    <row r="209" spans="1:14" x14ac:dyDescent="0.3">
      <c r="A209" t="s">
        <v>1135</v>
      </c>
      <c r="B209" t="s">
        <v>1138</v>
      </c>
      <c r="C209" s="352"/>
      <c r="D209" s="352"/>
      <c r="E209" s="352"/>
      <c r="F209" s="352"/>
      <c r="G209" s="430"/>
      <c r="H209" s="352"/>
      <c r="I209" s="352"/>
      <c r="J209" s="352"/>
      <c r="K209" s="352"/>
      <c r="L209" s="352">
        <v>86238.819390285309</v>
      </c>
      <c r="M209" s="352">
        <v>86238.819390285309</v>
      </c>
      <c r="N209" s="352">
        <v>86238.819390285309</v>
      </c>
    </row>
    <row r="210" spans="1:14" x14ac:dyDescent="0.3">
      <c r="A210" t="s">
        <v>1135</v>
      </c>
      <c r="B210" t="s">
        <v>3228</v>
      </c>
      <c r="C210" s="352">
        <v>-122000</v>
      </c>
      <c r="D210" s="352"/>
      <c r="E210" s="352"/>
      <c r="F210" s="352">
        <v>-122000</v>
      </c>
      <c r="G210" s="430">
        <v>1516459.9999999998</v>
      </c>
      <c r="H210" s="352">
        <v>0</v>
      </c>
      <c r="I210" s="352">
        <v>0</v>
      </c>
      <c r="J210" s="352">
        <v>1516459.9999999998</v>
      </c>
      <c r="K210" s="352">
        <v>0</v>
      </c>
      <c r="L210" s="352">
        <v>0</v>
      </c>
      <c r="M210" s="352">
        <v>1516459.9999999998</v>
      </c>
      <c r="N210" s="352">
        <v>0</v>
      </c>
    </row>
    <row r="211" spans="1:14" x14ac:dyDescent="0.3">
      <c r="A211" s="433" t="s">
        <v>1139</v>
      </c>
      <c r="B211" s="433"/>
      <c r="C211" s="434">
        <v>-522874</v>
      </c>
      <c r="D211" s="434"/>
      <c r="E211" s="434"/>
      <c r="F211" s="434">
        <v>-522874</v>
      </c>
      <c r="G211" s="434">
        <v>6499323.8199999994</v>
      </c>
      <c r="H211" s="434">
        <v>0</v>
      </c>
      <c r="I211" s="434">
        <v>0</v>
      </c>
      <c r="J211" s="435">
        <v>6499323.8199999994</v>
      </c>
      <c r="K211" s="434">
        <v>0</v>
      </c>
      <c r="L211" s="434">
        <v>5709498.6068201959</v>
      </c>
      <c r="M211" s="434">
        <v>12208822.426820196</v>
      </c>
      <c r="N211" s="434">
        <v>5709498.6068201959</v>
      </c>
    </row>
    <row r="212" spans="1:14" x14ac:dyDescent="0.3">
      <c r="A212" t="s">
        <v>3593</v>
      </c>
      <c r="B212" t="s">
        <v>3594</v>
      </c>
      <c r="C212" s="352">
        <v>-10000</v>
      </c>
      <c r="D212" s="352"/>
      <c r="E212" s="352"/>
      <c r="F212" s="352">
        <v>-10000</v>
      </c>
      <c r="G212" s="430">
        <v>124299.99999999999</v>
      </c>
      <c r="H212" s="352">
        <v>0</v>
      </c>
      <c r="I212" s="352">
        <v>0</v>
      </c>
      <c r="J212" s="352">
        <v>124299.99999999999</v>
      </c>
      <c r="K212" s="352">
        <v>0</v>
      </c>
      <c r="L212" s="352">
        <v>0</v>
      </c>
      <c r="M212" s="352">
        <v>124299.99999999999</v>
      </c>
      <c r="N212" s="352">
        <v>0</v>
      </c>
    </row>
    <row r="213" spans="1:14" x14ac:dyDescent="0.3">
      <c r="A213" t="s">
        <v>3593</v>
      </c>
      <c r="B213" t="s">
        <v>3595</v>
      </c>
      <c r="C213" s="352">
        <v>-2500</v>
      </c>
      <c r="D213" s="352"/>
      <c r="E213" s="352"/>
      <c r="F213" s="352">
        <v>-2500</v>
      </c>
      <c r="G213" s="430">
        <v>31074.999999999996</v>
      </c>
      <c r="H213" s="352">
        <v>0</v>
      </c>
      <c r="I213" s="352">
        <v>0</v>
      </c>
      <c r="J213" s="352">
        <v>31074.999999999996</v>
      </c>
      <c r="K213" s="352">
        <v>0</v>
      </c>
      <c r="L213" s="352">
        <v>0</v>
      </c>
      <c r="M213" s="352">
        <v>31074.999999999996</v>
      </c>
      <c r="N213" s="352">
        <v>0</v>
      </c>
    </row>
    <row r="214" spans="1:14" x14ac:dyDescent="0.3">
      <c r="A214" s="433" t="s">
        <v>3596</v>
      </c>
      <c r="B214" s="433"/>
      <c r="C214" s="434">
        <v>-12500</v>
      </c>
      <c r="D214" s="434"/>
      <c r="E214" s="434"/>
      <c r="F214" s="434">
        <v>-12500</v>
      </c>
      <c r="G214" s="434">
        <v>155374.99999999997</v>
      </c>
      <c r="H214" s="434">
        <v>0</v>
      </c>
      <c r="I214" s="434">
        <v>0</v>
      </c>
      <c r="J214" s="435">
        <v>155374.99999999997</v>
      </c>
      <c r="K214" s="434">
        <v>0</v>
      </c>
      <c r="L214" s="434">
        <v>0</v>
      </c>
      <c r="M214" s="434">
        <v>155374.99999999997</v>
      </c>
      <c r="N214" s="434">
        <v>0</v>
      </c>
    </row>
    <row r="215" spans="1:14" x14ac:dyDescent="0.3">
      <c r="A215" t="s">
        <v>3597</v>
      </c>
      <c r="B215" t="s">
        <v>3598</v>
      </c>
      <c r="C215" s="352">
        <v>-5200</v>
      </c>
      <c r="D215" s="352"/>
      <c r="E215" s="352"/>
      <c r="F215" s="352">
        <v>-5200</v>
      </c>
      <c r="G215" s="430">
        <v>64635.999999999993</v>
      </c>
      <c r="H215" s="352">
        <v>0</v>
      </c>
      <c r="I215" s="352">
        <v>0</v>
      </c>
      <c r="J215" s="352">
        <v>64635.999999999993</v>
      </c>
      <c r="K215" s="352">
        <v>76230</v>
      </c>
      <c r="L215" s="352">
        <v>0</v>
      </c>
      <c r="M215" s="352">
        <v>140866</v>
      </c>
      <c r="N215" s="352">
        <v>76230</v>
      </c>
    </row>
    <row r="216" spans="1:14" x14ac:dyDescent="0.3">
      <c r="A216" t="s">
        <v>3597</v>
      </c>
      <c r="B216" t="s">
        <v>3599</v>
      </c>
      <c r="C216" s="352"/>
      <c r="D216" s="352"/>
      <c r="E216" s="352"/>
      <c r="F216" s="352"/>
      <c r="G216" s="430"/>
      <c r="H216" s="352"/>
      <c r="I216" s="352"/>
      <c r="J216" s="352"/>
      <c r="K216" s="352">
        <v>116424</v>
      </c>
      <c r="L216" s="352">
        <v>0</v>
      </c>
      <c r="M216" s="352">
        <v>116424</v>
      </c>
      <c r="N216" s="352">
        <v>116424</v>
      </c>
    </row>
    <row r="217" spans="1:14" x14ac:dyDescent="0.3">
      <c r="A217" t="s">
        <v>3597</v>
      </c>
      <c r="B217" t="s">
        <v>3600</v>
      </c>
      <c r="C217" s="352"/>
      <c r="D217" s="352"/>
      <c r="E217" s="352"/>
      <c r="F217" s="352"/>
      <c r="G217" s="430"/>
      <c r="H217" s="352"/>
      <c r="I217" s="352"/>
      <c r="J217" s="352"/>
      <c r="K217" s="352">
        <v>42966</v>
      </c>
      <c r="L217" s="352">
        <v>0</v>
      </c>
      <c r="M217" s="352">
        <v>42966</v>
      </c>
      <c r="N217" s="352">
        <v>42966</v>
      </c>
    </row>
    <row r="218" spans="1:14" x14ac:dyDescent="0.3">
      <c r="A218" t="s">
        <v>3597</v>
      </c>
      <c r="B218" t="s">
        <v>3601</v>
      </c>
      <c r="C218" s="352">
        <v>-4900</v>
      </c>
      <c r="D218" s="352"/>
      <c r="E218" s="352"/>
      <c r="F218" s="352">
        <v>-4900</v>
      </c>
      <c r="G218" s="430">
        <v>60906.999999999993</v>
      </c>
      <c r="H218" s="352">
        <v>0</v>
      </c>
      <c r="I218" s="352">
        <v>0</v>
      </c>
      <c r="J218" s="352">
        <v>60906.999999999993</v>
      </c>
      <c r="K218" s="352">
        <v>0</v>
      </c>
      <c r="L218" s="352">
        <v>0</v>
      </c>
      <c r="M218" s="352">
        <v>60906.999999999993</v>
      </c>
      <c r="N218" s="352">
        <v>0</v>
      </c>
    </row>
    <row r="219" spans="1:14" x14ac:dyDescent="0.3">
      <c r="A219" t="s">
        <v>3597</v>
      </c>
      <c r="B219" t="s">
        <v>3602</v>
      </c>
      <c r="C219" s="352">
        <v>-20500</v>
      </c>
      <c r="D219" s="352"/>
      <c r="E219" s="352"/>
      <c r="F219" s="352">
        <v>-20500</v>
      </c>
      <c r="G219" s="430">
        <v>254814.99999999997</v>
      </c>
      <c r="H219" s="352">
        <v>0</v>
      </c>
      <c r="I219" s="352">
        <v>0</v>
      </c>
      <c r="J219" s="352">
        <v>254814.99999999997</v>
      </c>
      <c r="K219" s="352">
        <v>232848</v>
      </c>
      <c r="L219" s="352">
        <v>0</v>
      </c>
      <c r="M219" s="352">
        <v>487663</v>
      </c>
      <c r="N219" s="352">
        <v>232848</v>
      </c>
    </row>
    <row r="220" spans="1:14" x14ac:dyDescent="0.3">
      <c r="A220" s="433" t="s">
        <v>3603</v>
      </c>
      <c r="B220" s="433"/>
      <c r="C220" s="434">
        <v>-30600</v>
      </c>
      <c r="D220" s="434"/>
      <c r="E220" s="434"/>
      <c r="F220" s="434">
        <v>-30600</v>
      </c>
      <c r="G220" s="434">
        <v>380357.99999999994</v>
      </c>
      <c r="H220" s="434">
        <v>0</v>
      </c>
      <c r="I220" s="434">
        <v>0</v>
      </c>
      <c r="J220" s="435">
        <v>380357.99999999994</v>
      </c>
      <c r="K220" s="434">
        <v>468468</v>
      </c>
      <c r="L220" s="434">
        <v>0</v>
      </c>
      <c r="M220" s="434">
        <v>848826</v>
      </c>
      <c r="N220" s="434">
        <v>468468</v>
      </c>
    </row>
    <row r="221" spans="1:14" x14ac:dyDescent="0.3">
      <c r="A221" t="s">
        <v>3604</v>
      </c>
      <c r="B221" t="s">
        <v>3605</v>
      </c>
      <c r="C221" s="352"/>
      <c r="D221" s="352"/>
      <c r="E221" s="352"/>
      <c r="F221" s="352"/>
      <c r="G221" s="430"/>
      <c r="H221" s="352"/>
      <c r="I221" s="352"/>
      <c r="J221" s="352"/>
      <c r="K221" s="352">
        <v>116424</v>
      </c>
      <c r="L221" s="352">
        <v>0</v>
      </c>
      <c r="M221" s="352">
        <v>116424</v>
      </c>
      <c r="N221" s="352">
        <v>116424</v>
      </c>
    </row>
    <row r="222" spans="1:14" x14ac:dyDescent="0.3">
      <c r="A222" t="s">
        <v>3604</v>
      </c>
      <c r="B222" t="s">
        <v>3606</v>
      </c>
      <c r="C222" s="352"/>
      <c r="D222" s="352"/>
      <c r="E222" s="352"/>
      <c r="F222" s="352"/>
      <c r="G222" s="430"/>
      <c r="H222" s="352"/>
      <c r="I222" s="352"/>
      <c r="J222" s="352"/>
      <c r="K222" s="352">
        <v>116424</v>
      </c>
      <c r="L222" s="352">
        <v>0</v>
      </c>
      <c r="M222" s="352">
        <v>116424</v>
      </c>
      <c r="N222" s="352">
        <v>116424</v>
      </c>
    </row>
    <row r="223" spans="1:14" x14ac:dyDescent="0.3">
      <c r="A223" t="s">
        <v>3604</v>
      </c>
      <c r="B223" t="s">
        <v>3607</v>
      </c>
      <c r="C223" s="352">
        <v>-2500</v>
      </c>
      <c r="D223" s="352"/>
      <c r="E223" s="352"/>
      <c r="F223" s="352">
        <v>-2500</v>
      </c>
      <c r="G223" s="430">
        <v>31074.999999999996</v>
      </c>
      <c r="H223" s="352">
        <v>0</v>
      </c>
      <c r="I223" s="352">
        <v>0</v>
      </c>
      <c r="J223" s="352">
        <v>31074.999999999996</v>
      </c>
      <c r="K223" s="352">
        <v>116424</v>
      </c>
      <c r="L223" s="352">
        <v>0</v>
      </c>
      <c r="M223" s="352">
        <v>147499</v>
      </c>
      <c r="N223" s="352">
        <v>116424</v>
      </c>
    </row>
    <row r="224" spans="1:14" x14ac:dyDescent="0.3">
      <c r="A224" s="433" t="s">
        <v>3608</v>
      </c>
      <c r="B224" s="433"/>
      <c r="C224" s="434">
        <v>-2500</v>
      </c>
      <c r="D224" s="434"/>
      <c r="E224" s="434"/>
      <c r="F224" s="434">
        <v>-2500</v>
      </c>
      <c r="G224" s="434">
        <v>31074.999999999996</v>
      </c>
      <c r="H224" s="434">
        <v>0</v>
      </c>
      <c r="I224" s="434">
        <v>0</v>
      </c>
      <c r="J224" s="435">
        <v>31074.999999999996</v>
      </c>
      <c r="K224" s="434">
        <v>349272</v>
      </c>
      <c r="L224" s="434">
        <v>0</v>
      </c>
      <c r="M224" s="434">
        <v>380347</v>
      </c>
      <c r="N224" s="434">
        <v>349272</v>
      </c>
    </row>
    <row r="225" spans="1:14" x14ac:dyDescent="0.3">
      <c r="A225" t="s">
        <v>3609</v>
      </c>
      <c r="B225" t="s">
        <v>3610</v>
      </c>
      <c r="C225" s="352">
        <v>-4900</v>
      </c>
      <c r="D225" s="352"/>
      <c r="E225" s="352"/>
      <c r="F225" s="352">
        <v>-4900</v>
      </c>
      <c r="G225" s="430">
        <v>60906.999999999993</v>
      </c>
      <c r="H225" s="352">
        <v>0</v>
      </c>
      <c r="I225" s="352">
        <v>0</v>
      </c>
      <c r="J225" s="352">
        <v>60906.999999999993</v>
      </c>
      <c r="K225" s="352">
        <v>0</v>
      </c>
      <c r="L225" s="352">
        <v>0</v>
      </c>
      <c r="M225" s="352">
        <v>60906.999999999993</v>
      </c>
      <c r="N225" s="352">
        <v>0</v>
      </c>
    </row>
    <row r="226" spans="1:14" x14ac:dyDescent="0.3">
      <c r="A226" t="s">
        <v>3609</v>
      </c>
      <c r="B226" t="s">
        <v>3611</v>
      </c>
      <c r="C226" s="352">
        <v>-4900</v>
      </c>
      <c r="D226" s="352"/>
      <c r="E226" s="352"/>
      <c r="F226" s="352">
        <v>-4900</v>
      </c>
      <c r="G226" s="430">
        <v>60906.999999999993</v>
      </c>
      <c r="H226" s="352">
        <v>0</v>
      </c>
      <c r="I226" s="352">
        <v>0</v>
      </c>
      <c r="J226" s="352">
        <v>60906.999999999993</v>
      </c>
      <c r="K226" s="352">
        <v>0</v>
      </c>
      <c r="L226" s="352">
        <v>0</v>
      </c>
      <c r="M226" s="352">
        <v>60906.999999999993</v>
      </c>
      <c r="N226" s="352">
        <v>0</v>
      </c>
    </row>
    <row r="227" spans="1:14" x14ac:dyDescent="0.3">
      <c r="A227" t="s">
        <v>3609</v>
      </c>
      <c r="B227" t="s">
        <v>3612</v>
      </c>
      <c r="C227" s="352">
        <v>-4900</v>
      </c>
      <c r="D227" s="352"/>
      <c r="E227" s="352"/>
      <c r="F227" s="352">
        <v>-4900</v>
      </c>
      <c r="G227" s="430">
        <v>60906.999999999993</v>
      </c>
      <c r="H227" s="352">
        <v>0</v>
      </c>
      <c r="I227" s="352">
        <v>0</v>
      </c>
      <c r="J227" s="352">
        <v>60906.999999999993</v>
      </c>
      <c r="K227" s="352">
        <v>0</v>
      </c>
      <c r="L227" s="352">
        <v>0</v>
      </c>
      <c r="M227" s="352">
        <v>60906.999999999993</v>
      </c>
      <c r="N227" s="352">
        <v>0</v>
      </c>
    </row>
    <row r="228" spans="1:14" x14ac:dyDescent="0.3">
      <c r="A228" t="s">
        <v>3609</v>
      </c>
      <c r="B228" t="s">
        <v>3613</v>
      </c>
      <c r="C228" s="352">
        <v>-2500</v>
      </c>
      <c r="D228" s="352"/>
      <c r="E228" s="352"/>
      <c r="F228" s="352">
        <v>-2500</v>
      </c>
      <c r="G228" s="430">
        <v>31074.999999999996</v>
      </c>
      <c r="H228" s="352">
        <v>0</v>
      </c>
      <c r="I228" s="352">
        <v>0</v>
      </c>
      <c r="J228" s="352">
        <v>31074.999999999996</v>
      </c>
      <c r="K228" s="352">
        <v>0</v>
      </c>
      <c r="L228" s="352">
        <v>0</v>
      </c>
      <c r="M228" s="352">
        <v>31074.999999999996</v>
      </c>
      <c r="N228" s="352">
        <v>0</v>
      </c>
    </row>
    <row r="229" spans="1:14" x14ac:dyDescent="0.3">
      <c r="A229" t="s">
        <v>3609</v>
      </c>
      <c r="B229" t="s">
        <v>3614</v>
      </c>
      <c r="C229" s="352">
        <v>-9800</v>
      </c>
      <c r="D229" s="352"/>
      <c r="E229" s="352"/>
      <c r="F229" s="352">
        <v>-9800</v>
      </c>
      <c r="G229" s="430">
        <v>121813.99999999999</v>
      </c>
      <c r="H229" s="352">
        <v>0</v>
      </c>
      <c r="I229" s="352">
        <v>0</v>
      </c>
      <c r="J229" s="352">
        <v>121813.99999999999</v>
      </c>
      <c r="K229" s="352">
        <v>0</v>
      </c>
      <c r="L229" s="352">
        <v>0</v>
      </c>
      <c r="M229" s="352">
        <v>121813.99999999999</v>
      </c>
      <c r="N229" s="352">
        <v>0</v>
      </c>
    </row>
    <row r="230" spans="1:14" x14ac:dyDescent="0.3">
      <c r="A230" t="s">
        <v>3609</v>
      </c>
      <c r="B230" t="s">
        <v>3615</v>
      </c>
      <c r="C230" s="352">
        <v>-31300</v>
      </c>
      <c r="D230" s="352"/>
      <c r="E230" s="352"/>
      <c r="F230" s="352">
        <v>-31300</v>
      </c>
      <c r="G230" s="430">
        <v>389058.99999999994</v>
      </c>
      <c r="H230" s="352">
        <v>0</v>
      </c>
      <c r="I230" s="352">
        <v>0</v>
      </c>
      <c r="J230" s="352">
        <v>389058.99999999994</v>
      </c>
      <c r="K230" s="352">
        <v>0</v>
      </c>
      <c r="L230" s="352">
        <v>0</v>
      </c>
      <c r="M230" s="352">
        <v>389058.99999999994</v>
      </c>
      <c r="N230" s="352">
        <v>0</v>
      </c>
    </row>
    <row r="231" spans="1:14" x14ac:dyDescent="0.3">
      <c r="A231" t="s">
        <v>3609</v>
      </c>
      <c r="B231" t="s">
        <v>3616</v>
      </c>
      <c r="C231" s="352">
        <v>-2500</v>
      </c>
      <c r="D231" s="352"/>
      <c r="E231" s="352"/>
      <c r="F231" s="352">
        <v>-2500</v>
      </c>
      <c r="G231" s="430">
        <v>31074.999999999996</v>
      </c>
      <c r="H231" s="352">
        <v>0</v>
      </c>
      <c r="I231" s="352">
        <v>0</v>
      </c>
      <c r="J231" s="352">
        <v>31074.999999999996</v>
      </c>
      <c r="K231" s="352">
        <v>0</v>
      </c>
      <c r="L231" s="352">
        <v>0</v>
      </c>
      <c r="M231" s="352">
        <v>31074.999999999996</v>
      </c>
      <c r="N231" s="352">
        <v>0</v>
      </c>
    </row>
    <row r="232" spans="1:14" x14ac:dyDescent="0.3">
      <c r="A232" t="s">
        <v>3609</v>
      </c>
      <c r="B232" t="s">
        <v>3617</v>
      </c>
      <c r="C232" s="352">
        <v>-21800</v>
      </c>
      <c r="D232" s="352"/>
      <c r="E232" s="352"/>
      <c r="F232" s="352">
        <v>-21800</v>
      </c>
      <c r="G232" s="430">
        <v>270974</v>
      </c>
      <c r="H232" s="352">
        <v>0</v>
      </c>
      <c r="I232" s="352">
        <v>0</v>
      </c>
      <c r="J232" s="352">
        <v>270974</v>
      </c>
      <c r="K232" s="352">
        <v>0</v>
      </c>
      <c r="L232" s="352">
        <v>0</v>
      </c>
      <c r="M232" s="352">
        <v>270974</v>
      </c>
      <c r="N232" s="352">
        <v>0</v>
      </c>
    </row>
    <row r="233" spans="1:14" x14ac:dyDescent="0.3">
      <c r="A233" t="s">
        <v>3609</v>
      </c>
      <c r="B233" t="s">
        <v>3618</v>
      </c>
      <c r="C233" s="352">
        <v>-19100</v>
      </c>
      <c r="D233" s="352"/>
      <c r="E233" s="352"/>
      <c r="F233" s="352">
        <v>-19100</v>
      </c>
      <c r="G233" s="430">
        <v>237412.99999999997</v>
      </c>
      <c r="H233" s="352">
        <v>0</v>
      </c>
      <c r="I233" s="352">
        <v>0</v>
      </c>
      <c r="J233" s="352">
        <v>237412.99999999997</v>
      </c>
      <c r="K233" s="352">
        <v>0</v>
      </c>
      <c r="L233" s="352">
        <v>0</v>
      </c>
      <c r="M233" s="352">
        <v>237412.99999999997</v>
      </c>
      <c r="N233" s="352">
        <v>0</v>
      </c>
    </row>
    <row r="234" spans="1:14" x14ac:dyDescent="0.3">
      <c r="A234" t="s">
        <v>3609</v>
      </c>
      <c r="B234" t="s">
        <v>3619</v>
      </c>
      <c r="C234" s="352">
        <v>-2500</v>
      </c>
      <c r="D234" s="352"/>
      <c r="E234" s="352"/>
      <c r="F234" s="352">
        <v>-2500</v>
      </c>
      <c r="G234" s="430">
        <v>31074.999999999996</v>
      </c>
      <c r="H234" s="352">
        <v>0</v>
      </c>
      <c r="I234" s="352">
        <v>0</v>
      </c>
      <c r="J234" s="352">
        <v>31074.999999999996</v>
      </c>
      <c r="K234" s="352">
        <v>0</v>
      </c>
      <c r="L234" s="352">
        <v>0</v>
      </c>
      <c r="M234" s="352">
        <v>31074.999999999996</v>
      </c>
      <c r="N234" s="352">
        <v>0</v>
      </c>
    </row>
    <row r="235" spans="1:14" x14ac:dyDescent="0.3">
      <c r="A235" t="s">
        <v>3609</v>
      </c>
      <c r="B235" t="s">
        <v>3620</v>
      </c>
      <c r="C235" s="352">
        <v>-2500</v>
      </c>
      <c r="D235" s="352"/>
      <c r="E235" s="352"/>
      <c r="F235" s="352">
        <v>-2500</v>
      </c>
      <c r="G235" s="430">
        <v>31074.999999999996</v>
      </c>
      <c r="H235" s="352">
        <v>0</v>
      </c>
      <c r="I235" s="352">
        <v>0</v>
      </c>
      <c r="J235" s="352">
        <v>31074.999999999996</v>
      </c>
      <c r="K235" s="352">
        <v>0</v>
      </c>
      <c r="L235" s="352">
        <v>0</v>
      </c>
      <c r="M235" s="352">
        <v>31074.999999999996</v>
      </c>
      <c r="N235" s="352">
        <v>0</v>
      </c>
    </row>
    <row r="236" spans="1:14" x14ac:dyDescent="0.3">
      <c r="A236" t="s">
        <v>3609</v>
      </c>
      <c r="B236" t="s">
        <v>3621</v>
      </c>
      <c r="C236" s="352">
        <v>-2500</v>
      </c>
      <c r="D236" s="352"/>
      <c r="E236" s="352"/>
      <c r="F236" s="352">
        <v>-2500</v>
      </c>
      <c r="G236" s="430">
        <v>31074.999999999996</v>
      </c>
      <c r="H236" s="352">
        <v>0</v>
      </c>
      <c r="I236" s="352">
        <v>0</v>
      </c>
      <c r="J236" s="352">
        <v>31074.999999999996</v>
      </c>
      <c r="K236" s="352">
        <v>0</v>
      </c>
      <c r="L236" s="352">
        <v>0</v>
      </c>
      <c r="M236" s="352">
        <v>31074.999999999996</v>
      </c>
      <c r="N236" s="352">
        <v>0</v>
      </c>
    </row>
    <row r="237" spans="1:14" x14ac:dyDescent="0.3">
      <c r="A237" t="s">
        <v>3609</v>
      </c>
      <c r="B237" t="s">
        <v>3622</v>
      </c>
      <c r="C237" s="352">
        <v>-57400</v>
      </c>
      <c r="D237" s="352"/>
      <c r="E237" s="352"/>
      <c r="F237" s="352">
        <v>-57400</v>
      </c>
      <c r="G237" s="430">
        <v>713481.99999999988</v>
      </c>
      <c r="H237" s="352">
        <v>0</v>
      </c>
      <c r="I237" s="352">
        <v>0</v>
      </c>
      <c r="J237" s="352">
        <v>713481.99999999988</v>
      </c>
      <c r="K237" s="352">
        <v>0</v>
      </c>
      <c r="L237" s="352">
        <v>0</v>
      </c>
      <c r="M237" s="352">
        <v>713481.99999999988</v>
      </c>
      <c r="N237" s="352">
        <v>0</v>
      </c>
    </row>
    <row r="238" spans="1:14" x14ac:dyDescent="0.3">
      <c r="A238" t="s">
        <v>3609</v>
      </c>
      <c r="B238" t="s">
        <v>3623</v>
      </c>
      <c r="C238" s="352">
        <v>-2500</v>
      </c>
      <c r="D238" s="352"/>
      <c r="E238" s="352"/>
      <c r="F238" s="352">
        <v>-2500</v>
      </c>
      <c r="G238" s="430">
        <v>31074.999999999996</v>
      </c>
      <c r="H238" s="352">
        <v>0</v>
      </c>
      <c r="I238" s="352">
        <v>0</v>
      </c>
      <c r="J238" s="352">
        <v>31074.999999999996</v>
      </c>
      <c r="K238" s="352">
        <v>0</v>
      </c>
      <c r="L238" s="352">
        <v>0</v>
      </c>
      <c r="M238" s="352">
        <v>31074.999999999996</v>
      </c>
      <c r="N238" s="352">
        <v>0</v>
      </c>
    </row>
    <row r="239" spans="1:14" x14ac:dyDescent="0.3">
      <c r="A239" t="s">
        <v>3609</v>
      </c>
      <c r="B239" t="s">
        <v>3624</v>
      </c>
      <c r="C239" s="352">
        <v>-2500</v>
      </c>
      <c r="D239" s="352"/>
      <c r="E239" s="352"/>
      <c r="F239" s="352">
        <v>-2500</v>
      </c>
      <c r="G239" s="430">
        <v>31074.999999999996</v>
      </c>
      <c r="H239" s="352">
        <v>0</v>
      </c>
      <c r="I239" s="352">
        <v>0</v>
      </c>
      <c r="J239" s="352">
        <v>31074.999999999996</v>
      </c>
      <c r="K239" s="352">
        <v>0</v>
      </c>
      <c r="L239" s="352">
        <v>0</v>
      </c>
      <c r="M239" s="352">
        <v>31074.999999999996</v>
      </c>
      <c r="N239" s="352">
        <v>0</v>
      </c>
    </row>
    <row r="240" spans="1:14" x14ac:dyDescent="0.3">
      <c r="A240" s="433" t="s">
        <v>3625</v>
      </c>
      <c r="B240" s="433"/>
      <c r="C240" s="434">
        <v>-171600</v>
      </c>
      <c r="D240" s="434"/>
      <c r="E240" s="434"/>
      <c r="F240" s="434">
        <v>-171600</v>
      </c>
      <c r="G240" s="434">
        <v>2132988</v>
      </c>
      <c r="H240" s="434">
        <v>0</v>
      </c>
      <c r="I240" s="434">
        <v>0</v>
      </c>
      <c r="J240" s="435">
        <v>2132988</v>
      </c>
      <c r="K240" s="434">
        <v>0</v>
      </c>
      <c r="L240" s="434">
        <v>0</v>
      </c>
      <c r="M240" s="434">
        <v>2132988</v>
      </c>
      <c r="N240" s="434">
        <v>0</v>
      </c>
    </row>
    <row r="241" spans="1:14" x14ac:dyDescent="0.3">
      <c r="A241" t="s">
        <v>1140</v>
      </c>
      <c r="B241" t="s">
        <v>1141</v>
      </c>
      <c r="C241" s="352">
        <v>-21600</v>
      </c>
      <c r="D241" s="352"/>
      <c r="E241" s="352"/>
      <c r="F241" s="352">
        <v>-21600</v>
      </c>
      <c r="G241" s="430">
        <v>268488</v>
      </c>
      <c r="H241" s="352">
        <v>0</v>
      </c>
      <c r="I241" s="352">
        <v>0</v>
      </c>
      <c r="J241" s="352">
        <v>268488</v>
      </c>
      <c r="K241" s="352">
        <v>36036</v>
      </c>
      <c r="L241" s="352">
        <v>500659.15434276842</v>
      </c>
      <c r="M241" s="352">
        <v>805183.15434276848</v>
      </c>
      <c r="N241" s="352">
        <v>536695.15434276848</v>
      </c>
    </row>
    <row r="242" spans="1:14" x14ac:dyDescent="0.3">
      <c r="A242" s="433" t="s">
        <v>1142</v>
      </c>
      <c r="B242" s="433"/>
      <c r="C242" s="434">
        <v>-21600</v>
      </c>
      <c r="D242" s="434"/>
      <c r="E242" s="434"/>
      <c r="F242" s="434">
        <v>-21600</v>
      </c>
      <c r="G242" s="434">
        <v>268488</v>
      </c>
      <c r="H242" s="434">
        <v>0</v>
      </c>
      <c r="I242" s="434">
        <v>0</v>
      </c>
      <c r="J242" s="435">
        <v>268488</v>
      </c>
      <c r="K242" s="434">
        <v>36036</v>
      </c>
      <c r="L242" s="434">
        <v>500659.15434276842</v>
      </c>
      <c r="M242" s="434">
        <v>805183.15434276848</v>
      </c>
      <c r="N242" s="434">
        <v>536695.15434276848</v>
      </c>
    </row>
    <row r="243" spans="1:14" x14ac:dyDescent="0.3">
      <c r="A243" t="s">
        <v>3626</v>
      </c>
      <c r="B243" t="s">
        <v>864</v>
      </c>
      <c r="C243" s="352">
        <v>-15000</v>
      </c>
      <c r="D243" s="352"/>
      <c r="E243" s="352"/>
      <c r="F243" s="352">
        <v>-15000</v>
      </c>
      <c r="G243" s="430">
        <v>186449.99999999997</v>
      </c>
      <c r="H243" s="352">
        <v>0</v>
      </c>
      <c r="I243" s="352">
        <v>0</v>
      </c>
      <c r="J243" s="352">
        <v>186449.99999999997</v>
      </c>
      <c r="K243" s="352">
        <v>116424</v>
      </c>
      <c r="L243" s="352">
        <v>0</v>
      </c>
      <c r="M243" s="352">
        <v>302874</v>
      </c>
      <c r="N243" s="352">
        <v>116424</v>
      </c>
    </row>
    <row r="244" spans="1:14" x14ac:dyDescent="0.3">
      <c r="A244" s="433" t="s">
        <v>3627</v>
      </c>
      <c r="B244" s="433"/>
      <c r="C244" s="434">
        <v>-15000</v>
      </c>
      <c r="D244" s="434"/>
      <c r="E244" s="434"/>
      <c r="F244" s="434">
        <v>-15000</v>
      </c>
      <c r="G244" s="434">
        <v>186449.99999999997</v>
      </c>
      <c r="H244" s="434">
        <v>0</v>
      </c>
      <c r="I244" s="434">
        <v>0</v>
      </c>
      <c r="J244" s="435">
        <v>186449.99999999997</v>
      </c>
      <c r="K244" s="434">
        <v>116424</v>
      </c>
      <c r="L244" s="434">
        <v>0</v>
      </c>
      <c r="M244" s="434">
        <v>302874</v>
      </c>
      <c r="N244" s="434">
        <v>116424</v>
      </c>
    </row>
    <row r="245" spans="1:14" x14ac:dyDescent="0.3">
      <c r="A245" t="s">
        <v>1143</v>
      </c>
      <c r="B245" t="s">
        <v>1145</v>
      </c>
      <c r="C245" s="352">
        <v>-19500</v>
      </c>
      <c r="D245" s="352"/>
      <c r="E245" s="352"/>
      <c r="F245" s="352">
        <v>-19500</v>
      </c>
      <c r="G245" s="430">
        <v>242384.99999999997</v>
      </c>
      <c r="H245" s="352">
        <v>0</v>
      </c>
      <c r="I245" s="352">
        <v>0</v>
      </c>
      <c r="J245" s="352">
        <v>242384.99999999997</v>
      </c>
      <c r="K245" s="352">
        <v>44352</v>
      </c>
      <c r="L245" s="352">
        <v>308097.94113401143</v>
      </c>
      <c r="M245" s="352">
        <v>594834.94113401137</v>
      </c>
      <c r="N245" s="352">
        <v>352449.94113401143</v>
      </c>
    </row>
    <row r="246" spans="1:14" x14ac:dyDescent="0.3">
      <c r="A246" t="s">
        <v>1143</v>
      </c>
      <c r="B246" t="s">
        <v>1148</v>
      </c>
      <c r="C246" s="352">
        <v>-16200</v>
      </c>
      <c r="D246" s="352"/>
      <c r="E246" s="352"/>
      <c r="F246" s="352">
        <v>-16200</v>
      </c>
      <c r="G246" s="430">
        <v>201365.99999999997</v>
      </c>
      <c r="H246" s="352">
        <v>0</v>
      </c>
      <c r="I246" s="352">
        <v>0</v>
      </c>
      <c r="J246" s="352">
        <v>201365.99999999997</v>
      </c>
      <c r="K246" s="352">
        <v>232848</v>
      </c>
      <c r="L246" s="352">
        <v>620475.02033932845</v>
      </c>
      <c r="M246" s="352">
        <v>1054689.0203393283</v>
      </c>
      <c r="N246" s="352">
        <v>853323.02033932845</v>
      </c>
    </row>
    <row r="247" spans="1:14" x14ac:dyDescent="0.3">
      <c r="A247" t="s">
        <v>1143</v>
      </c>
      <c r="B247" t="s">
        <v>1149</v>
      </c>
      <c r="C247" s="352"/>
      <c r="D247" s="352"/>
      <c r="E247" s="352"/>
      <c r="F247" s="352"/>
      <c r="G247" s="430"/>
      <c r="H247" s="352"/>
      <c r="I247" s="352"/>
      <c r="J247" s="352"/>
      <c r="K247" s="352"/>
      <c r="L247" s="352">
        <v>620475.02033932845</v>
      </c>
      <c r="M247" s="352">
        <v>620475.02033932845</v>
      </c>
      <c r="N247" s="352">
        <v>620475.02033932845</v>
      </c>
    </row>
    <row r="248" spans="1:14" x14ac:dyDescent="0.3">
      <c r="A248" s="433" t="s">
        <v>1150</v>
      </c>
      <c r="B248" s="433"/>
      <c r="C248" s="434">
        <v>-35700</v>
      </c>
      <c r="D248" s="434"/>
      <c r="E248" s="434"/>
      <c r="F248" s="434">
        <v>-35700</v>
      </c>
      <c r="G248" s="434">
        <v>443750.99999999994</v>
      </c>
      <c r="H248" s="434">
        <v>0</v>
      </c>
      <c r="I248" s="434">
        <v>0</v>
      </c>
      <c r="J248" s="435">
        <v>443750.99999999994</v>
      </c>
      <c r="K248" s="434">
        <v>277200</v>
      </c>
      <c r="L248" s="434">
        <v>1549047.9818126683</v>
      </c>
      <c r="M248" s="434">
        <v>2269998.981812668</v>
      </c>
      <c r="N248" s="434">
        <v>1826247.9818126683</v>
      </c>
    </row>
    <row r="249" spans="1:14" x14ac:dyDescent="0.3">
      <c r="A249" t="s">
        <v>1151</v>
      </c>
      <c r="B249" t="s">
        <v>892</v>
      </c>
      <c r="C249" s="352"/>
      <c r="D249" s="352"/>
      <c r="E249" s="352"/>
      <c r="F249" s="352"/>
      <c r="G249" s="430"/>
      <c r="H249" s="352"/>
      <c r="I249" s="352"/>
      <c r="J249" s="352"/>
      <c r="K249" s="352">
        <v>329175</v>
      </c>
      <c r="L249" s="352">
        <v>9649456</v>
      </c>
      <c r="M249" s="352">
        <v>9978631</v>
      </c>
      <c r="N249" s="352">
        <v>9978631</v>
      </c>
    </row>
    <row r="250" spans="1:14" x14ac:dyDescent="0.3">
      <c r="A250" s="433" t="s">
        <v>1154</v>
      </c>
      <c r="B250" s="433"/>
      <c r="C250" s="434"/>
      <c r="D250" s="434"/>
      <c r="E250" s="434"/>
      <c r="F250" s="434"/>
      <c r="G250" s="434"/>
      <c r="H250" s="434"/>
      <c r="I250" s="434"/>
      <c r="J250" s="435"/>
      <c r="K250" s="434">
        <v>329175</v>
      </c>
      <c r="L250" s="434">
        <v>9649456.3507943843</v>
      </c>
      <c r="M250" s="434">
        <v>9978631.3507943843</v>
      </c>
      <c r="N250" s="434">
        <v>9978631.3507943843</v>
      </c>
    </row>
    <row r="251" spans="1:14" x14ac:dyDescent="0.3">
      <c r="A251" t="s">
        <v>1155</v>
      </c>
      <c r="B251" t="s">
        <v>882</v>
      </c>
      <c r="C251" s="352">
        <v>-1700</v>
      </c>
      <c r="D251" s="352"/>
      <c r="E251" s="352"/>
      <c r="F251" s="352">
        <v>-1700</v>
      </c>
      <c r="G251" s="430">
        <v>21130.999999999996</v>
      </c>
      <c r="H251" s="352">
        <v>0</v>
      </c>
      <c r="I251" s="352">
        <v>0</v>
      </c>
      <c r="J251" s="352">
        <v>21130.999999999996</v>
      </c>
      <c r="K251" s="352">
        <v>34650</v>
      </c>
      <c r="L251" s="352">
        <v>1684446.591245716</v>
      </c>
      <c r="M251" s="352">
        <v>1740227.591245716</v>
      </c>
      <c r="N251" s="352">
        <v>1719096.591245716</v>
      </c>
    </row>
    <row r="252" spans="1:14" x14ac:dyDescent="0.3">
      <c r="A252" s="433" t="s">
        <v>1157</v>
      </c>
      <c r="B252" s="433"/>
      <c r="C252" s="434">
        <v>-1700</v>
      </c>
      <c r="D252" s="434"/>
      <c r="E252" s="434"/>
      <c r="F252" s="434">
        <v>-1700</v>
      </c>
      <c r="G252" s="434">
        <v>21130.999999999996</v>
      </c>
      <c r="H252" s="434">
        <v>0</v>
      </c>
      <c r="I252" s="434">
        <v>0</v>
      </c>
      <c r="J252" s="435">
        <v>21130.999999999996</v>
      </c>
      <c r="K252" s="434">
        <v>34650</v>
      </c>
      <c r="L252" s="434">
        <v>1684446.591245716</v>
      </c>
      <c r="M252" s="434">
        <v>1740227.591245716</v>
      </c>
      <c r="N252" s="434">
        <v>1719096.591245716</v>
      </c>
    </row>
    <row r="253" spans="1:14" x14ac:dyDescent="0.3">
      <c r="A253" t="s">
        <v>3628</v>
      </c>
      <c r="B253" t="s">
        <v>2998</v>
      </c>
      <c r="C253" s="352">
        <v>-22500</v>
      </c>
      <c r="D253" s="352"/>
      <c r="E253" s="352"/>
      <c r="F253" s="352">
        <v>-22500</v>
      </c>
      <c r="G253" s="430">
        <v>279675</v>
      </c>
      <c r="H253" s="352">
        <v>0</v>
      </c>
      <c r="I253" s="352">
        <v>0</v>
      </c>
      <c r="J253" s="352">
        <v>279675</v>
      </c>
      <c r="K253" s="352">
        <v>0</v>
      </c>
      <c r="L253" s="352">
        <v>0</v>
      </c>
      <c r="M253" s="352">
        <v>279675</v>
      </c>
      <c r="N253" s="352">
        <v>0</v>
      </c>
    </row>
    <row r="254" spans="1:14" x14ac:dyDescent="0.3">
      <c r="A254" t="s">
        <v>3628</v>
      </c>
      <c r="B254" t="s">
        <v>3001</v>
      </c>
      <c r="C254" s="352">
        <v>-10000</v>
      </c>
      <c r="D254" s="352"/>
      <c r="E254" s="352"/>
      <c r="F254" s="352">
        <v>-10000</v>
      </c>
      <c r="G254" s="430">
        <v>124299.99999999999</v>
      </c>
      <c r="H254" s="352">
        <v>0</v>
      </c>
      <c r="I254" s="352">
        <v>0</v>
      </c>
      <c r="J254" s="352">
        <v>124299.99999999999</v>
      </c>
      <c r="K254" s="352">
        <v>0</v>
      </c>
      <c r="L254" s="352">
        <v>0</v>
      </c>
      <c r="M254" s="352">
        <v>124299.99999999999</v>
      </c>
      <c r="N254" s="352">
        <v>0</v>
      </c>
    </row>
    <row r="255" spans="1:14" x14ac:dyDescent="0.3">
      <c r="A255" s="433" t="s">
        <v>3629</v>
      </c>
      <c r="B255" s="433"/>
      <c r="C255" s="434">
        <v>-32500</v>
      </c>
      <c r="D255" s="434"/>
      <c r="E255" s="434"/>
      <c r="F255" s="434">
        <v>-32500</v>
      </c>
      <c r="G255" s="434">
        <v>403974.99999999994</v>
      </c>
      <c r="H255" s="434">
        <v>0</v>
      </c>
      <c r="I255" s="434">
        <v>0</v>
      </c>
      <c r="J255" s="435">
        <v>403974.99999999994</v>
      </c>
      <c r="K255" s="434">
        <v>0</v>
      </c>
      <c r="L255" s="434">
        <v>0</v>
      </c>
      <c r="M255" s="434">
        <v>403974.99999999994</v>
      </c>
      <c r="N255" s="434">
        <v>0</v>
      </c>
    </row>
    <row r="256" spans="1:14" x14ac:dyDescent="0.3">
      <c r="A256" t="s">
        <v>3630</v>
      </c>
      <c r="B256" t="s">
        <v>3631</v>
      </c>
      <c r="C256" s="352"/>
      <c r="D256" s="352"/>
      <c r="E256" s="352"/>
      <c r="F256" s="352"/>
      <c r="G256" s="430"/>
      <c r="H256" s="352"/>
      <c r="I256" s="352"/>
      <c r="J256" s="352"/>
      <c r="K256" s="352">
        <v>205128</v>
      </c>
      <c r="L256" s="352">
        <v>0</v>
      </c>
      <c r="M256" s="352">
        <v>205128</v>
      </c>
      <c r="N256" s="352">
        <v>205128</v>
      </c>
    </row>
    <row r="257" spans="1:14" x14ac:dyDescent="0.3">
      <c r="A257" t="s">
        <v>3630</v>
      </c>
      <c r="B257" t="s">
        <v>3632</v>
      </c>
      <c r="C257" s="352">
        <v>-2500</v>
      </c>
      <c r="D257" s="352"/>
      <c r="E257" s="352"/>
      <c r="F257" s="352">
        <v>-2500</v>
      </c>
      <c r="G257" s="430">
        <v>31074.999999999996</v>
      </c>
      <c r="H257" s="352">
        <v>0</v>
      </c>
      <c r="I257" s="352">
        <v>0</v>
      </c>
      <c r="J257" s="352">
        <v>31074.999999999996</v>
      </c>
      <c r="K257" s="352">
        <v>0</v>
      </c>
      <c r="L257" s="352">
        <v>0</v>
      </c>
      <c r="M257" s="352">
        <v>31074.999999999996</v>
      </c>
      <c r="N257" s="352">
        <v>0</v>
      </c>
    </row>
    <row r="258" spans="1:14" x14ac:dyDescent="0.3">
      <c r="A258" s="433" t="s">
        <v>3633</v>
      </c>
      <c r="B258" s="433"/>
      <c r="C258" s="434">
        <v>-2500</v>
      </c>
      <c r="D258" s="434"/>
      <c r="E258" s="434"/>
      <c r="F258" s="434">
        <v>-2500</v>
      </c>
      <c r="G258" s="434">
        <v>31074.999999999996</v>
      </c>
      <c r="H258" s="434">
        <v>0</v>
      </c>
      <c r="I258" s="434">
        <v>0</v>
      </c>
      <c r="J258" s="435">
        <v>31074.999999999996</v>
      </c>
      <c r="K258" s="434">
        <v>205128</v>
      </c>
      <c r="L258" s="434">
        <v>0</v>
      </c>
      <c r="M258" s="434">
        <v>236203</v>
      </c>
      <c r="N258" s="434">
        <v>205128</v>
      </c>
    </row>
    <row r="259" spans="1:14" x14ac:dyDescent="0.3">
      <c r="A259" t="s">
        <v>1158</v>
      </c>
      <c r="B259" t="s">
        <v>3634</v>
      </c>
      <c r="C259" s="352">
        <v>-4100</v>
      </c>
      <c r="D259" s="352"/>
      <c r="E259" s="352"/>
      <c r="F259" s="352">
        <v>-4100</v>
      </c>
      <c r="G259" s="430">
        <v>50962.999999999993</v>
      </c>
      <c r="H259" s="352">
        <v>0</v>
      </c>
      <c r="I259" s="352">
        <v>0</v>
      </c>
      <c r="J259" s="352">
        <v>50962.999999999993</v>
      </c>
      <c r="K259" s="352">
        <v>58212</v>
      </c>
      <c r="L259" s="352">
        <v>0</v>
      </c>
      <c r="M259" s="352">
        <v>109175</v>
      </c>
      <c r="N259" s="352">
        <v>58212</v>
      </c>
    </row>
    <row r="260" spans="1:14" x14ac:dyDescent="0.3">
      <c r="A260" t="s">
        <v>1158</v>
      </c>
      <c r="B260" t="s">
        <v>1093</v>
      </c>
      <c r="C260" s="352">
        <v>-11300</v>
      </c>
      <c r="D260" s="352"/>
      <c r="E260" s="352"/>
      <c r="F260" s="352">
        <v>-11300</v>
      </c>
      <c r="G260" s="430">
        <v>140459</v>
      </c>
      <c r="H260" s="352">
        <v>0</v>
      </c>
      <c r="I260" s="352">
        <v>0</v>
      </c>
      <c r="J260" s="352">
        <v>140459</v>
      </c>
      <c r="K260" s="352">
        <v>164934</v>
      </c>
      <c r="L260" s="352">
        <v>0</v>
      </c>
      <c r="M260" s="352">
        <v>305393</v>
      </c>
      <c r="N260" s="352">
        <v>164934</v>
      </c>
    </row>
    <row r="261" spans="1:14" x14ac:dyDescent="0.3">
      <c r="A261" t="s">
        <v>1158</v>
      </c>
      <c r="B261" t="s">
        <v>1159</v>
      </c>
      <c r="C261" s="352"/>
      <c r="D261" s="352"/>
      <c r="E261" s="352"/>
      <c r="F261" s="352"/>
      <c r="G261" s="430"/>
      <c r="H261" s="352"/>
      <c r="I261" s="352"/>
      <c r="J261" s="352"/>
      <c r="K261" s="352"/>
      <c r="L261" s="352">
        <v>1142529.8650386254</v>
      </c>
      <c r="M261" s="352">
        <v>1142529.8650386254</v>
      </c>
      <c r="N261" s="352">
        <v>1142529.8650386254</v>
      </c>
    </row>
    <row r="262" spans="1:14" x14ac:dyDescent="0.3">
      <c r="A262" t="s">
        <v>1158</v>
      </c>
      <c r="B262" t="s">
        <v>1094</v>
      </c>
      <c r="C262" s="352"/>
      <c r="D262" s="352"/>
      <c r="E262" s="352"/>
      <c r="F262" s="352"/>
      <c r="G262" s="430"/>
      <c r="H262" s="352"/>
      <c r="I262" s="352"/>
      <c r="J262" s="352"/>
      <c r="K262" s="352"/>
      <c r="L262" s="352">
        <v>4766959.8114345651</v>
      </c>
      <c r="M262" s="352">
        <v>4766959.8114345651</v>
      </c>
      <c r="N262" s="352">
        <v>4766959.8114345651</v>
      </c>
    </row>
    <row r="263" spans="1:14" x14ac:dyDescent="0.3">
      <c r="A263" t="s">
        <v>1158</v>
      </c>
      <c r="B263" t="s">
        <v>3538</v>
      </c>
      <c r="C263" s="352"/>
      <c r="D263" s="352"/>
      <c r="E263" s="352"/>
      <c r="F263" s="352"/>
      <c r="G263" s="430"/>
      <c r="H263" s="352"/>
      <c r="I263" s="352"/>
      <c r="J263" s="352"/>
      <c r="K263" s="352"/>
      <c r="L263" s="352">
        <v>4789176</v>
      </c>
      <c r="M263" s="352">
        <v>4789176</v>
      </c>
      <c r="N263" s="352">
        <v>4789176</v>
      </c>
    </row>
    <row r="264" spans="1:14" x14ac:dyDescent="0.3">
      <c r="A264" s="433" t="s">
        <v>1161</v>
      </c>
      <c r="B264" s="433"/>
      <c r="C264" s="434">
        <v>-15400</v>
      </c>
      <c r="D264" s="434"/>
      <c r="E264" s="434"/>
      <c r="F264" s="434">
        <v>-15400</v>
      </c>
      <c r="G264" s="434">
        <v>191421.99999999997</v>
      </c>
      <c r="H264" s="434">
        <v>0</v>
      </c>
      <c r="I264" s="434">
        <v>0</v>
      </c>
      <c r="J264" s="435">
        <v>191421.99999999997</v>
      </c>
      <c r="K264" s="434">
        <v>223146</v>
      </c>
      <c r="L264" s="434">
        <v>10698665.676473191</v>
      </c>
      <c r="M264" s="434">
        <v>11113233.676473191</v>
      </c>
      <c r="N264" s="434">
        <v>10921811.676473191</v>
      </c>
    </row>
    <row r="265" spans="1:14" x14ac:dyDescent="0.3">
      <c r="B265" t="s">
        <v>3635</v>
      </c>
      <c r="C265" s="352"/>
      <c r="D265" s="352"/>
      <c r="E265" s="352"/>
      <c r="F265" s="352"/>
      <c r="G265" s="430"/>
      <c r="H265" s="352"/>
      <c r="I265" s="352"/>
      <c r="J265" s="352"/>
      <c r="K265" s="352">
        <v>8040171</v>
      </c>
      <c r="L265" s="352"/>
      <c r="M265" s="352"/>
      <c r="N265" s="352">
        <v>8040171</v>
      </c>
    </row>
    <row r="266" spans="1:14" x14ac:dyDescent="0.3">
      <c r="A266" s="433" t="s">
        <v>765</v>
      </c>
      <c r="B266" s="433"/>
      <c r="C266" s="434">
        <v>-5577173.7809013445</v>
      </c>
      <c r="D266" s="434">
        <v>-16700</v>
      </c>
      <c r="E266" s="434">
        <v>-635808.04597701156</v>
      </c>
      <c r="F266" s="434">
        <v>-6229681.8268783558</v>
      </c>
      <c r="G266" s="434">
        <v>69324270.096603706</v>
      </c>
      <c r="H266" s="434">
        <v>207580.99999999997</v>
      </c>
      <c r="I266" s="434">
        <v>7903094.0114942528</v>
      </c>
      <c r="J266" s="435">
        <v>77434945.108097956</v>
      </c>
      <c r="K266" s="434">
        <v>18799999.655172415</v>
      </c>
      <c r="L266" s="434">
        <v>214002000</v>
      </c>
      <c r="M266" s="434">
        <v>310236944.76327038</v>
      </c>
      <c r="N266" s="434">
        <v>232801999.65517241</v>
      </c>
    </row>
    <row r="267" spans="1:14" x14ac:dyDescent="0.3">
      <c r="G267" s="16"/>
    </row>
    <row r="268" spans="1:14" ht="18" x14ac:dyDescent="0.35">
      <c r="A268" s="440" t="s">
        <v>3636</v>
      </c>
      <c r="B268" s="440"/>
      <c r="C268" s="440"/>
      <c r="D268" s="440"/>
      <c r="G268" s="16"/>
    </row>
    <row r="269" spans="1:14" x14ac:dyDescent="0.3">
      <c r="G269" s="16"/>
    </row>
    <row r="270" spans="1:14" x14ac:dyDescent="0.3">
      <c r="G270" s="16"/>
    </row>
    <row r="271" spans="1:14" x14ac:dyDescent="0.3">
      <c r="G271" s="16"/>
    </row>
    <row r="272" spans="1:14" x14ac:dyDescent="0.3">
      <c r="G272" s="16"/>
    </row>
    <row r="273" spans="7:7" x14ac:dyDescent="0.3">
      <c r="G273" s="16"/>
    </row>
    <row r="274" spans="7:7" x14ac:dyDescent="0.3">
      <c r="G274" s="16"/>
    </row>
    <row r="275" spans="7:7" x14ac:dyDescent="0.3">
      <c r="G275" s="16"/>
    </row>
    <row r="276" spans="7:7" x14ac:dyDescent="0.3">
      <c r="G276" s="16"/>
    </row>
    <row r="277" spans="7:7" x14ac:dyDescent="0.3">
      <c r="G277" s="16"/>
    </row>
    <row r="278" spans="7:7" x14ac:dyDescent="0.3">
      <c r="G278" s="16"/>
    </row>
    <row r="279" spans="7:7" x14ac:dyDescent="0.3">
      <c r="G279" s="16"/>
    </row>
    <row r="280" spans="7:7" x14ac:dyDescent="0.3">
      <c r="G280" s="16"/>
    </row>
    <row r="281" spans="7:7" x14ac:dyDescent="0.3">
      <c r="G281" s="16"/>
    </row>
    <row r="282" spans="7:7" x14ac:dyDescent="0.3">
      <c r="G282" s="16"/>
    </row>
    <row r="283" spans="7:7" x14ac:dyDescent="0.3">
      <c r="G283" s="16"/>
    </row>
    <row r="284" spans="7:7" x14ac:dyDescent="0.3">
      <c r="G284" s="16"/>
    </row>
    <row r="285" spans="7:7" x14ac:dyDescent="0.3">
      <c r="G285" s="16"/>
    </row>
    <row r="286" spans="7:7" x14ac:dyDescent="0.3">
      <c r="G286" s="16"/>
    </row>
    <row r="287" spans="7:7" x14ac:dyDescent="0.3">
      <c r="G287" s="16"/>
    </row>
    <row r="288" spans="7:7" x14ac:dyDescent="0.3">
      <c r="G288" s="16"/>
    </row>
    <row r="289" spans="7:7" x14ac:dyDescent="0.3">
      <c r="G289" s="16"/>
    </row>
    <row r="290" spans="7:7" x14ac:dyDescent="0.3">
      <c r="G290" s="16"/>
    </row>
    <row r="291" spans="7:7" x14ac:dyDescent="0.3">
      <c r="G291" s="16"/>
    </row>
    <row r="292" spans="7:7" x14ac:dyDescent="0.3">
      <c r="G292" s="16"/>
    </row>
    <row r="293" spans="7:7" x14ac:dyDescent="0.3">
      <c r="G293" s="16"/>
    </row>
    <row r="294" spans="7:7" x14ac:dyDescent="0.3">
      <c r="G294" s="16"/>
    </row>
    <row r="295" spans="7:7" x14ac:dyDescent="0.3">
      <c r="G295" s="16"/>
    </row>
    <row r="296" spans="7:7" x14ac:dyDescent="0.3">
      <c r="G296" s="16"/>
    </row>
    <row r="297" spans="7:7" x14ac:dyDescent="0.3">
      <c r="G297" s="16"/>
    </row>
    <row r="298" spans="7:7" x14ac:dyDescent="0.3">
      <c r="G298" s="16"/>
    </row>
    <row r="299" spans="7:7" x14ac:dyDescent="0.3">
      <c r="G299" s="16"/>
    </row>
    <row r="300" spans="7:7" x14ac:dyDescent="0.3">
      <c r="G300" s="16"/>
    </row>
    <row r="301" spans="7:7" x14ac:dyDescent="0.3">
      <c r="G301" s="16"/>
    </row>
    <row r="302" spans="7:7" x14ac:dyDescent="0.3">
      <c r="G302" s="16"/>
    </row>
    <row r="303" spans="7:7" x14ac:dyDescent="0.3">
      <c r="G303" s="16"/>
    </row>
    <row r="304" spans="7:7" x14ac:dyDescent="0.3">
      <c r="G304" s="16"/>
    </row>
    <row r="305" spans="7:7" x14ac:dyDescent="0.3">
      <c r="G305" s="16"/>
    </row>
    <row r="306" spans="7:7" x14ac:dyDescent="0.3">
      <c r="G306" s="16"/>
    </row>
    <row r="307" spans="7:7" x14ac:dyDescent="0.3">
      <c r="G307" s="16"/>
    </row>
    <row r="308" spans="7:7" x14ac:dyDescent="0.3">
      <c r="G308" s="16"/>
    </row>
    <row r="309" spans="7:7" x14ac:dyDescent="0.3">
      <c r="G309" s="16"/>
    </row>
    <row r="310" spans="7:7" x14ac:dyDescent="0.3">
      <c r="G310" s="16"/>
    </row>
    <row r="311" spans="7:7" x14ac:dyDescent="0.3">
      <c r="G311" s="16"/>
    </row>
    <row r="312" spans="7:7" x14ac:dyDescent="0.3">
      <c r="G312" s="16"/>
    </row>
    <row r="313" spans="7:7" x14ac:dyDescent="0.3">
      <c r="G313" s="16"/>
    </row>
    <row r="314" spans="7:7" x14ac:dyDescent="0.3">
      <c r="G314" s="16"/>
    </row>
    <row r="315" spans="7:7" x14ac:dyDescent="0.3">
      <c r="G315" s="16"/>
    </row>
    <row r="316" spans="7:7" x14ac:dyDescent="0.3">
      <c r="G316" s="16"/>
    </row>
    <row r="317" spans="7:7" x14ac:dyDescent="0.3">
      <c r="G317" s="16"/>
    </row>
    <row r="318" spans="7:7" x14ac:dyDescent="0.3">
      <c r="G318" s="16"/>
    </row>
    <row r="319" spans="7:7" x14ac:dyDescent="0.3">
      <c r="G319" s="16"/>
    </row>
    <row r="320" spans="7:7" x14ac:dyDescent="0.3">
      <c r="G320" s="16"/>
    </row>
    <row r="321" spans="7:7" x14ac:dyDescent="0.3">
      <c r="G321" s="16"/>
    </row>
    <row r="322" spans="7:7" x14ac:dyDescent="0.3">
      <c r="G322" s="16"/>
    </row>
    <row r="323" spans="7:7" x14ac:dyDescent="0.3">
      <c r="G323" s="16"/>
    </row>
    <row r="324" spans="7:7" x14ac:dyDescent="0.3">
      <c r="G324" s="16"/>
    </row>
    <row r="325" spans="7:7" x14ac:dyDescent="0.3">
      <c r="G325" s="16"/>
    </row>
    <row r="326" spans="7:7" x14ac:dyDescent="0.3">
      <c r="G326" s="16"/>
    </row>
    <row r="327" spans="7:7" x14ac:dyDescent="0.3">
      <c r="G327" s="16"/>
    </row>
    <row r="328" spans="7:7" x14ac:dyDescent="0.3">
      <c r="G328" s="16"/>
    </row>
    <row r="329" spans="7:7" x14ac:dyDescent="0.3">
      <c r="G329" s="16"/>
    </row>
    <row r="330" spans="7:7" x14ac:dyDescent="0.3">
      <c r="G330" s="16"/>
    </row>
    <row r="331" spans="7:7" x14ac:dyDescent="0.3">
      <c r="G331" s="16"/>
    </row>
    <row r="332" spans="7:7" x14ac:dyDescent="0.3">
      <c r="G332" s="16"/>
    </row>
    <row r="333" spans="7:7" x14ac:dyDescent="0.3">
      <c r="G333" s="16"/>
    </row>
    <row r="334" spans="7:7" x14ac:dyDescent="0.3">
      <c r="G334" s="16"/>
    </row>
    <row r="335" spans="7:7" x14ac:dyDescent="0.3">
      <c r="G335" s="16"/>
    </row>
    <row r="336" spans="7:7" x14ac:dyDescent="0.3">
      <c r="G336" s="16"/>
    </row>
    <row r="337" spans="7:7" x14ac:dyDescent="0.3">
      <c r="G337" s="16"/>
    </row>
    <row r="338" spans="7:7" x14ac:dyDescent="0.3">
      <c r="G338" s="16"/>
    </row>
    <row r="339" spans="7:7" x14ac:dyDescent="0.3">
      <c r="G339" s="16"/>
    </row>
    <row r="340" spans="7:7" x14ac:dyDescent="0.3">
      <c r="G340" s="16"/>
    </row>
    <row r="341" spans="7:7" x14ac:dyDescent="0.3">
      <c r="G341" s="16"/>
    </row>
    <row r="342" spans="7:7" x14ac:dyDescent="0.3">
      <c r="G342" s="16"/>
    </row>
    <row r="343" spans="7:7" x14ac:dyDescent="0.3">
      <c r="G343" s="16"/>
    </row>
    <row r="344" spans="7:7" x14ac:dyDescent="0.3">
      <c r="G344" s="16"/>
    </row>
    <row r="345" spans="7:7" x14ac:dyDescent="0.3">
      <c r="G345" s="16"/>
    </row>
    <row r="346" spans="7:7" x14ac:dyDescent="0.3">
      <c r="G346" s="16"/>
    </row>
    <row r="347" spans="7:7" x14ac:dyDescent="0.3">
      <c r="G347" s="16"/>
    </row>
    <row r="348" spans="7:7" x14ac:dyDescent="0.3">
      <c r="G348" s="16"/>
    </row>
    <row r="349" spans="7:7" x14ac:dyDescent="0.3">
      <c r="G349" s="16"/>
    </row>
    <row r="350" spans="7:7" x14ac:dyDescent="0.3">
      <c r="G350" s="16"/>
    </row>
    <row r="351" spans="7:7" x14ac:dyDescent="0.3">
      <c r="G351" s="16"/>
    </row>
    <row r="352" spans="7:7" x14ac:dyDescent="0.3">
      <c r="G352" s="16"/>
    </row>
    <row r="353" spans="7:7" x14ac:dyDescent="0.3">
      <c r="G353" s="16"/>
    </row>
    <row r="354" spans="7:7" x14ac:dyDescent="0.3">
      <c r="G354" s="16"/>
    </row>
    <row r="355" spans="7:7" x14ac:dyDescent="0.3">
      <c r="G355" s="16"/>
    </row>
    <row r="356" spans="7:7" x14ac:dyDescent="0.3">
      <c r="G356" s="16"/>
    </row>
    <row r="357" spans="7:7" x14ac:dyDescent="0.3">
      <c r="G357" s="16"/>
    </row>
    <row r="358" spans="7:7" x14ac:dyDescent="0.3">
      <c r="G358" s="16"/>
    </row>
    <row r="359" spans="7:7" x14ac:dyDescent="0.3">
      <c r="G359" s="16"/>
    </row>
    <row r="360" spans="7:7" x14ac:dyDescent="0.3">
      <c r="G360" s="16"/>
    </row>
    <row r="361" spans="7:7" x14ac:dyDescent="0.3">
      <c r="G361" s="16"/>
    </row>
    <row r="362" spans="7:7" x14ac:dyDescent="0.3">
      <c r="G362" s="16"/>
    </row>
    <row r="363" spans="7:7" x14ac:dyDescent="0.3">
      <c r="G363" s="16"/>
    </row>
    <row r="364" spans="7:7" x14ac:dyDescent="0.3">
      <c r="G364" s="16"/>
    </row>
    <row r="365" spans="7:7" x14ac:dyDescent="0.3">
      <c r="G365" s="16"/>
    </row>
    <row r="366" spans="7:7" x14ac:dyDescent="0.3">
      <c r="G366" s="16"/>
    </row>
    <row r="367" spans="7:7" x14ac:dyDescent="0.3">
      <c r="G367" s="16"/>
    </row>
    <row r="368" spans="7:7" x14ac:dyDescent="0.3">
      <c r="G368" s="16"/>
    </row>
    <row r="369" spans="7:7" x14ac:dyDescent="0.3">
      <c r="G369" s="16"/>
    </row>
    <row r="370" spans="7:7" x14ac:dyDescent="0.3">
      <c r="G370" s="16"/>
    </row>
    <row r="371" spans="7:7" x14ac:dyDescent="0.3">
      <c r="G371" s="16"/>
    </row>
    <row r="372" spans="7:7" x14ac:dyDescent="0.3">
      <c r="G372" s="16"/>
    </row>
    <row r="373" spans="7:7" x14ac:dyDescent="0.3">
      <c r="G373" s="16"/>
    </row>
    <row r="374" spans="7:7" x14ac:dyDescent="0.3">
      <c r="G374" s="16"/>
    </row>
    <row r="375" spans="7:7" x14ac:dyDescent="0.3">
      <c r="G375" s="16"/>
    </row>
    <row r="376" spans="7:7" x14ac:dyDescent="0.3">
      <c r="G376" s="16"/>
    </row>
    <row r="377" spans="7:7" x14ac:dyDescent="0.3">
      <c r="G377" s="16"/>
    </row>
    <row r="378" spans="7:7" x14ac:dyDescent="0.3">
      <c r="G378" s="16"/>
    </row>
    <row r="379" spans="7:7" x14ac:dyDescent="0.3">
      <c r="G379" s="16"/>
    </row>
    <row r="380" spans="7:7" x14ac:dyDescent="0.3">
      <c r="G380" s="16"/>
    </row>
    <row r="381" spans="7:7" x14ac:dyDescent="0.3">
      <c r="G381" s="16"/>
    </row>
    <row r="382" spans="7:7" x14ac:dyDescent="0.3">
      <c r="G382" s="16"/>
    </row>
    <row r="383" spans="7:7" x14ac:dyDescent="0.3">
      <c r="G383" s="16"/>
    </row>
    <row r="384" spans="7:7" x14ac:dyDescent="0.3">
      <c r="G384" s="16"/>
    </row>
    <row r="385" spans="7:7" x14ac:dyDescent="0.3">
      <c r="G385" s="16"/>
    </row>
    <row r="386" spans="7:7" x14ac:dyDescent="0.3">
      <c r="G386" s="16"/>
    </row>
    <row r="387" spans="7:7" x14ac:dyDescent="0.3">
      <c r="G387" s="16"/>
    </row>
    <row r="388" spans="7:7" x14ac:dyDescent="0.3">
      <c r="G388" s="16"/>
    </row>
    <row r="389" spans="7:7" x14ac:dyDescent="0.3">
      <c r="G389" s="16"/>
    </row>
    <row r="390" spans="7:7" x14ac:dyDescent="0.3">
      <c r="G390" s="16"/>
    </row>
    <row r="391" spans="7:7" x14ac:dyDescent="0.3">
      <c r="G391" s="16"/>
    </row>
    <row r="392" spans="7:7" x14ac:dyDescent="0.3">
      <c r="G392" s="16"/>
    </row>
    <row r="393" spans="7:7" x14ac:dyDescent="0.3">
      <c r="G393" s="16"/>
    </row>
    <row r="394" spans="7:7" x14ac:dyDescent="0.3">
      <c r="G394" s="16"/>
    </row>
    <row r="395" spans="7:7" x14ac:dyDescent="0.3">
      <c r="G395" s="16"/>
    </row>
    <row r="396" spans="7:7" x14ac:dyDescent="0.3">
      <c r="G396" s="16"/>
    </row>
    <row r="397" spans="7:7" x14ac:dyDescent="0.3">
      <c r="G397" s="16"/>
    </row>
    <row r="398" spans="7:7" x14ac:dyDescent="0.3">
      <c r="G398" s="16"/>
    </row>
    <row r="399" spans="7:7" x14ac:dyDescent="0.3">
      <c r="G399" s="16"/>
    </row>
    <row r="400" spans="7:7" x14ac:dyDescent="0.3">
      <c r="G400" s="16"/>
    </row>
    <row r="401" spans="7:7" x14ac:dyDescent="0.3">
      <c r="G401" s="16"/>
    </row>
    <row r="402" spans="7:7" x14ac:dyDescent="0.3">
      <c r="G402" s="16"/>
    </row>
    <row r="403" spans="7:7" x14ac:dyDescent="0.3">
      <c r="G403" s="16"/>
    </row>
    <row r="404" spans="7:7" x14ac:dyDescent="0.3">
      <c r="G404" s="16"/>
    </row>
    <row r="405" spans="7:7" x14ac:dyDescent="0.3">
      <c r="G405" s="16"/>
    </row>
    <row r="406" spans="7:7" x14ac:dyDescent="0.3">
      <c r="G406" s="16"/>
    </row>
    <row r="407" spans="7:7" x14ac:dyDescent="0.3">
      <c r="G407" s="16"/>
    </row>
    <row r="408" spans="7:7" x14ac:dyDescent="0.3">
      <c r="G408" s="16"/>
    </row>
    <row r="409" spans="7:7" x14ac:dyDescent="0.3">
      <c r="G409" s="16"/>
    </row>
    <row r="410" spans="7:7" x14ac:dyDescent="0.3">
      <c r="G410" s="16"/>
    </row>
    <row r="411" spans="7:7" x14ac:dyDescent="0.3">
      <c r="G411" s="16"/>
    </row>
    <row r="412" spans="7:7" x14ac:dyDescent="0.3">
      <c r="G412" s="16"/>
    </row>
    <row r="413" spans="7:7" x14ac:dyDescent="0.3">
      <c r="G413" s="16"/>
    </row>
    <row r="414" spans="7:7" x14ac:dyDescent="0.3">
      <c r="G414" s="16"/>
    </row>
    <row r="415" spans="7:7" x14ac:dyDescent="0.3">
      <c r="G415" s="16"/>
    </row>
    <row r="416" spans="7:7" x14ac:dyDescent="0.3">
      <c r="G416" s="16"/>
    </row>
    <row r="417" spans="7:7" x14ac:dyDescent="0.3">
      <c r="G417" s="16"/>
    </row>
    <row r="418" spans="7:7" x14ac:dyDescent="0.3">
      <c r="G418" s="16"/>
    </row>
    <row r="419" spans="7:7" x14ac:dyDescent="0.3">
      <c r="G419" s="16"/>
    </row>
    <row r="420" spans="7:7" x14ac:dyDescent="0.3">
      <c r="G420" s="16"/>
    </row>
    <row r="421" spans="7:7" x14ac:dyDescent="0.3">
      <c r="G421" s="16"/>
    </row>
    <row r="422" spans="7:7" x14ac:dyDescent="0.3">
      <c r="G422" s="16"/>
    </row>
    <row r="423" spans="7:7" x14ac:dyDescent="0.3">
      <c r="G423" s="16"/>
    </row>
    <row r="424" spans="7:7" x14ac:dyDescent="0.3">
      <c r="G424" s="16"/>
    </row>
    <row r="425" spans="7:7" x14ac:dyDescent="0.3">
      <c r="G425" s="16"/>
    </row>
    <row r="426" spans="7:7" x14ac:dyDescent="0.3">
      <c r="G426" s="16"/>
    </row>
    <row r="427" spans="7:7" x14ac:dyDescent="0.3">
      <c r="G427" s="16"/>
    </row>
    <row r="428" spans="7:7" x14ac:dyDescent="0.3">
      <c r="G428" s="16"/>
    </row>
    <row r="429" spans="7:7" x14ac:dyDescent="0.3">
      <c r="G429" s="16"/>
    </row>
    <row r="430" spans="7:7" x14ac:dyDescent="0.3">
      <c r="G430" s="16"/>
    </row>
    <row r="431" spans="7:7" x14ac:dyDescent="0.3">
      <c r="G431" s="16"/>
    </row>
    <row r="432" spans="7:7" x14ac:dyDescent="0.3">
      <c r="G432" s="16"/>
    </row>
    <row r="433" spans="7:7" x14ac:dyDescent="0.3">
      <c r="G433" s="16"/>
    </row>
    <row r="434" spans="7:7" x14ac:dyDescent="0.3">
      <c r="G434" s="16"/>
    </row>
    <row r="435" spans="7:7" x14ac:dyDescent="0.3">
      <c r="G435" s="16"/>
    </row>
    <row r="436" spans="7:7" x14ac:dyDescent="0.3">
      <c r="G436" s="16"/>
    </row>
    <row r="437" spans="7:7" x14ac:dyDescent="0.3">
      <c r="G437" s="16"/>
    </row>
    <row r="438" spans="7:7" x14ac:dyDescent="0.3">
      <c r="G438" s="16"/>
    </row>
    <row r="439" spans="7:7" x14ac:dyDescent="0.3">
      <c r="G439" s="16"/>
    </row>
    <row r="440" spans="7:7" x14ac:dyDescent="0.3">
      <c r="G440" s="16"/>
    </row>
    <row r="441" spans="7:7" x14ac:dyDescent="0.3">
      <c r="G441" s="16"/>
    </row>
    <row r="442" spans="7:7" x14ac:dyDescent="0.3">
      <c r="G442" s="16"/>
    </row>
    <row r="443" spans="7:7" x14ac:dyDescent="0.3">
      <c r="G443" s="16"/>
    </row>
    <row r="444" spans="7:7" x14ac:dyDescent="0.3">
      <c r="G444" s="16"/>
    </row>
    <row r="445" spans="7:7" x14ac:dyDescent="0.3">
      <c r="G445" s="16"/>
    </row>
    <row r="446" spans="7:7" x14ac:dyDescent="0.3">
      <c r="G446" s="16"/>
    </row>
    <row r="447" spans="7:7" x14ac:dyDescent="0.3">
      <c r="G447" s="16"/>
    </row>
    <row r="448" spans="7:7" x14ac:dyDescent="0.3">
      <c r="G448" s="16"/>
    </row>
    <row r="449" spans="7:7" x14ac:dyDescent="0.3">
      <c r="G449" s="16"/>
    </row>
    <row r="450" spans="7:7" x14ac:dyDescent="0.3">
      <c r="G450" s="16"/>
    </row>
    <row r="451" spans="7:7" x14ac:dyDescent="0.3">
      <c r="G451" s="16"/>
    </row>
    <row r="452" spans="7:7" x14ac:dyDescent="0.3">
      <c r="G452" s="16"/>
    </row>
    <row r="453" spans="7:7" x14ac:dyDescent="0.3">
      <c r="G453" s="16"/>
    </row>
    <row r="454" spans="7:7" x14ac:dyDescent="0.3">
      <c r="G454" s="16"/>
    </row>
    <row r="455" spans="7:7" x14ac:dyDescent="0.3">
      <c r="G455" s="16"/>
    </row>
    <row r="456" spans="7:7" x14ac:dyDescent="0.3">
      <c r="G456" s="16"/>
    </row>
    <row r="457" spans="7:7" x14ac:dyDescent="0.3">
      <c r="G457" s="16"/>
    </row>
    <row r="458" spans="7:7" x14ac:dyDescent="0.3">
      <c r="G458" s="16"/>
    </row>
    <row r="459" spans="7:7" x14ac:dyDescent="0.3">
      <c r="G459" s="16"/>
    </row>
    <row r="460" spans="7:7" x14ac:dyDescent="0.3">
      <c r="G460" s="16"/>
    </row>
    <row r="461" spans="7:7" x14ac:dyDescent="0.3">
      <c r="G461" s="16"/>
    </row>
    <row r="462" spans="7:7" x14ac:dyDescent="0.3">
      <c r="G462" s="16"/>
    </row>
    <row r="463" spans="7:7" x14ac:dyDescent="0.3">
      <c r="G463" s="16"/>
    </row>
    <row r="464" spans="7:7" x14ac:dyDescent="0.3">
      <c r="G464" s="16"/>
    </row>
  </sheetData>
  <mergeCells count="4">
    <mergeCell ref="K3:K4"/>
    <mergeCell ref="L3:L4"/>
    <mergeCell ref="M3:M4"/>
    <mergeCell ref="N3:N4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7"/>
  <sheetViews>
    <sheetView zoomScale="80" zoomScaleNormal="80" workbookViewId="0">
      <selection sqref="A1:N1048576"/>
    </sheetView>
  </sheetViews>
  <sheetFormatPr defaultColWidth="21.88671875" defaultRowHeight="15.6" x14ac:dyDescent="0.3"/>
  <cols>
    <col min="1" max="1" width="7.77734375" style="66" customWidth="1"/>
    <col min="2" max="2" width="21.88671875" style="66"/>
    <col min="3" max="3" width="21.88671875" style="6"/>
    <col min="4" max="4" width="25.88671875" style="66" customWidth="1"/>
    <col min="5" max="5" width="21.88671875" style="66" customWidth="1"/>
    <col min="6" max="6" width="21.88671875" style="67" customWidth="1"/>
    <col min="7" max="8" width="21.88671875" style="66"/>
    <col min="9" max="9" width="12.88671875" style="66" customWidth="1"/>
    <col min="10" max="10" width="11" style="66" customWidth="1"/>
    <col min="11" max="11" width="7.6640625" style="66" customWidth="1"/>
    <col min="12" max="16384" width="21.88671875" style="66"/>
  </cols>
  <sheetData>
    <row r="1" spans="1:13" ht="22.8" x14ac:dyDescent="0.3">
      <c r="A1" s="441"/>
      <c r="B1" s="442" t="s">
        <v>3637</v>
      </c>
      <c r="C1" s="443"/>
      <c r="D1" s="441"/>
      <c r="E1" s="444"/>
      <c r="F1" s="444"/>
      <c r="G1" s="441"/>
      <c r="H1" s="441"/>
      <c r="I1" s="441"/>
      <c r="J1" s="441"/>
      <c r="K1" s="441"/>
      <c r="L1" s="441"/>
      <c r="M1" s="441"/>
    </row>
    <row r="2" spans="1:13" ht="22.8" x14ac:dyDescent="0.3">
      <c r="A2" s="441"/>
      <c r="B2" s="442" t="s">
        <v>3638</v>
      </c>
      <c r="C2" s="443"/>
      <c r="D2" s="441"/>
      <c r="E2" s="444"/>
      <c r="F2" s="444"/>
      <c r="G2" s="441"/>
      <c r="H2" s="441"/>
      <c r="I2" s="441"/>
      <c r="J2" s="441"/>
      <c r="K2" s="441"/>
      <c r="L2" s="441"/>
      <c r="M2" s="441"/>
    </row>
    <row r="3" spans="1:13" x14ac:dyDescent="0.3">
      <c r="A3" s="441"/>
      <c r="B3" s="441"/>
      <c r="C3" s="443"/>
      <c r="D3" s="441"/>
      <c r="E3" s="444"/>
      <c r="F3" s="444"/>
      <c r="G3" s="441"/>
      <c r="H3" s="441"/>
      <c r="I3" s="441"/>
      <c r="J3" s="1195" t="s">
        <v>3639</v>
      </c>
      <c r="K3" s="1196"/>
      <c r="L3" s="441"/>
      <c r="M3" s="441"/>
    </row>
    <row r="4" spans="1:13" ht="52.8" x14ac:dyDescent="0.3">
      <c r="A4" s="441"/>
      <c r="B4" s="445" t="s">
        <v>974</v>
      </c>
      <c r="C4" s="445" t="s">
        <v>973</v>
      </c>
      <c r="D4" s="445" t="s">
        <v>972</v>
      </c>
      <c r="E4" s="446" t="s">
        <v>971</v>
      </c>
      <c r="F4" s="447" t="s">
        <v>3640</v>
      </c>
      <c r="G4" s="448" t="s">
        <v>3641</v>
      </c>
      <c r="H4" s="448" t="s">
        <v>3642</v>
      </c>
      <c r="I4" s="449" t="s">
        <v>970</v>
      </c>
      <c r="J4" s="448" t="s">
        <v>969</v>
      </c>
      <c r="K4" s="448" t="s">
        <v>968</v>
      </c>
      <c r="L4" s="441"/>
      <c r="M4" s="441"/>
    </row>
    <row r="5" spans="1:13" x14ac:dyDescent="0.25">
      <c r="A5" s="441"/>
      <c r="B5" s="450" t="s">
        <v>91</v>
      </c>
      <c r="C5" s="451" t="s">
        <v>94</v>
      </c>
      <c r="D5" s="66" t="s">
        <v>966</v>
      </c>
      <c r="E5" s="452">
        <v>130.5</v>
      </c>
      <c r="F5" s="453" t="s">
        <v>967</v>
      </c>
      <c r="G5" s="454">
        <v>201600</v>
      </c>
      <c r="H5" s="455">
        <v>227807.99999999997</v>
      </c>
      <c r="I5" s="456">
        <v>4.7872254029936688E-3</v>
      </c>
      <c r="J5" s="457" t="s">
        <v>746</v>
      </c>
      <c r="K5" s="458">
        <v>19</v>
      </c>
      <c r="L5" s="441"/>
      <c r="M5" s="441"/>
    </row>
    <row r="6" spans="1:13" x14ac:dyDescent="0.3">
      <c r="A6" s="441"/>
      <c r="B6" s="459" t="s">
        <v>91</v>
      </c>
      <c r="C6" s="460" t="s">
        <v>94</v>
      </c>
      <c r="D6" s="458" t="s">
        <v>966</v>
      </c>
      <c r="E6" s="452">
        <v>174</v>
      </c>
      <c r="F6" s="453" t="s">
        <v>965</v>
      </c>
      <c r="G6" s="454">
        <v>2695200</v>
      </c>
      <c r="H6" s="455">
        <v>3045575.9999999995</v>
      </c>
      <c r="I6" s="456">
        <v>6.4000644375736784E-2</v>
      </c>
      <c r="J6" s="457" t="s">
        <v>746</v>
      </c>
      <c r="K6" s="458">
        <v>19</v>
      </c>
      <c r="L6" s="441"/>
      <c r="M6" s="441"/>
    </row>
    <row r="7" spans="1:13" x14ac:dyDescent="0.3">
      <c r="A7" s="441" t="str">
        <f>B6</f>
        <v>A111KKAJK</v>
      </c>
      <c r="B7" s="461" t="s">
        <v>964</v>
      </c>
      <c r="C7" s="462"/>
      <c r="D7" s="461"/>
      <c r="E7" s="463"/>
      <c r="F7" s="453"/>
      <c r="G7" s="464">
        <v>2896800</v>
      </c>
      <c r="H7" s="464">
        <v>3273383.9999999995</v>
      </c>
      <c r="I7" s="465">
        <v>6.8787869778730457E-2</v>
      </c>
      <c r="J7" s="457"/>
      <c r="K7" s="458"/>
      <c r="L7" s="441" t="s">
        <v>3643</v>
      </c>
      <c r="M7" s="441" t="str">
        <f>B6</f>
        <v>A111KKAJK</v>
      </c>
    </row>
    <row r="8" spans="1:13" x14ac:dyDescent="0.3">
      <c r="A8" s="441"/>
      <c r="B8" s="459" t="s">
        <v>962</v>
      </c>
      <c r="C8" s="460" t="s">
        <v>961</v>
      </c>
      <c r="D8" s="458" t="s">
        <v>960</v>
      </c>
      <c r="E8" s="452">
        <v>43.5</v>
      </c>
      <c r="F8" s="453" t="s">
        <v>3644</v>
      </c>
      <c r="G8" s="454">
        <v>64800</v>
      </c>
      <c r="H8" s="455">
        <v>73224</v>
      </c>
      <c r="I8" s="456">
        <v>1.5387510223908221E-3</v>
      </c>
      <c r="J8" s="457" t="s">
        <v>746</v>
      </c>
      <c r="K8" s="458">
        <v>19</v>
      </c>
      <c r="L8" s="441"/>
      <c r="M8" s="441"/>
    </row>
    <row r="9" spans="1:13" x14ac:dyDescent="0.3">
      <c r="A9" s="441"/>
      <c r="B9" s="459" t="s">
        <v>962</v>
      </c>
      <c r="C9" s="460" t="s">
        <v>961</v>
      </c>
      <c r="D9" s="458" t="s">
        <v>960</v>
      </c>
      <c r="E9" s="452">
        <v>87</v>
      </c>
      <c r="F9" s="453" t="s">
        <v>963</v>
      </c>
      <c r="G9" s="454">
        <v>129600</v>
      </c>
      <c r="H9" s="455">
        <v>146448</v>
      </c>
      <c r="I9" s="456">
        <v>3.0775020447816443E-3</v>
      </c>
      <c r="J9" s="457" t="s">
        <v>746</v>
      </c>
      <c r="K9" s="458">
        <v>19</v>
      </c>
      <c r="L9" s="441"/>
      <c r="M9" s="441"/>
    </row>
    <row r="10" spans="1:13" ht="12.75" customHeight="1" x14ac:dyDescent="0.3">
      <c r="A10" s="441"/>
      <c r="B10" s="459" t="s">
        <v>962</v>
      </c>
      <c r="C10" s="460" t="s">
        <v>961</v>
      </c>
      <c r="D10" s="458" t="s">
        <v>960</v>
      </c>
      <c r="E10" s="452">
        <v>174</v>
      </c>
      <c r="F10" s="453" t="s">
        <v>959</v>
      </c>
      <c r="G10" s="454">
        <v>2147196</v>
      </c>
      <c r="H10" s="455">
        <v>2426331.48</v>
      </c>
      <c r="I10" s="456">
        <v>5.0987654942492029E-2</v>
      </c>
      <c r="J10" s="457" t="s">
        <v>746</v>
      </c>
      <c r="K10" s="458">
        <v>19</v>
      </c>
      <c r="L10" s="441"/>
      <c r="M10" s="441"/>
    </row>
    <row r="11" spans="1:13" ht="12.75" customHeight="1" x14ac:dyDescent="0.3">
      <c r="A11" s="441" t="str">
        <f>B10</f>
        <v>B111KKPPK</v>
      </c>
      <c r="B11" s="461" t="s">
        <v>958</v>
      </c>
      <c r="C11" s="462"/>
      <c r="D11" s="461"/>
      <c r="E11" s="463"/>
      <c r="F11" s="453"/>
      <c r="G11" s="464">
        <v>2341596</v>
      </c>
      <c r="H11" s="464">
        <v>2646003.48</v>
      </c>
      <c r="I11" s="465">
        <v>5.5603908009664499E-2</v>
      </c>
      <c r="J11" s="457"/>
      <c r="K11" s="458"/>
      <c r="L11" s="441" t="s">
        <v>3645</v>
      </c>
      <c r="M11" s="441" t="str">
        <f>B10</f>
        <v>B111KKPPK</v>
      </c>
    </row>
    <row r="12" spans="1:13" x14ac:dyDescent="0.3">
      <c r="A12" s="441"/>
      <c r="B12" s="459" t="s">
        <v>957</v>
      </c>
      <c r="C12" s="460" t="s">
        <v>956</v>
      </c>
      <c r="D12" s="458" t="s">
        <v>955</v>
      </c>
      <c r="E12" s="452">
        <v>174</v>
      </c>
      <c r="F12" s="453" t="s">
        <v>954</v>
      </c>
      <c r="G12" s="454">
        <v>0</v>
      </c>
      <c r="H12" s="455">
        <v>0</v>
      </c>
      <c r="I12" s="456">
        <v>0</v>
      </c>
      <c r="J12" s="457" t="s">
        <v>746</v>
      </c>
      <c r="K12" s="458">
        <v>19</v>
      </c>
      <c r="L12" s="441"/>
      <c r="M12" s="441"/>
    </row>
    <row r="13" spans="1:13" x14ac:dyDescent="0.3">
      <c r="A13" s="441"/>
      <c r="B13" s="461" t="s">
        <v>953</v>
      </c>
      <c r="C13" s="462"/>
      <c r="D13" s="461"/>
      <c r="E13" s="463"/>
      <c r="F13" s="453"/>
      <c r="G13" s="464">
        <v>0</v>
      </c>
      <c r="H13" s="464">
        <v>0</v>
      </c>
      <c r="I13" s="465">
        <v>0</v>
      </c>
      <c r="J13" s="457"/>
      <c r="K13" s="458"/>
      <c r="L13" s="441" t="s">
        <v>793</v>
      </c>
      <c r="M13" s="441"/>
    </row>
    <row r="14" spans="1:13" x14ac:dyDescent="0.3">
      <c r="A14" s="441"/>
      <c r="B14" s="459" t="s">
        <v>951</v>
      </c>
      <c r="C14" s="460" t="s">
        <v>950</v>
      </c>
      <c r="D14" s="458" t="s">
        <v>949</v>
      </c>
      <c r="E14" s="452">
        <v>87</v>
      </c>
      <c r="F14" s="453" t="s">
        <v>952</v>
      </c>
      <c r="G14" s="454">
        <v>128400</v>
      </c>
      <c r="H14" s="455">
        <v>145092</v>
      </c>
      <c r="I14" s="456">
        <v>3.0490066554781105E-3</v>
      </c>
      <c r="J14" s="457" t="s">
        <v>746</v>
      </c>
      <c r="K14" s="458">
        <v>19</v>
      </c>
      <c r="L14" s="441"/>
      <c r="M14" s="441"/>
    </row>
    <row r="15" spans="1:13" ht="15.75" customHeight="1" x14ac:dyDescent="0.3">
      <c r="A15" s="441"/>
      <c r="B15" s="459" t="s">
        <v>951</v>
      </c>
      <c r="C15" s="460" t="s">
        <v>950</v>
      </c>
      <c r="D15" s="458" t="s">
        <v>949</v>
      </c>
      <c r="E15" s="452">
        <v>174</v>
      </c>
      <c r="F15" s="453" t="s">
        <v>948</v>
      </c>
      <c r="G15" s="454">
        <v>9988920</v>
      </c>
      <c r="H15" s="455">
        <v>11287479.6</v>
      </c>
      <c r="I15" s="456">
        <v>0.23719847010154521</v>
      </c>
      <c r="J15" s="457" t="s">
        <v>746</v>
      </c>
      <c r="K15" s="458">
        <v>19</v>
      </c>
      <c r="L15" s="441"/>
      <c r="M15" s="441"/>
    </row>
    <row r="16" spans="1:13" ht="15.75" customHeight="1" x14ac:dyDescent="0.3">
      <c r="A16" s="441" t="str">
        <f>B15</f>
        <v>C111DHBTK</v>
      </c>
      <c r="B16" s="461" t="s">
        <v>947</v>
      </c>
      <c r="C16" s="462"/>
      <c r="D16" s="461"/>
      <c r="E16" s="463"/>
      <c r="F16" s="453"/>
      <c r="G16" s="464">
        <v>10117320</v>
      </c>
      <c r="H16" s="464">
        <v>11432571.6</v>
      </c>
      <c r="I16" s="465">
        <v>0.24024747675702332</v>
      </c>
      <c r="J16" s="457"/>
      <c r="K16" s="458"/>
      <c r="L16" s="441" t="s">
        <v>3646</v>
      </c>
      <c r="M16" s="441" t="str">
        <f>B15</f>
        <v>C111DHBTK</v>
      </c>
    </row>
    <row r="17" spans="1:13" x14ac:dyDescent="0.3">
      <c r="A17" s="441"/>
      <c r="B17" s="459" t="s">
        <v>946</v>
      </c>
      <c r="C17" s="460" t="s">
        <v>945</v>
      </c>
      <c r="D17" s="458" t="s">
        <v>944</v>
      </c>
      <c r="E17" s="452">
        <v>174</v>
      </c>
      <c r="F17" s="453" t="s">
        <v>943</v>
      </c>
      <c r="G17" s="454">
        <v>0</v>
      </c>
      <c r="H17" s="455">
        <v>0</v>
      </c>
      <c r="I17" s="456">
        <v>0</v>
      </c>
      <c r="J17" s="457" t="s">
        <v>746</v>
      </c>
      <c r="K17" s="458">
        <v>19</v>
      </c>
      <c r="L17" s="441"/>
      <c r="M17" s="441"/>
    </row>
    <row r="18" spans="1:13" x14ac:dyDescent="0.3">
      <c r="A18" s="441"/>
      <c r="B18" s="461" t="s">
        <v>942</v>
      </c>
      <c r="C18" s="462"/>
      <c r="D18" s="461"/>
      <c r="E18" s="463"/>
      <c r="F18" s="453"/>
      <c r="G18" s="464">
        <v>0</v>
      </c>
      <c r="H18" s="464">
        <v>0</v>
      </c>
      <c r="I18" s="465">
        <v>0</v>
      </c>
      <c r="J18" s="457"/>
      <c r="K18" s="458"/>
      <c r="L18" s="441" t="s">
        <v>793</v>
      </c>
      <c r="M18" s="441"/>
    </row>
    <row r="19" spans="1:13" x14ac:dyDescent="0.3">
      <c r="A19" s="441"/>
      <c r="B19" s="459" t="s">
        <v>941</v>
      </c>
      <c r="C19" s="460" t="s">
        <v>940</v>
      </c>
      <c r="D19" s="458" t="s">
        <v>939</v>
      </c>
      <c r="E19" s="452">
        <v>174</v>
      </c>
      <c r="F19" s="453" t="s">
        <v>938</v>
      </c>
      <c r="G19" s="454">
        <v>1569600</v>
      </c>
      <c r="H19" s="455">
        <v>1773647.9999999998</v>
      </c>
      <c r="I19" s="456">
        <v>3.7271969209022135E-2</v>
      </c>
      <c r="J19" s="457" t="s">
        <v>746</v>
      </c>
      <c r="K19" s="458">
        <v>19</v>
      </c>
      <c r="L19" s="441"/>
      <c r="M19" s="441"/>
    </row>
    <row r="20" spans="1:13" x14ac:dyDescent="0.3">
      <c r="A20" s="441" t="str">
        <f>B19</f>
        <v>D111KKTTK</v>
      </c>
      <c r="B20" s="461" t="s">
        <v>937</v>
      </c>
      <c r="C20" s="462"/>
      <c r="D20" s="461"/>
      <c r="E20" s="463"/>
      <c r="F20" s="453"/>
      <c r="G20" s="464">
        <v>1569600</v>
      </c>
      <c r="H20" s="464">
        <v>1773647.9999999998</v>
      </c>
      <c r="I20" s="465">
        <v>3.7271969209022135E-2</v>
      </c>
      <c r="J20" s="457"/>
      <c r="K20" s="458"/>
      <c r="L20" s="441" t="s">
        <v>3647</v>
      </c>
      <c r="M20" s="441" t="str">
        <f>B19</f>
        <v>D111KKTTK</v>
      </c>
    </row>
    <row r="21" spans="1:13" ht="15.75" customHeight="1" x14ac:dyDescent="0.3">
      <c r="A21" s="441"/>
      <c r="B21" s="459" t="s">
        <v>936</v>
      </c>
      <c r="C21" s="460" t="s">
        <v>935</v>
      </c>
      <c r="D21" s="458" t="s">
        <v>934</v>
      </c>
      <c r="E21" s="452">
        <v>174</v>
      </c>
      <c r="F21" s="453" t="s">
        <v>933</v>
      </c>
      <c r="G21" s="454">
        <v>597600</v>
      </c>
      <c r="H21" s="455">
        <v>675288</v>
      </c>
      <c r="I21" s="456">
        <v>1.4190703873159804E-2</v>
      </c>
      <c r="J21" s="457" t="s">
        <v>746</v>
      </c>
      <c r="K21" s="458">
        <v>19</v>
      </c>
      <c r="L21" s="441"/>
      <c r="M21" s="441"/>
    </row>
    <row r="22" spans="1:13" ht="15.75" customHeight="1" x14ac:dyDescent="0.3">
      <c r="A22" s="441" t="str">
        <f>B21</f>
        <v>E111KKINF</v>
      </c>
      <c r="B22" s="461" t="s">
        <v>932</v>
      </c>
      <c r="C22" s="462"/>
      <c r="D22" s="461"/>
      <c r="E22" s="463"/>
      <c r="F22" s="453"/>
      <c r="G22" s="464">
        <v>597600</v>
      </c>
      <c r="H22" s="464">
        <v>675288</v>
      </c>
      <c r="I22" s="465">
        <v>1.4190703873159804E-2</v>
      </c>
      <c r="J22" s="457"/>
      <c r="K22" s="458"/>
      <c r="L22" s="441" t="s">
        <v>3648</v>
      </c>
      <c r="M22" s="441" t="str">
        <f>B21</f>
        <v>E111KKINF</v>
      </c>
    </row>
    <row r="23" spans="1:13" x14ac:dyDescent="0.3">
      <c r="A23" s="441"/>
      <c r="B23" s="459" t="s">
        <v>931</v>
      </c>
      <c r="C23" s="460" t="s">
        <v>930</v>
      </c>
      <c r="D23" s="458" t="s">
        <v>929</v>
      </c>
      <c r="E23" s="452">
        <v>174</v>
      </c>
      <c r="F23" s="453" t="s">
        <v>928</v>
      </c>
      <c r="G23" s="454">
        <v>1536000</v>
      </c>
      <c r="H23" s="455">
        <v>1735679.9999999998</v>
      </c>
      <c r="I23" s="456">
        <v>3.647409830852319E-2</v>
      </c>
      <c r="J23" s="457" t="s">
        <v>746</v>
      </c>
      <c r="K23" s="458">
        <v>19</v>
      </c>
      <c r="L23" s="441"/>
      <c r="M23" s="441"/>
    </row>
    <row r="24" spans="1:13" x14ac:dyDescent="0.3">
      <c r="A24" s="441" t="str">
        <f>B23</f>
        <v>F111KKTAT</v>
      </c>
      <c r="B24" s="461" t="s">
        <v>927</v>
      </c>
      <c r="C24" s="462"/>
      <c r="D24" s="461"/>
      <c r="E24" s="463"/>
      <c r="F24" s="453"/>
      <c r="G24" s="464">
        <v>1536000</v>
      </c>
      <c r="H24" s="464">
        <v>1735679.9999999998</v>
      </c>
      <c r="I24" s="465">
        <v>3.647409830852319E-2</v>
      </c>
      <c r="J24" s="457"/>
      <c r="K24" s="458"/>
      <c r="L24" s="441" t="s">
        <v>3649</v>
      </c>
      <c r="M24" s="441" t="str">
        <f>B23</f>
        <v>F111KKTAT</v>
      </c>
    </row>
    <row r="25" spans="1:13" x14ac:dyDescent="0.3">
      <c r="A25" s="441"/>
      <c r="B25" s="459" t="s">
        <v>925</v>
      </c>
      <c r="C25" s="460" t="s">
        <v>924</v>
      </c>
      <c r="D25" s="458" t="s">
        <v>923</v>
      </c>
      <c r="E25" s="452">
        <v>130.5</v>
      </c>
      <c r="F25" s="453" t="s">
        <v>926</v>
      </c>
      <c r="G25" s="454">
        <v>126000</v>
      </c>
      <c r="H25" s="455">
        <v>142380</v>
      </c>
      <c r="I25" s="456">
        <v>2.992015876871043E-3</v>
      </c>
      <c r="J25" s="457" t="s">
        <v>746</v>
      </c>
      <c r="K25" s="458">
        <v>19</v>
      </c>
      <c r="L25" s="441"/>
      <c r="M25" s="441"/>
    </row>
    <row r="26" spans="1:13" x14ac:dyDescent="0.3">
      <c r="A26" s="441"/>
      <c r="B26" s="459" t="s">
        <v>925</v>
      </c>
      <c r="C26" s="460" t="s">
        <v>924</v>
      </c>
      <c r="D26" s="458" t="s">
        <v>923</v>
      </c>
      <c r="E26" s="452">
        <v>174</v>
      </c>
      <c r="F26" s="453" t="s">
        <v>922</v>
      </c>
      <c r="G26" s="454">
        <v>1387200</v>
      </c>
      <c r="H26" s="455">
        <v>1567536</v>
      </c>
      <c r="I26" s="456">
        <v>3.2940670034885003E-2</v>
      </c>
      <c r="J26" s="457" t="s">
        <v>746</v>
      </c>
      <c r="K26" s="458">
        <v>19</v>
      </c>
      <c r="L26" s="441"/>
      <c r="M26" s="441"/>
    </row>
    <row r="27" spans="1:13" x14ac:dyDescent="0.3">
      <c r="A27" s="466" t="str">
        <f>B26</f>
        <v>G111KKBAR</v>
      </c>
      <c r="B27" s="461" t="s">
        <v>921</v>
      </c>
      <c r="C27" s="462"/>
      <c r="D27" s="461"/>
      <c r="E27" s="463"/>
      <c r="F27" s="453"/>
      <c r="G27" s="464">
        <v>1513200</v>
      </c>
      <c r="H27" s="464">
        <v>1709916</v>
      </c>
      <c r="I27" s="465">
        <v>3.5932685911756052E-2</v>
      </c>
      <c r="J27" s="457"/>
      <c r="K27" s="458"/>
      <c r="L27" s="441" t="s">
        <v>3650</v>
      </c>
      <c r="M27" s="441" t="str">
        <f>B26</f>
        <v>G111KKBAR</v>
      </c>
    </row>
    <row r="28" spans="1:13" x14ac:dyDescent="0.25">
      <c r="B28" s="450" t="s">
        <v>920</v>
      </c>
      <c r="C28" s="451" t="s">
        <v>919</v>
      </c>
      <c r="D28" s="66" t="s">
        <v>918</v>
      </c>
      <c r="E28" s="467">
        <v>130.5</v>
      </c>
      <c r="F28" s="453" t="s">
        <v>3651</v>
      </c>
      <c r="G28" s="454">
        <v>354600</v>
      </c>
      <c r="H28" s="455">
        <v>400697.99999999994</v>
      </c>
      <c r="I28" s="456">
        <v>8.4203875391942202E-3</v>
      </c>
      <c r="J28" s="468" t="s">
        <v>746</v>
      </c>
      <c r="K28" s="469">
        <v>19</v>
      </c>
      <c r="L28" s="466"/>
      <c r="M28" s="466"/>
    </row>
    <row r="29" spans="1:13" x14ac:dyDescent="0.3">
      <c r="A29" s="441"/>
      <c r="B29" s="459" t="s">
        <v>920</v>
      </c>
      <c r="C29" s="460" t="s">
        <v>919</v>
      </c>
      <c r="D29" s="458" t="s">
        <v>918</v>
      </c>
      <c r="E29" s="452">
        <v>174</v>
      </c>
      <c r="F29" s="453" t="s">
        <v>917</v>
      </c>
      <c r="G29" s="454">
        <v>1068000</v>
      </c>
      <c r="H29" s="455">
        <v>1206840</v>
      </c>
      <c r="I29" s="456">
        <v>2.5360896480145029E-2</v>
      </c>
      <c r="J29" s="457" t="s">
        <v>746</v>
      </c>
      <c r="K29" s="458">
        <v>19</v>
      </c>
      <c r="L29" s="441"/>
      <c r="M29" s="441"/>
    </row>
    <row r="30" spans="1:13" ht="15.75" customHeight="1" x14ac:dyDescent="0.3">
      <c r="A30" s="441" t="str">
        <f>B29</f>
        <v>H111KKTOK</v>
      </c>
      <c r="B30" s="461" t="s">
        <v>916</v>
      </c>
      <c r="C30" s="462"/>
      <c r="D30" s="461"/>
      <c r="E30" s="463"/>
      <c r="F30" s="453"/>
      <c r="G30" s="464">
        <v>1422600</v>
      </c>
      <c r="H30" s="464">
        <v>1607538</v>
      </c>
      <c r="I30" s="465">
        <v>3.3781284019339254E-2</v>
      </c>
      <c r="J30" s="457"/>
      <c r="K30" s="458"/>
      <c r="L30" s="441" t="s">
        <v>3652</v>
      </c>
      <c r="M30" s="441" t="str">
        <f>B29</f>
        <v>H111KKTOK</v>
      </c>
    </row>
    <row r="31" spans="1:13" ht="15.75" customHeight="1" x14ac:dyDescent="0.3">
      <c r="A31" s="441"/>
      <c r="B31" s="459" t="s">
        <v>915</v>
      </c>
      <c r="C31" s="460" t="s">
        <v>914</v>
      </c>
      <c r="D31" s="458" t="s">
        <v>3653</v>
      </c>
      <c r="E31" s="452">
        <v>174</v>
      </c>
      <c r="F31" s="453" t="s">
        <v>913</v>
      </c>
      <c r="G31" s="454">
        <v>0</v>
      </c>
      <c r="H31" s="455">
        <v>0</v>
      </c>
      <c r="I31" s="456">
        <v>0</v>
      </c>
      <c r="J31" s="457" t="s">
        <v>746</v>
      </c>
      <c r="K31" s="458">
        <v>19</v>
      </c>
      <c r="L31" s="441"/>
      <c r="M31" s="441"/>
    </row>
    <row r="32" spans="1:13" x14ac:dyDescent="0.3">
      <c r="A32" s="441" t="str">
        <f>B31</f>
        <v>I11101/17</v>
      </c>
      <c r="B32" s="461" t="s">
        <v>912</v>
      </c>
      <c r="C32" s="462"/>
      <c r="D32" s="461"/>
      <c r="E32" s="463"/>
      <c r="F32" s="453"/>
      <c r="G32" s="470">
        <v>0</v>
      </c>
      <c r="H32" s="464">
        <v>0</v>
      </c>
      <c r="I32" s="465">
        <v>0</v>
      </c>
      <c r="J32" s="457"/>
      <c r="K32" s="458"/>
      <c r="L32" s="441" t="s">
        <v>3654</v>
      </c>
      <c r="M32" s="441" t="str">
        <f>B31</f>
        <v>I11101/17</v>
      </c>
    </row>
    <row r="33" spans="1:13" x14ac:dyDescent="0.3">
      <c r="A33" s="441"/>
      <c r="B33" s="71" t="s">
        <v>910</v>
      </c>
      <c r="C33" s="460" t="s">
        <v>909</v>
      </c>
      <c r="D33" s="471" t="s">
        <v>908</v>
      </c>
      <c r="E33" s="472">
        <v>130.5</v>
      </c>
      <c r="F33" s="453" t="s">
        <v>911</v>
      </c>
      <c r="G33" s="454">
        <v>0</v>
      </c>
      <c r="H33" s="455">
        <v>0</v>
      </c>
      <c r="I33" s="456">
        <v>0</v>
      </c>
      <c r="J33" s="457"/>
      <c r="K33" s="458"/>
      <c r="L33" s="441"/>
      <c r="M33" s="441"/>
    </row>
    <row r="34" spans="1:13" x14ac:dyDescent="0.3">
      <c r="A34" s="441"/>
      <c r="B34" s="459" t="s">
        <v>910</v>
      </c>
      <c r="C34" s="460" t="s">
        <v>909</v>
      </c>
      <c r="D34" s="458" t="s">
        <v>908</v>
      </c>
      <c r="E34" s="452">
        <v>174</v>
      </c>
      <c r="F34" s="453" t="s">
        <v>907</v>
      </c>
      <c r="G34" s="454">
        <v>0</v>
      </c>
      <c r="H34" s="455">
        <v>0</v>
      </c>
      <c r="I34" s="456">
        <v>0</v>
      </c>
      <c r="J34" s="457" t="s">
        <v>859</v>
      </c>
      <c r="K34" s="458">
        <v>0</v>
      </c>
      <c r="L34" s="441"/>
      <c r="M34" s="441"/>
    </row>
    <row r="35" spans="1:13" x14ac:dyDescent="0.3">
      <c r="A35" s="441"/>
      <c r="B35" s="461" t="s">
        <v>906</v>
      </c>
      <c r="C35" s="462"/>
      <c r="D35" s="461"/>
      <c r="E35" s="463"/>
      <c r="F35" s="453"/>
      <c r="G35" s="470">
        <v>0</v>
      </c>
      <c r="H35" s="464">
        <v>0</v>
      </c>
      <c r="I35" s="465">
        <v>0</v>
      </c>
      <c r="J35" s="457"/>
      <c r="K35" s="458"/>
      <c r="L35" s="441" t="s">
        <v>793</v>
      </c>
      <c r="M35" s="441"/>
    </row>
    <row r="36" spans="1:13" x14ac:dyDescent="0.3">
      <c r="A36" s="441"/>
      <c r="B36" s="459" t="s">
        <v>905</v>
      </c>
      <c r="C36" s="460" t="s">
        <v>904</v>
      </c>
      <c r="D36" s="458" t="s">
        <v>903</v>
      </c>
      <c r="E36" s="452">
        <v>174</v>
      </c>
      <c r="F36" s="453" t="s">
        <v>902</v>
      </c>
      <c r="G36" s="454">
        <v>300000</v>
      </c>
      <c r="H36" s="455">
        <v>338999.99999999994</v>
      </c>
      <c r="I36" s="456">
        <v>7.1238473258834357E-3</v>
      </c>
      <c r="J36" s="457" t="s">
        <v>859</v>
      </c>
      <c r="K36" s="458">
        <v>0</v>
      </c>
      <c r="L36" s="441"/>
      <c r="M36" s="441"/>
    </row>
    <row r="37" spans="1:13" x14ac:dyDescent="0.3">
      <c r="A37" s="441"/>
      <c r="B37" s="461" t="s">
        <v>901</v>
      </c>
      <c r="C37" s="462"/>
      <c r="D37" s="461"/>
      <c r="E37" s="463"/>
      <c r="F37" s="453"/>
      <c r="G37" s="464">
        <v>300000</v>
      </c>
      <c r="H37" s="464">
        <v>338999.99999999994</v>
      </c>
      <c r="I37" s="465">
        <v>7.1238473258834357E-3</v>
      </c>
      <c r="J37" s="457"/>
      <c r="K37" s="458"/>
      <c r="L37" s="441" t="s">
        <v>793</v>
      </c>
      <c r="M37" s="441"/>
    </row>
    <row r="38" spans="1:13" x14ac:dyDescent="0.25">
      <c r="A38" s="441"/>
      <c r="B38" s="450" t="s">
        <v>1148</v>
      </c>
      <c r="C38" s="473" t="s">
        <v>3250</v>
      </c>
      <c r="D38" s="66" t="s">
        <v>1147</v>
      </c>
      <c r="E38" s="472">
        <v>87</v>
      </c>
      <c r="F38" s="453" t="s">
        <v>3655</v>
      </c>
      <c r="G38" s="454">
        <v>134400</v>
      </c>
      <c r="H38" s="455">
        <v>151872</v>
      </c>
      <c r="I38" s="456">
        <v>3.1914836019957789E-3</v>
      </c>
      <c r="J38" s="457" t="s">
        <v>859</v>
      </c>
      <c r="K38" s="458">
        <v>0</v>
      </c>
      <c r="L38" s="441"/>
      <c r="M38" s="441"/>
    </row>
    <row r="39" spans="1:13" x14ac:dyDescent="0.3">
      <c r="A39" s="441"/>
      <c r="B39" s="461"/>
      <c r="C39" s="462"/>
      <c r="D39" s="461"/>
      <c r="E39" s="463"/>
      <c r="F39" s="453" t="s">
        <v>154</v>
      </c>
      <c r="G39" s="464">
        <v>134400</v>
      </c>
      <c r="H39" s="464">
        <v>151872</v>
      </c>
      <c r="I39" s="465">
        <v>3.1914836019957789E-3</v>
      </c>
      <c r="J39" s="457"/>
      <c r="K39" s="458"/>
      <c r="L39" s="441"/>
      <c r="M39" s="441"/>
    </row>
    <row r="40" spans="1:13" x14ac:dyDescent="0.3">
      <c r="A40" s="441"/>
      <c r="B40" s="459" t="s">
        <v>900</v>
      </c>
      <c r="C40" s="460" t="s">
        <v>899</v>
      </c>
      <c r="D40" s="458" t="s">
        <v>898</v>
      </c>
      <c r="E40" s="452">
        <v>174</v>
      </c>
      <c r="F40" s="453" t="s">
        <v>897</v>
      </c>
      <c r="G40" s="454">
        <v>614400</v>
      </c>
      <c r="H40" s="455">
        <v>694272</v>
      </c>
      <c r="I40" s="456">
        <v>1.4589639323409277E-2</v>
      </c>
      <c r="J40" s="457" t="s">
        <v>859</v>
      </c>
      <c r="K40" s="458">
        <v>0</v>
      </c>
      <c r="L40" s="441"/>
      <c r="M40" s="441"/>
    </row>
    <row r="41" spans="1:13" x14ac:dyDescent="0.3">
      <c r="A41" s="441"/>
      <c r="B41" s="461" t="s">
        <v>896</v>
      </c>
      <c r="C41" s="462"/>
      <c r="D41" s="461"/>
      <c r="E41" s="463"/>
      <c r="F41" s="453"/>
      <c r="G41" s="464">
        <v>614400</v>
      </c>
      <c r="H41" s="464">
        <v>694272</v>
      </c>
      <c r="I41" s="465">
        <v>1.4589639323409277E-2</v>
      </c>
      <c r="J41" s="457"/>
      <c r="K41" s="458"/>
      <c r="L41" s="441" t="s">
        <v>793</v>
      </c>
      <c r="M41" s="441"/>
    </row>
    <row r="42" spans="1:13" x14ac:dyDescent="0.25">
      <c r="A42" s="441"/>
      <c r="B42" s="450" t="s">
        <v>892</v>
      </c>
      <c r="C42" s="473" t="s">
        <v>891</v>
      </c>
      <c r="D42" s="69" t="s">
        <v>890</v>
      </c>
      <c r="E42" s="452">
        <v>87</v>
      </c>
      <c r="F42" s="453" t="s">
        <v>895</v>
      </c>
      <c r="G42" s="454">
        <v>465600</v>
      </c>
      <c r="H42" s="455">
        <v>526128</v>
      </c>
      <c r="I42" s="456">
        <v>1.1056211049771092E-2</v>
      </c>
      <c r="J42" s="457" t="s">
        <v>859</v>
      </c>
      <c r="K42" s="458">
        <v>0</v>
      </c>
      <c r="L42" s="441"/>
      <c r="M42" s="441"/>
    </row>
    <row r="43" spans="1:13" x14ac:dyDescent="0.3">
      <c r="A43" s="441"/>
      <c r="B43" s="459" t="s">
        <v>892</v>
      </c>
      <c r="C43" s="460" t="s">
        <v>891</v>
      </c>
      <c r="D43" s="458" t="s">
        <v>890</v>
      </c>
      <c r="E43" s="452">
        <v>130.5</v>
      </c>
      <c r="F43" s="453" t="s">
        <v>894</v>
      </c>
      <c r="G43" s="454">
        <v>718200</v>
      </c>
      <c r="H43" s="455">
        <v>811565.99999999988</v>
      </c>
      <c r="I43" s="456">
        <v>1.7054490498164945E-2</v>
      </c>
      <c r="J43" s="457" t="s">
        <v>859</v>
      </c>
      <c r="K43" s="458">
        <v>0</v>
      </c>
      <c r="L43" s="441"/>
      <c r="M43" s="441"/>
    </row>
    <row r="44" spans="1:13" x14ac:dyDescent="0.3">
      <c r="A44" s="441"/>
      <c r="B44" s="459" t="s">
        <v>892</v>
      </c>
      <c r="C44" s="460" t="s">
        <v>891</v>
      </c>
      <c r="D44" s="458" t="s">
        <v>890</v>
      </c>
      <c r="E44" s="452">
        <v>156.6</v>
      </c>
      <c r="F44" s="453" t="s">
        <v>893</v>
      </c>
      <c r="G44" s="454">
        <v>185760</v>
      </c>
      <c r="H44" s="455">
        <v>209908.8</v>
      </c>
      <c r="I44" s="456">
        <v>4.4110862641870236E-3</v>
      </c>
      <c r="J44" s="457" t="s">
        <v>859</v>
      </c>
      <c r="K44" s="458">
        <v>0</v>
      </c>
      <c r="L44" s="441"/>
      <c r="M44" s="441"/>
    </row>
    <row r="45" spans="1:13" x14ac:dyDescent="0.3">
      <c r="A45" s="441"/>
      <c r="B45" s="459" t="s">
        <v>892</v>
      </c>
      <c r="C45" s="460" t="s">
        <v>891</v>
      </c>
      <c r="D45" s="458" t="s">
        <v>890</v>
      </c>
      <c r="E45" s="452">
        <v>174</v>
      </c>
      <c r="F45" s="453" t="s">
        <v>889</v>
      </c>
      <c r="G45" s="454">
        <v>11291000</v>
      </c>
      <c r="H45" s="455">
        <v>12758830</v>
      </c>
      <c r="I45" s="456">
        <v>0.26811786718849956</v>
      </c>
      <c r="J45" s="457" t="s">
        <v>859</v>
      </c>
      <c r="K45" s="458">
        <v>0</v>
      </c>
      <c r="L45" s="441"/>
      <c r="M45" s="441"/>
    </row>
    <row r="46" spans="1:13" x14ac:dyDescent="0.3">
      <c r="A46" s="441"/>
      <c r="B46" s="461" t="s">
        <v>888</v>
      </c>
      <c r="C46" s="462"/>
      <c r="D46" s="461"/>
      <c r="E46" s="463"/>
      <c r="F46" s="453"/>
      <c r="G46" s="464">
        <v>12660560</v>
      </c>
      <c r="H46" s="464">
        <v>14306432.800000001</v>
      </c>
      <c r="I46" s="465">
        <v>0.30063965500062262</v>
      </c>
      <c r="J46" s="457"/>
      <c r="K46" s="458"/>
      <c r="L46" s="441" t="s">
        <v>793</v>
      </c>
      <c r="M46" s="441"/>
    </row>
    <row r="47" spans="1:13" x14ac:dyDescent="0.3">
      <c r="A47" s="441"/>
      <c r="B47" s="459" t="s">
        <v>887</v>
      </c>
      <c r="C47" s="460" t="s">
        <v>886</v>
      </c>
      <c r="D47" s="458" t="s">
        <v>885</v>
      </c>
      <c r="E47" s="452">
        <v>174</v>
      </c>
      <c r="F47" s="453" t="s">
        <v>884</v>
      </c>
      <c r="G47" s="454">
        <v>1255200</v>
      </c>
      <c r="H47" s="455">
        <v>1418376</v>
      </c>
      <c r="I47" s="456">
        <v>2.9806177211496292E-2</v>
      </c>
      <c r="J47" s="457" t="s">
        <v>859</v>
      </c>
      <c r="K47" s="458">
        <v>0</v>
      </c>
      <c r="L47" s="441"/>
      <c r="M47" s="441"/>
    </row>
    <row r="48" spans="1:13" x14ac:dyDescent="0.3">
      <c r="A48" s="441"/>
      <c r="B48" s="461" t="s">
        <v>883</v>
      </c>
      <c r="C48" s="462"/>
      <c r="D48" s="461"/>
      <c r="E48" s="463"/>
      <c r="F48" s="453"/>
      <c r="G48" s="464">
        <v>1255200</v>
      </c>
      <c r="H48" s="464">
        <v>1418376</v>
      </c>
      <c r="I48" s="465">
        <v>2.9806177211496292E-2</v>
      </c>
      <c r="J48" s="457"/>
      <c r="K48" s="458"/>
      <c r="L48" s="441" t="s">
        <v>793</v>
      </c>
      <c r="M48" s="441"/>
    </row>
    <row r="49" spans="1:13" x14ac:dyDescent="0.3">
      <c r="A49" s="441"/>
      <c r="B49" s="459" t="s">
        <v>882</v>
      </c>
      <c r="C49" s="460" t="s">
        <v>881</v>
      </c>
      <c r="D49" s="458" t="s">
        <v>880</v>
      </c>
      <c r="E49" s="452">
        <v>174</v>
      </c>
      <c r="F49" s="453" t="s">
        <v>879</v>
      </c>
      <c r="G49" s="454">
        <v>837600</v>
      </c>
      <c r="H49" s="455">
        <v>946488</v>
      </c>
      <c r="I49" s="474">
        <v>1.9889781733866553E-2</v>
      </c>
      <c r="J49" s="457" t="s">
        <v>746</v>
      </c>
      <c r="K49" s="457">
        <v>19</v>
      </c>
      <c r="L49" s="441"/>
      <c r="M49" s="441"/>
    </row>
    <row r="50" spans="1:13" x14ac:dyDescent="0.3">
      <c r="A50" s="441"/>
      <c r="B50" s="461" t="s">
        <v>878</v>
      </c>
      <c r="C50" s="462"/>
      <c r="D50" s="461"/>
      <c r="E50" s="463"/>
      <c r="F50" s="453"/>
      <c r="G50" s="464">
        <v>837600</v>
      </c>
      <c r="H50" s="464">
        <v>946488</v>
      </c>
      <c r="I50" s="465">
        <v>1.9889781733866553E-2</v>
      </c>
      <c r="J50" s="457"/>
      <c r="K50" s="457"/>
      <c r="L50" s="441" t="s">
        <v>793</v>
      </c>
      <c r="M50" s="441"/>
    </row>
    <row r="51" spans="1:13" x14ac:dyDescent="0.3">
      <c r="A51" s="441"/>
      <c r="B51" s="459" t="s">
        <v>877</v>
      </c>
      <c r="C51" s="460" t="s">
        <v>873</v>
      </c>
      <c r="D51" s="458" t="s">
        <v>872</v>
      </c>
      <c r="E51" s="452">
        <v>174</v>
      </c>
      <c r="F51" s="453" t="s">
        <v>876</v>
      </c>
      <c r="G51" s="454">
        <v>2136000</v>
      </c>
      <c r="H51" s="455">
        <v>2413680</v>
      </c>
      <c r="I51" s="474">
        <v>5.0721792960290057E-2</v>
      </c>
      <c r="J51" s="457" t="s">
        <v>859</v>
      </c>
      <c r="K51" s="457">
        <v>0</v>
      </c>
      <c r="L51" s="441"/>
      <c r="M51" s="441"/>
    </row>
    <row r="52" spans="1:13" x14ac:dyDescent="0.3">
      <c r="A52" s="441"/>
      <c r="B52" s="461" t="s">
        <v>875</v>
      </c>
      <c r="C52" s="462"/>
      <c r="D52" s="461"/>
      <c r="E52" s="463"/>
      <c r="F52" s="453"/>
      <c r="G52" s="464">
        <v>2136000</v>
      </c>
      <c r="H52" s="464">
        <v>2413680</v>
      </c>
      <c r="I52" s="465">
        <v>5.0721792960290057E-2</v>
      </c>
      <c r="J52" s="457"/>
      <c r="K52" s="457"/>
      <c r="L52" s="441" t="s">
        <v>793</v>
      </c>
      <c r="M52" s="441"/>
    </row>
    <row r="53" spans="1:13" x14ac:dyDescent="0.3">
      <c r="A53" s="441"/>
      <c r="B53" s="459" t="s">
        <v>874</v>
      </c>
      <c r="C53" s="460" t="s">
        <v>873</v>
      </c>
      <c r="D53" s="458" t="s">
        <v>872</v>
      </c>
      <c r="E53" s="452">
        <v>174</v>
      </c>
      <c r="F53" s="453" t="s">
        <v>871</v>
      </c>
      <c r="G53" s="454">
        <v>312000</v>
      </c>
      <c r="H53" s="455">
        <v>352559.99999999994</v>
      </c>
      <c r="I53" s="474">
        <v>7.4088012189187724E-3</v>
      </c>
      <c r="J53" s="457" t="s">
        <v>859</v>
      </c>
      <c r="K53" s="457">
        <v>0</v>
      </c>
      <c r="L53" s="441"/>
      <c r="M53" s="441"/>
    </row>
    <row r="54" spans="1:13" x14ac:dyDescent="0.3">
      <c r="A54" s="441"/>
      <c r="B54" s="461" t="s">
        <v>870</v>
      </c>
      <c r="C54" s="462"/>
      <c r="D54" s="461"/>
      <c r="E54" s="463"/>
      <c r="F54" s="453"/>
      <c r="G54" s="464">
        <v>312000</v>
      </c>
      <c r="H54" s="464">
        <v>352559.99999999994</v>
      </c>
      <c r="I54" s="465">
        <v>7.4088012189187724E-3</v>
      </c>
      <c r="J54" s="457"/>
      <c r="K54" s="457"/>
      <c r="L54" s="441" t="s">
        <v>793</v>
      </c>
      <c r="M54" s="441"/>
    </row>
    <row r="55" spans="1:13" x14ac:dyDescent="0.3">
      <c r="A55" s="441"/>
      <c r="B55" s="459" t="s">
        <v>869</v>
      </c>
      <c r="C55" s="460" t="s">
        <v>868</v>
      </c>
      <c r="D55" s="458" t="s">
        <v>867</v>
      </c>
      <c r="E55" s="452">
        <v>174</v>
      </c>
      <c r="F55" s="453" t="s">
        <v>866</v>
      </c>
      <c r="G55" s="454">
        <v>710400</v>
      </c>
      <c r="H55" s="455">
        <v>802752</v>
      </c>
      <c r="I55" s="474">
        <v>1.6869270467691974E-2</v>
      </c>
      <c r="J55" s="457" t="s">
        <v>746</v>
      </c>
      <c r="K55" s="457">
        <v>19</v>
      </c>
      <c r="L55" s="441"/>
      <c r="M55" s="441"/>
    </row>
    <row r="56" spans="1:13" x14ac:dyDescent="0.3">
      <c r="A56" s="441"/>
      <c r="B56" s="461" t="s">
        <v>865</v>
      </c>
      <c r="C56" s="462"/>
      <c r="D56" s="461"/>
      <c r="E56" s="463"/>
      <c r="F56" s="453"/>
      <c r="G56" s="464">
        <v>710400</v>
      </c>
      <c r="H56" s="464">
        <v>802752</v>
      </c>
      <c r="I56" s="465">
        <v>1.6869270467691974E-2</v>
      </c>
      <c r="J56" s="457"/>
      <c r="K56" s="457"/>
      <c r="L56" s="441" t="s">
        <v>793</v>
      </c>
      <c r="M56" s="441"/>
    </row>
    <row r="57" spans="1:13" x14ac:dyDescent="0.3">
      <c r="A57" s="441"/>
      <c r="B57" s="475" t="s">
        <v>864</v>
      </c>
      <c r="C57" s="460" t="s">
        <v>863</v>
      </c>
      <c r="D57" s="471" t="s">
        <v>817</v>
      </c>
      <c r="E57" s="472">
        <v>174</v>
      </c>
      <c r="F57" s="453" t="s">
        <v>862</v>
      </c>
      <c r="G57" s="454">
        <v>1156800</v>
      </c>
      <c r="H57" s="455">
        <v>1307183.9999999998</v>
      </c>
      <c r="I57" s="474">
        <v>2.7469555288606527E-2</v>
      </c>
      <c r="J57" s="457" t="s">
        <v>859</v>
      </c>
      <c r="K57" s="457">
        <v>0</v>
      </c>
      <c r="L57" s="441"/>
      <c r="M57" s="441"/>
    </row>
    <row r="58" spans="1:13" x14ac:dyDescent="0.3">
      <c r="A58" s="441"/>
      <c r="B58" s="461" t="s">
        <v>861</v>
      </c>
      <c r="C58" s="462"/>
      <c r="D58" s="461"/>
      <c r="E58" s="463"/>
      <c r="F58" s="453"/>
      <c r="G58" s="464">
        <v>1156800</v>
      </c>
      <c r="H58" s="464">
        <v>1307183.9999999998</v>
      </c>
      <c r="I58" s="465">
        <v>2.7469555288606527E-2</v>
      </c>
      <c r="J58" s="457"/>
      <c r="K58" s="457"/>
      <c r="L58" s="441" t="s">
        <v>793</v>
      </c>
      <c r="M58" s="441"/>
    </row>
    <row r="59" spans="1:13" s="68" customFormat="1" ht="13.2" x14ac:dyDescent="0.3">
      <c r="A59" s="441"/>
      <c r="B59" s="476" t="s">
        <v>765</v>
      </c>
      <c r="C59" s="477"/>
      <c r="D59" s="476"/>
      <c r="E59" s="478"/>
      <c r="F59" s="453"/>
      <c r="G59" s="479">
        <v>42112076</v>
      </c>
      <c r="H59" s="479">
        <v>47586645.879999995</v>
      </c>
      <c r="I59" s="479">
        <v>0.99999999999999989</v>
      </c>
      <c r="J59" s="457"/>
      <c r="K59" s="458"/>
      <c r="L59" s="441" t="s">
        <v>793</v>
      </c>
      <c r="M59" s="441"/>
    </row>
    <row r="60" spans="1:13" x14ac:dyDescent="0.3">
      <c r="A60" s="441"/>
      <c r="B60" s="441"/>
      <c r="C60" s="443"/>
      <c r="D60" s="480" t="s">
        <v>860</v>
      </c>
      <c r="E60" s="444"/>
      <c r="F60" s="444"/>
      <c r="G60" s="441"/>
      <c r="H60" s="481">
        <v>6160354.1200000048</v>
      </c>
      <c r="I60" s="441"/>
      <c r="J60" s="482"/>
      <c r="K60" s="441"/>
      <c r="L60" s="441"/>
      <c r="M60" s="441"/>
    </row>
    <row r="61" spans="1:13" x14ac:dyDescent="0.3">
      <c r="A61" s="441"/>
      <c r="B61" s="441"/>
      <c r="C61" s="443"/>
      <c r="D61" s="441"/>
      <c r="E61" s="444"/>
      <c r="F61" s="444"/>
      <c r="G61" s="441"/>
      <c r="H61" s="483">
        <v>53747000</v>
      </c>
      <c r="I61" s="441"/>
      <c r="J61" s="441"/>
      <c r="K61" s="441"/>
      <c r="L61" s="441"/>
      <c r="M61" s="441"/>
    </row>
    <row r="62" spans="1:13" x14ac:dyDescent="0.3">
      <c r="A62" s="484"/>
      <c r="B62" s="484" t="s">
        <v>858</v>
      </c>
      <c r="C62" s="485"/>
      <c r="D62" s="484"/>
      <c r="E62" s="486"/>
      <c r="F62" s="486"/>
      <c r="G62" s="484"/>
      <c r="H62" s="484"/>
      <c r="I62" s="484"/>
      <c r="J62" s="484"/>
      <c r="K62" s="484"/>
      <c r="L62" s="484"/>
      <c r="M62" s="484"/>
    </row>
    <row r="63" spans="1:13" x14ac:dyDescent="0.3">
      <c r="A63" s="484"/>
      <c r="B63" s="484"/>
      <c r="C63" s="485"/>
      <c r="D63" s="484"/>
      <c r="E63" s="486"/>
      <c r="F63" s="486"/>
      <c r="G63" s="484"/>
      <c r="H63" s="484"/>
      <c r="I63" s="484"/>
      <c r="J63" s="484"/>
      <c r="K63" s="484"/>
      <c r="L63" s="484"/>
      <c r="M63" s="484"/>
    </row>
    <row r="64" spans="1:13" ht="22.8" x14ac:dyDescent="0.3">
      <c r="A64" s="484"/>
      <c r="B64" s="442" t="s">
        <v>3656</v>
      </c>
      <c r="C64" s="485"/>
      <c r="D64" s="484"/>
      <c r="E64" s="486"/>
      <c r="F64" s="486"/>
      <c r="G64" s="484"/>
      <c r="H64" s="484"/>
      <c r="I64" s="484"/>
      <c r="J64" s="484"/>
      <c r="K64" s="484"/>
      <c r="L64" s="484"/>
      <c r="M64" s="484"/>
    </row>
    <row r="65" spans="1:13" x14ac:dyDescent="0.3">
      <c r="B65" s="441"/>
      <c r="C65" s="443"/>
      <c r="D65" s="441"/>
      <c r="E65" s="444"/>
      <c r="F65" s="444"/>
      <c r="G65" s="441"/>
      <c r="H65" s="441"/>
      <c r="I65" s="441"/>
      <c r="J65" s="441"/>
      <c r="K65" s="441"/>
      <c r="L65" s="1197"/>
      <c r="M65" s="1197"/>
    </row>
    <row r="66" spans="1:13" ht="118.8" x14ac:dyDescent="0.3">
      <c r="A66" s="487"/>
      <c r="B66" s="488" t="s">
        <v>3657</v>
      </c>
      <c r="C66" s="488" t="s">
        <v>3658</v>
      </c>
      <c r="D66" s="488" t="s">
        <v>3499</v>
      </c>
      <c r="E66" s="441"/>
      <c r="F66" s="441"/>
      <c r="G66" s="488" t="s">
        <v>3659</v>
      </c>
      <c r="H66" s="489" t="s">
        <v>3660</v>
      </c>
      <c r="I66" s="441"/>
      <c r="J66" s="490" t="s">
        <v>3661</v>
      </c>
      <c r="K66" s="491" t="s">
        <v>3662</v>
      </c>
      <c r="L66" s="487"/>
      <c r="M66" s="487"/>
    </row>
    <row r="67" spans="1:13" x14ac:dyDescent="0.3">
      <c r="A67" s="492"/>
      <c r="B67" s="69" t="s">
        <v>976</v>
      </c>
      <c r="C67" s="69" t="s">
        <v>977</v>
      </c>
      <c r="D67" s="69" t="s">
        <v>91</v>
      </c>
      <c r="E67" s="441"/>
      <c r="F67" s="441"/>
      <c r="G67" s="69" t="s">
        <v>94</v>
      </c>
      <c r="H67" s="70">
        <v>3140228</v>
      </c>
      <c r="I67" s="441"/>
      <c r="J67" s="493">
        <v>264101</v>
      </c>
      <c r="K67" s="494">
        <v>8463161.8939999994</v>
      </c>
      <c r="L67" s="495"/>
      <c r="M67" s="492"/>
    </row>
    <row r="68" spans="1:13" x14ac:dyDescent="0.3">
      <c r="A68" s="492"/>
      <c r="B68" s="69" t="s">
        <v>981</v>
      </c>
      <c r="C68" s="69" t="s">
        <v>982</v>
      </c>
      <c r="D68" s="69" t="s">
        <v>962</v>
      </c>
      <c r="E68" s="441"/>
      <c r="F68" s="441"/>
      <c r="G68" s="69" t="s">
        <v>961</v>
      </c>
      <c r="H68" s="70">
        <v>2345874</v>
      </c>
      <c r="I68" s="441"/>
      <c r="J68" s="493">
        <v>218276</v>
      </c>
      <c r="K68" s="494">
        <v>6374476.8999999994</v>
      </c>
      <c r="L68" s="495"/>
      <c r="M68" s="492"/>
    </row>
    <row r="69" spans="1:13" x14ac:dyDescent="0.3">
      <c r="A69" s="492"/>
      <c r="B69" s="69" t="s">
        <v>990</v>
      </c>
      <c r="C69" s="69" t="s">
        <v>994</v>
      </c>
      <c r="D69" s="69" t="s">
        <v>951</v>
      </c>
      <c r="E69" s="441"/>
      <c r="F69" s="441"/>
      <c r="G69" s="69" t="s">
        <v>950</v>
      </c>
      <c r="H69" s="70">
        <v>8501184</v>
      </c>
      <c r="I69" s="441"/>
      <c r="J69" s="493">
        <v>1032901</v>
      </c>
      <c r="K69" s="494">
        <v>23701735.309999999</v>
      </c>
      <c r="L69" s="495"/>
      <c r="M69" s="492"/>
    </row>
    <row r="70" spans="1:13" x14ac:dyDescent="0.3">
      <c r="A70" s="492"/>
      <c r="B70" s="69" t="s">
        <v>3539</v>
      </c>
      <c r="C70" s="69" t="s">
        <v>3663</v>
      </c>
      <c r="D70" s="69" t="s">
        <v>3664</v>
      </c>
      <c r="E70" s="441"/>
      <c r="F70" s="441"/>
      <c r="G70" s="69" t="s">
        <v>2720</v>
      </c>
      <c r="H70" s="70">
        <v>2212300</v>
      </c>
      <c r="I70" s="441"/>
      <c r="J70" s="493"/>
      <c r="K70" s="494">
        <v>5499777.7999999998</v>
      </c>
      <c r="L70" s="495"/>
      <c r="M70" s="492"/>
    </row>
    <row r="71" spans="1:13" x14ac:dyDescent="0.3">
      <c r="A71" s="492"/>
      <c r="B71" s="69" t="s">
        <v>1000</v>
      </c>
      <c r="C71" s="69" t="s">
        <v>1002</v>
      </c>
      <c r="D71" s="69" t="s">
        <v>941</v>
      </c>
      <c r="E71" s="441"/>
      <c r="F71" s="441"/>
      <c r="G71" s="69" t="s">
        <v>940</v>
      </c>
      <c r="H71" s="70">
        <v>2388467</v>
      </c>
      <c r="I71" s="441"/>
      <c r="J71" s="493">
        <v>255700</v>
      </c>
      <c r="K71" s="494">
        <v>6573399.1619999995</v>
      </c>
      <c r="L71" s="495"/>
      <c r="M71" s="492"/>
    </row>
    <row r="72" spans="1:13" x14ac:dyDescent="0.3">
      <c r="A72" s="492"/>
      <c r="B72" s="69" t="s">
        <v>1010</v>
      </c>
      <c r="C72" s="69" t="s">
        <v>1011</v>
      </c>
      <c r="D72" s="69" t="s">
        <v>936</v>
      </c>
      <c r="E72" s="441"/>
      <c r="F72" s="441"/>
      <c r="G72" s="69" t="s">
        <v>935</v>
      </c>
      <c r="H72" s="70">
        <v>745219</v>
      </c>
      <c r="I72" s="441"/>
      <c r="J72" s="493">
        <v>5333</v>
      </c>
      <c r="K72" s="494">
        <v>1865872.2719999999</v>
      </c>
      <c r="L72" s="495"/>
      <c r="M72" s="492"/>
    </row>
    <row r="73" spans="1:13" x14ac:dyDescent="0.3">
      <c r="A73" s="492"/>
      <c r="B73" s="69" t="s">
        <v>1020</v>
      </c>
      <c r="C73" s="69" t="s">
        <v>1021</v>
      </c>
      <c r="D73" s="69" t="s">
        <v>931</v>
      </c>
      <c r="E73" s="441"/>
      <c r="F73" s="441"/>
      <c r="G73" s="69" t="s">
        <v>930</v>
      </c>
      <c r="H73" s="70">
        <v>1702605</v>
      </c>
      <c r="I73" s="441"/>
      <c r="J73" s="493">
        <v>131200</v>
      </c>
      <c r="K73" s="494">
        <v>4558839.2299999995</v>
      </c>
      <c r="L73" s="495"/>
      <c r="M73" s="492"/>
    </row>
    <row r="74" spans="1:13" x14ac:dyDescent="0.3">
      <c r="A74" s="492"/>
      <c r="B74" s="69" t="s">
        <v>1028</v>
      </c>
      <c r="C74" s="69" t="s">
        <v>1029</v>
      </c>
      <c r="D74" s="69" t="s">
        <v>925</v>
      </c>
      <c r="E74" s="441"/>
      <c r="F74" s="441"/>
      <c r="G74" s="69" t="s">
        <v>924</v>
      </c>
      <c r="H74" s="70">
        <v>1718036</v>
      </c>
      <c r="I74" s="441"/>
      <c r="J74" s="493">
        <v>187900</v>
      </c>
      <c r="K74" s="494">
        <v>4738156.8959999997</v>
      </c>
      <c r="L74" s="495"/>
      <c r="M74" s="492"/>
    </row>
    <row r="75" spans="1:13" x14ac:dyDescent="0.3">
      <c r="A75" s="492"/>
      <c r="B75" s="69" t="s">
        <v>1037</v>
      </c>
      <c r="C75" s="69" t="s">
        <v>1038</v>
      </c>
      <c r="D75" s="69" t="s">
        <v>920</v>
      </c>
      <c r="E75" s="441"/>
      <c r="F75" s="441"/>
      <c r="G75" s="69" t="s">
        <v>919</v>
      </c>
      <c r="H75" s="70">
        <v>1364279</v>
      </c>
      <c r="I75" s="441"/>
      <c r="J75" s="493">
        <v>170686</v>
      </c>
      <c r="K75" s="494">
        <v>3815922.9899999998</v>
      </c>
      <c r="L75" s="495"/>
      <c r="M75" s="492"/>
    </row>
    <row r="76" spans="1:13" x14ac:dyDescent="0.3">
      <c r="A76" s="492"/>
      <c r="B76" s="69" t="s">
        <v>3665</v>
      </c>
      <c r="C76" s="69" t="s">
        <v>3666</v>
      </c>
      <c r="D76" s="69" t="s">
        <v>915</v>
      </c>
      <c r="E76" s="441"/>
      <c r="F76" s="441"/>
      <c r="G76" s="69" t="s">
        <v>914</v>
      </c>
      <c r="H76" s="70">
        <v>237667</v>
      </c>
      <c r="I76" s="441"/>
      <c r="J76" s="493">
        <v>38486</v>
      </c>
      <c r="K76" s="494">
        <v>686516.35799999989</v>
      </c>
      <c r="L76" s="495"/>
      <c r="M76" s="492"/>
    </row>
    <row r="77" spans="1:13" x14ac:dyDescent="0.3">
      <c r="A77" s="492"/>
      <c r="B77" s="69" t="s">
        <v>1056</v>
      </c>
      <c r="C77" s="69" t="s">
        <v>1057</v>
      </c>
      <c r="D77" s="69" t="s">
        <v>869</v>
      </c>
      <c r="E77" s="441"/>
      <c r="F77" s="441"/>
      <c r="G77" s="69" t="s">
        <v>868</v>
      </c>
      <c r="H77" s="70">
        <v>600062</v>
      </c>
      <c r="I77" s="441"/>
      <c r="J77" s="493">
        <v>65600</v>
      </c>
      <c r="K77" s="494">
        <v>1654835.7320000001</v>
      </c>
      <c r="L77" s="495"/>
      <c r="M77" s="492"/>
    </row>
    <row r="78" spans="1:13" x14ac:dyDescent="0.3">
      <c r="A78" s="441"/>
      <c r="B78" s="69" t="s">
        <v>3667</v>
      </c>
      <c r="C78" s="69" t="s">
        <v>3668</v>
      </c>
      <c r="D78" s="69" t="s">
        <v>117</v>
      </c>
      <c r="E78" s="441"/>
      <c r="F78" s="441"/>
      <c r="G78" s="69" t="s">
        <v>3669</v>
      </c>
      <c r="H78" s="70">
        <v>144000</v>
      </c>
      <c r="I78" s="441"/>
      <c r="J78" s="493"/>
      <c r="K78" s="494">
        <v>357983.99999999994</v>
      </c>
      <c r="L78" s="441"/>
      <c r="M78" s="441"/>
    </row>
    <row r="79" spans="1:13" x14ac:dyDescent="0.3">
      <c r="A79" s="441"/>
      <c r="B79" s="69" t="s">
        <v>3572</v>
      </c>
      <c r="C79" s="69" t="s">
        <v>3670</v>
      </c>
      <c r="D79" s="69" t="s">
        <v>3671</v>
      </c>
      <c r="E79" s="441"/>
      <c r="F79" s="441"/>
      <c r="G79" s="69" t="s">
        <v>3672</v>
      </c>
      <c r="H79" s="70">
        <v>4454261</v>
      </c>
      <c r="I79" s="441"/>
      <c r="J79" s="493">
        <v>-4454261</v>
      </c>
      <c r="K79" s="494">
        <v>0</v>
      </c>
      <c r="L79" s="441"/>
      <c r="M79" s="441"/>
    </row>
    <row r="80" spans="1:13" x14ac:dyDescent="0.3">
      <c r="A80" s="441"/>
      <c r="B80" s="69" t="s">
        <v>3673</v>
      </c>
      <c r="C80" s="69" t="s">
        <v>3674</v>
      </c>
      <c r="D80" s="69" t="s">
        <v>3675</v>
      </c>
      <c r="E80" s="441"/>
      <c r="F80" s="441"/>
      <c r="G80" s="69" t="s">
        <v>2720</v>
      </c>
      <c r="H80" s="70">
        <v>67900</v>
      </c>
      <c r="I80" s="441"/>
      <c r="J80" s="493"/>
      <c r="K80" s="496">
        <v>168799.4</v>
      </c>
      <c r="L80" s="441"/>
      <c r="M80" s="441"/>
    </row>
    <row r="81" spans="1:13" x14ac:dyDescent="0.3">
      <c r="A81" s="441"/>
      <c r="B81" s="69" t="s">
        <v>3577</v>
      </c>
      <c r="C81" s="69" t="s">
        <v>3676</v>
      </c>
      <c r="D81" s="69" t="s">
        <v>3677</v>
      </c>
      <c r="E81" s="441"/>
      <c r="F81" s="441"/>
      <c r="G81" s="69" t="s">
        <v>3238</v>
      </c>
      <c r="H81" s="70">
        <v>110000</v>
      </c>
      <c r="I81" s="441"/>
      <c r="J81" s="493"/>
      <c r="K81" s="496">
        <v>273460</v>
      </c>
      <c r="L81" s="441"/>
      <c r="M81" s="441"/>
    </row>
    <row r="82" spans="1:13" x14ac:dyDescent="0.3">
      <c r="A82" s="441"/>
      <c r="B82" s="69" t="s">
        <v>3577</v>
      </c>
      <c r="C82" s="69" t="s">
        <v>3676</v>
      </c>
      <c r="D82" s="69" t="s">
        <v>3678</v>
      </c>
      <c r="E82" s="441"/>
      <c r="F82" s="441"/>
      <c r="G82" s="69" t="s">
        <v>3679</v>
      </c>
      <c r="H82" s="70">
        <v>54425</v>
      </c>
      <c r="I82" s="441"/>
      <c r="J82" s="493"/>
      <c r="K82" s="496">
        <v>135300.54999999999</v>
      </c>
      <c r="L82" s="441"/>
      <c r="M82" s="441"/>
    </row>
    <row r="83" spans="1:13" x14ac:dyDescent="0.3">
      <c r="A83" s="441"/>
      <c r="B83" s="69" t="s">
        <v>3577</v>
      </c>
      <c r="C83" s="69" t="s">
        <v>3676</v>
      </c>
      <c r="D83" s="69" t="s">
        <v>3680</v>
      </c>
      <c r="E83" s="441"/>
      <c r="F83" s="441"/>
      <c r="G83" s="69" t="s">
        <v>3681</v>
      </c>
      <c r="H83" s="70">
        <v>54425</v>
      </c>
      <c r="I83" s="441"/>
      <c r="J83" s="493"/>
      <c r="K83" s="496">
        <v>135300.54999999999</v>
      </c>
      <c r="L83" s="441"/>
      <c r="M83" s="441"/>
    </row>
    <row r="84" spans="1:13" x14ac:dyDescent="0.3">
      <c r="A84" s="441"/>
      <c r="B84" s="69" t="s">
        <v>1076</v>
      </c>
      <c r="C84" s="69" t="s">
        <v>1077</v>
      </c>
      <c r="D84" s="69" t="s">
        <v>905</v>
      </c>
      <c r="E84" s="441"/>
      <c r="F84" s="441"/>
      <c r="G84" s="69" t="s">
        <v>904</v>
      </c>
      <c r="H84" s="70">
        <v>286781</v>
      </c>
      <c r="I84" s="441"/>
      <c r="J84" s="493">
        <v>32000</v>
      </c>
      <c r="K84" s="496">
        <v>792489.56599999999</v>
      </c>
      <c r="L84" s="441"/>
      <c r="M84" s="441"/>
    </row>
    <row r="85" spans="1:13" x14ac:dyDescent="0.3">
      <c r="A85" s="441"/>
      <c r="B85" s="69" t="s">
        <v>1076</v>
      </c>
      <c r="C85" s="69" t="s">
        <v>1086</v>
      </c>
      <c r="D85" s="69" t="s">
        <v>900</v>
      </c>
      <c r="E85" s="441"/>
      <c r="F85" s="441"/>
      <c r="G85" s="69" t="s">
        <v>899</v>
      </c>
      <c r="H85" s="70">
        <v>591062</v>
      </c>
      <c r="I85" s="441"/>
      <c r="J85" s="493">
        <v>60000</v>
      </c>
      <c r="K85" s="496">
        <v>1618540.132</v>
      </c>
      <c r="L85" s="441"/>
      <c r="M85" s="441"/>
    </row>
    <row r="86" spans="1:13" x14ac:dyDescent="0.3">
      <c r="A86" s="441"/>
      <c r="B86" s="69" t="s">
        <v>1091</v>
      </c>
      <c r="C86" s="69" t="s">
        <v>3682</v>
      </c>
      <c r="D86" s="69" t="s">
        <v>877</v>
      </c>
      <c r="E86" s="441"/>
      <c r="F86" s="441"/>
      <c r="G86" s="69" t="s">
        <v>873</v>
      </c>
      <c r="H86" s="70">
        <v>1628386</v>
      </c>
      <c r="I86" s="441"/>
      <c r="J86" s="493">
        <v>201300</v>
      </c>
      <c r="K86" s="496">
        <v>4548599.3959999997</v>
      </c>
      <c r="L86" s="441"/>
      <c r="M86" s="441"/>
    </row>
    <row r="87" spans="1:13" x14ac:dyDescent="0.3">
      <c r="A87" s="441"/>
      <c r="B87" s="69" t="s">
        <v>1091</v>
      </c>
      <c r="C87" s="69" t="s">
        <v>3682</v>
      </c>
      <c r="D87" s="69" t="s">
        <v>874</v>
      </c>
      <c r="E87" s="441"/>
      <c r="F87" s="441"/>
      <c r="G87" s="69" t="s">
        <v>873</v>
      </c>
      <c r="H87" s="70">
        <v>255881</v>
      </c>
      <c r="I87" s="441"/>
      <c r="J87" s="493">
        <v>32000</v>
      </c>
      <c r="K87" s="496">
        <v>715672.16599999997</v>
      </c>
      <c r="L87" s="441"/>
      <c r="M87" s="441"/>
    </row>
    <row r="88" spans="1:13" x14ac:dyDescent="0.3">
      <c r="A88" s="441"/>
      <c r="B88" s="69" t="s">
        <v>3597</v>
      </c>
      <c r="C88" s="69" t="s">
        <v>3683</v>
      </c>
      <c r="D88" s="69" t="s">
        <v>3684</v>
      </c>
      <c r="E88" s="441"/>
      <c r="F88" s="441"/>
      <c r="G88" s="69" t="s">
        <v>3685</v>
      </c>
      <c r="H88" s="70">
        <v>50240</v>
      </c>
      <c r="I88" s="441"/>
      <c r="J88" s="493"/>
      <c r="K88" s="496">
        <v>124896.63999999998</v>
      </c>
      <c r="L88" s="441"/>
      <c r="M88" s="441"/>
    </row>
    <row r="89" spans="1:13" x14ac:dyDescent="0.3">
      <c r="A89" s="441"/>
      <c r="B89" s="69" t="s">
        <v>3604</v>
      </c>
      <c r="C89" s="69" t="s">
        <v>3686</v>
      </c>
      <c r="D89" s="69" t="s">
        <v>3605</v>
      </c>
      <c r="E89" s="441"/>
      <c r="F89" s="441"/>
      <c r="G89" s="69" t="s">
        <v>3687</v>
      </c>
      <c r="H89" s="70">
        <v>195000</v>
      </c>
      <c r="I89" s="441"/>
      <c r="J89" s="493"/>
      <c r="K89" s="496">
        <v>484769.99999999994</v>
      </c>
      <c r="L89" s="441"/>
      <c r="M89" s="441"/>
    </row>
    <row r="90" spans="1:13" x14ac:dyDescent="0.3">
      <c r="A90" s="441"/>
      <c r="B90" s="69" t="s">
        <v>3609</v>
      </c>
      <c r="C90" s="69" t="s">
        <v>3688</v>
      </c>
      <c r="D90" s="69" t="s">
        <v>3689</v>
      </c>
      <c r="E90" s="441"/>
      <c r="F90" s="441"/>
      <c r="G90" s="69" t="s">
        <v>3690</v>
      </c>
      <c r="H90" s="70">
        <v>96000</v>
      </c>
      <c r="I90" s="441"/>
      <c r="J90" s="493"/>
      <c r="K90" s="496">
        <v>238655.99999999997</v>
      </c>
      <c r="L90" s="441"/>
      <c r="M90" s="441"/>
    </row>
    <row r="91" spans="1:13" x14ac:dyDescent="0.3">
      <c r="A91" s="441"/>
      <c r="B91" s="69" t="s">
        <v>3626</v>
      </c>
      <c r="C91" s="69" t="s">
        <v>3691</v>
      </c>
      <c r="D91" s="69" t="s">
        <v>864</v>
      </c>
      <c r="E91" s="441"/>
      <c r="F91" s="441"/>
      <c r="G91" s="69" t="s">
        <v>863</v>
      </c>
      <c r="H91" s="70">
        <v>807143</v>
      </c>
      <c r="I91" s="441"/>
      <c r="J91" s="493">
        <v>98600</v>
      </c>
      <c r="K91" s="496">
        <v>2251677.0979999998</v>
      </c>
      <c r="L91" s="441"/>
      <c r="M91" s="441"/>
    </row>
    <row r="92" spans="1:13" x14ac:dyDescent="0.3">
      <c r="A92" s="441"/>
      <c r="B92" s="69" t="s">
        <v>1143</v>
      </c>
      <c r="C92" s="69" t="s">
        <v>1146</v>
      </c>
      <c r="D92" s="69" t="s">
        <v>1148</v>
      </c>
      <c r="E92" s="441"/>
      <c r="F92" s="441"/>
      <c r="G92" s="69" t="s">
        <v>3250</v>
      </c>
      <c r="H92" s="70">
        <v>188700</v>
      </c>
      <c r="I92" s="441"/>
      <c r="J92" s="493">
        <v>16400</v>
      </c>
      <c r="K92" s="496">
        <v>509878.6</v>
      </c>
      <c r="L92" s="441"/>
      <c r="M92" s="441"/>
    </row>
    <row r="93" spans="1:13" x14ac:dyDescent="0.3">
      <c r="A93" s="441"/>
      <c r="B93" s="69" t="s">
        <v>1151</v>
      </c>
      <c r="C93" s="69" t="s">
        <v>1152</v>
      </c>
      <c r="D93" s="69" t="s">
        <v>892</v>
      </c>
      <c r="E93" s="441"/>
      <c r="F93" s="441"/>
      <c r="G93" s="69" t="s">
        <v>891</v>
      </c>
      <c r="H93" s="70">
        <v>14604522</v>
      </c>
      <c r="I93" s="441"/>
      <c r="J93" s="493">
        <v>1446978</v>
      </c>
      <c r="K93" s="496">
        <v>39904028.999999993</v>
      </c>
      <c r="L93" s="441"/>
      <c r="M93" s="441"/>
    </row>
    <row r="94" spans="1:13" x14ac:dyDescent="0.3">
      <c r="A94" s="441"/>
      <c r="B94" s="69" t="s">
        <v>1151</v>
      </c>
      <c r="C94" s="69" t="s">
        <v>1153</v>
      </c>
      <c r="D94" s="69" t="s">
        <v>887</v>
      </c>
      <c r="E94" s="441"/>
      <c r="F94" s="441"/>
      <c r="G94" s="69" t="s">
        <v>886</v>
      </c>
      <c r="H94" s="70">
        <v>1455005</v>
      </c>
      <c r="I94" s="441"/>
      <c r="J94" s="493">
        <v>164000</v>
      </c>
      <c r="K94" s="496">
        <v>4024846.4299999997</v>
      </c>
      <c r="L94" s="441"/>
      <c r="M94" s="441"/>
    </row>
    <row r="95" spans="1:13" x14ac:dyDescent="0.3">
      <c r="A95" s="441"/>
      <c r="B95" s="69" t="s">
        <v>1155</v>
      </c>
      <c r="C95" s="69" t="s">
        <v>1156</v>
      </c>
      <c r="D95" s="69" t="s">
        <v>882</v>
      </c>
      <c r="E95" s="441"/>
      <c r="F95" s="441"/>
      <c r="G95" s="69" t="s">
        <v>881</v>
      </c>
      <c r="H95" s="70">
        <v>252381</v>
      </c>
      <c r="I95" s="441"/>
      <c r="J95" s="493">
        <v>32800</v>
      </c>
      <c r="K95" s="496">
        <v>708959.96600000001</v>
      </c>
      <c r="L95" s="441"/>
      <c r="M95" s="441"/>
    </row>
    <row r="96" spans="1:13" x14ac:dyDescent="0.3">
      <c r="A96" s="441"/>
      <c r="B96" s="497" t="s">
        <v>765</v>
      </c>
      <c r="C96" s="497"/>
      <c r="D96" s="497"/>
      <c r="E96" s="441"/>
      <c r="F96" s="441"/>
      <c r="G96" s="497"/>
      <c r="H96" s="498">
        <v>50252033</v>
      </c>
      <c r="I96" s="498">
        <v>0</v>
      </c>
      <c r="J96" s="498">
        <v>0</v>
      </c>
      <c r="K96" s="498">
        <v>124926554.038</v>
      </c>
      <c r="L96" s="441"/>
      <c r="M96" s="441"/>
    </row>
    <row r="97" spans="1:13" x14ac:dyDescent="0.3">
      <c r="A97" s="441"/>
      <c r="B97" s="441"/>
      <c r="C97" s="443"/>
      <c r="D97" s="441"/>
      <c r="E97" s="444"/>
      <c r="F97" s="444"/>
      <c r="G97" s="441"/>
      <c r="H97" s="441"/>
      <c r="I97" s="441"/>
      <c r="J97" s="441"/>
      <c r="K97" s="441"/>
      <c r="L97" s="441"/>
      <c r="M97" s="441"/>
    </row>
  </sheetData>
  <mergeCells count="2">
    <mergeCell ref="J3:K3"/>
    <mergeCell ref="L65:M65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Y71"/>
  <sheetViews>
    <sheetView workbookViewId="0">
      <pane xSplit="4" ySplit="5" topLeftCell="AF33" activePane="bottomRight" state="frozen"/>
      <selection pane="topRight" activeCell="E1" sqref="E1"/>
      <selection pane="bottomLeft" activeCell="A6" sqref="A6"/>
      <selection pane="bottomRight" activeCell="AF6" sqref="AF6"/>
    </sheetView>
  </sheetViews>
  <sheetFormatPr defaultRowHeight="15.6" x14ac:dyDescent="0.3"/>
  <cols>
    <col min="1" max="1" width="47.44140625" bestFit="1" customWidth="1"/>
    <col min="2" max="2" width="11.109375" hidden="1" customWidth="1"/>
    <col min="3" max="3" width="17.33203125" bestFit="1" customWidth="1"/>
    <col min="4" max="4" width="17.33203125" hidden="1" customWidth="1"/>
    <col min="5" max="5" width="16" customWidth="1"/>
    <col min="6" max="6" width="16.44140625" bestFit="1" customWidth="1"/>
    <col min="7" max="7" width="14.21875" bestFit="1" customWidth="1"/>
    <col min="8" max="8" width="16.44140625" bestFit="1" customWidth="1"/>
    <col min="9" max="10" width="14.21875" bestFit="1" customWidth="1"/>
    <col min="11" max="11" width="13.44140625" bestFit="1" customWidth="1"/>
    <col min="12" max="12" width="15.44140625" bestFit="1" customWidth="1"/>
    <col min="13" max="13" width="12.44140625" bestFit="1" customWidth="1"/>
    <col min="14" max="14" width="13.44140625" bestFit="1" customWidth="1"/>
    <col min="15" max="15" width="12.77734375" bestFit="1" customWidth="1"/>
    <col min="16" max="16" width="11.88671875" bestFit="1" customWidth="1"/>
    <col min="17" max="17" width="11.44140625" bestFit="1" customWidth="1"/>
    <col min="18" max="18" width="12.44140625" bestFit="1" customWidth="1"/>
    <col min="19" max="19" width="10.6640625" bestFit="1" customWidth="1"/>
    <col min="20" max="20" width="12.44140625" bestFit="1" customWidth="1"/>
    <col min="21" max="23" width="11.44140625" bestFit="1" customWidth="1"/>
    <col min="24" max="24" width="13" customWidth="1"/>
    <col min="25" max="25" width="12.44140625" bestFit="1" customWidth="1"/>
    <col min="26" max="26" width="10.6640625" bestFit="1" customWidth="1"/>
    <col min="27" max="27" width="12.44140625" bestFit="1" customWidth="1"/>
    <col min="28" max="28" width="10.6640625" customWidth="1"/>
    <col min="29" max="29" width="12.44140625" bestFit="1" customWidth="1"/>
    <col min="30" max="30" width="11.33203125" bestFit="1" customWidth="1"/>
    <col min="31" max="31" width="14.21875" bestFit="1" customWidth="1"/>
    <col min="32" max="32" width="13.44140625" bestFit="1" customWidth="1"/>
    <col min="33" max="33" width="14.21875" bestFit="1" customWidth="1"/>
    <col min="34" max="34" width="12.44140625" bestFit="1" customWidth="1"/>
    <col min="35" max="35" width="11.44140625" customWidth="1"/>
    <col min="36" max="36" width="12.88671875" bestFit="1" customWidth="1"/>
    <col min="37" max="38" width="11.44140625" bestFit="1" customWidth="1"/>
    <col min="39" max="41" width="11.44140625" customWidth="1"/>
    <col min="42" max="42" width="12.88671875" hidden="1" customWidth="1"/>
    <col min="51" max="51" width="16" customWidth="1"/>
  </cols>
  <sheetData>
    <row r="1" spans="1:51" ht="18" x14ac:dyDescent="0.35">
      <c r="A1" s="25" t="s">
        <v>3692</v>
      </c>
      <c r="B1" s="25"/>
    </row>
    <row r="2" spans="1:51" x14ac:dyDescent="0.3">
      <c r="P2" s="89">
        <v>190042000</v>
      </c>
      <c r="Q2" s="89">
        <v>179994359</v>
      </c>
      <c r="R2" s="89">
        <f>+P2-Q2</f>
        <v>10047641</v>
      </c>
    </row>
    <row r="3" spans="1:51" x14ac:dyDescent="0.3">
      <c r="A3" s="26"/>
      <c r="B3" s="26"/>
      <c r="C3" s="27"/>
      <c r="D3" s="27"/>
      <c r="P3" s="89"/>
      <c r="Q3" s="89"/>
      <c r="R3" s="89"/>
    </row>
    <row r="4" spans="1:51" x14ac:dyDescent="0.3">
      <c r="E4" t="s">
        <v>3693</v>
      </c>
      <c r="F4" t="s">
        <v>3693</v>
      </c>
      <c r="G4" t="s">
        <v>3693</v>
      </c>
      <c r="H4" t="s">
        <v>3693</v>
      </c>
      <c r="I4" t="s">
        <v>3693</v>
      </c>
      <c r="J4" t="s">
        <v>3693</v>
      </c>
      <c r="K4" t="s">
        <v>3693</v>
      </c>
      <c r="L4" t="s">
        <v>3693</v>
      </c>
      <c r="M4" t="s">
        <v>3693</v>
      </c>
      <c r="N4" t="s">
        <v>3694</v>
      </c>
      <c r="O4" t="s">
        <v>3695</v>
      </c>
      <c r="P4" t="s">
        <v>3695</v>
      </c>
      <c r="Q4" t="s">
        <v>3695</v>
      </c>
      <c r="R4" t="s">
        <v>3695</v>
      </c>
      <c r="S4" t="s">
        <v>3695</v>
      </c>
      <c r="T4" t="s">
        <v>3695</v>
      </c>
      <c r="U4" t="s">
        <v>3693</v>
      </c>
      <c r="V4" t="s">
        <v>3693</v>
      </c>
      <c r="W4" t="s">
        <v>3696</v>
      </c>
      <c r="X4" t="s">
        <v>3696</v>
      </c>
      <c r="Y4" t="s">
        <v>3695</v>
      </c>
      <c r="Z4" t="s">
        <v>3693</v>
      </c>
      <c r="AA4" t="s">
        <v>3693</v>
      </c>
      <c r="AB4" t="s">
        <v>3695</v>
      </c>
      <c r="AC4" t="s">
        <v>3695</v>
      </c>
      <c r="AD4" s="499" t="s">
        <v>3695</v>
      </c>
      <c r="AE4" t="s">
        <v>3693</v>
      </c>
      <c r="AF4" t="s">
        <v>3694</v>
      </c>
      <c r="AG4" t="s">
        <v>3694</v>
      </c>
      <c r="AH4" t="s">
        <v>3694</v>
      </c>
      <c r="AI4" t="s">
        <v>3694</v>
      </c>
      <c r="AJ4" t="s">
        <v>3696</v>
      </c>
      <c r="AK4" s="499" t="s">
        <v>3695</v>
      </c>
      <c r="AL4" t="s">
        <v>3693</v>
      </c>
      <c r="AM4" t="s">
        <v>3695</v>
      </c>
      <c r="AN4" t="s">
        <v>3695</v>
      </c>
      <c r="AO4" t="s">
        <v>3695</v>
      </c>
    </row>
    <row r="5" spans="1:51" ht="30.6" x14ac:dyDescent="0.3">
      <c r="B5" s="28" t="s">
        <v>794</v>
      </c>
      <c r="C5" s="3">
        <f>+SUM(C6:C14,C16:C37)</f>
        <v>4019911554</v>
      </c>
      <c r="D5" t="s">
        <v>795</v>
      </c>
      <c r="E5" s="500" t="s">
        <v>5</v>
      </c>
      <c r="F5" s="500" t="s">
        <v>6</v>
      </c>
      <c r="G5" s="500" t="s">
        <v>7</v>
      </c>
      <c r="H5" s="500" t="s">
        <v>8</v>
      </c>
      <c r="I5" s="500" t="s">
        <v>9</v>
      </c>
      <c r="J5" s="500" t="s">
        <v>10</v>
      </c>
      <c r="K5" s="500" t="s">
        <v>11</v>
      </c>
      <c r="L5" s="500" t="s">
        <v>12</v>
      </c>
      <c r="M5" s="500" t="s">
        <v>3451</v>
      </c>
      <c r="N5" s="500" t="s">
        <v>804</v>
      </c>
      <c r="O5" s="500" t="s">
        <v>805</v>
      </c>
      <c r="P5" s="500" t="s">
        <v>806</v>
      </c>
      <c r="Q5" s="500" t="s">
        <v>807</v>
      </c>
      <c r="R5" s="500" t="s">
        <v>808</v>
      </c>
      <c r="S5" s="500" t="s">
        <v>3697</v>
      </c>
      <c r="T5" s="500" t="s">
        <v>809</v>
      </c>
      <c r="U5" s="500" t="s">
        <v>810</v>
      </c>
      <c r="V5" s="500" t="s">
        <v>811</v>
      </c>
      <c r="W5" s="500" t="s">
        <v>812</v>
      </c>
      <c r="X5" s="500" t="s">
        <v>813</v>
      </c>
      <c r="Y5" s="500" t="s">
        <v>814</v>
      </c>
      <c r="Z5" s="500" t="s">
        <v>815</v>
      </c>
      <c r="AA5" s="500" t="s">
        <v>816</v>
      </c>
      <c r="AB5" s="500" t="s">
        <v>817</v>
      </c>
      <c r="AC5" s="500" t="s">
        <v>818</v>
      </c>
      <c r="AD5" s="500" t="s">
        <v>819</v>
      </c>
      <c r="AE5" s="500" t="s">
        <v>820</v>
      </c>
      <c r="AF5" s="500" t="s">
        <v>2778</v>
      </c>
      <c r="AG5" s="500" t="s">
        <v>2777</v>
      </c>
      <c r="AH5" s="500" t="s">
        <v>2779</v>
      </c>
      <c r="AI5" s="500" t="s">
        <v>2780</v>
      </c>
      <c r="AJ5" s="29" t="s">
        <v>76</v>
      </c>
      <c r="AK5" s="501" t="s">
        <v>3698</v>
      </c>
      <c r="AL5" s="502" t="s">
        <v>3699</v>
      </c>
      <c r="AM5" s="502" t="s">
        <v>821</v>
      </c>
      <c r="AN5" s="502" t="s">
        <v>822</v>
      </c>
      <c r="AO5" s="502" t="s">
        <v>823</v>
      </c>
      <c r="AP5" s="502" t="s">
        <v>824</v>
      </c>
      <c r="AQ5" s="503" t="s">
        <v>3700</v>
      </c>
      <c r="AR5" s="503" t="s">
        <v>3701</v>
      </c>
    </row>
    <row r="6" spans="1:51" ht="21.6" x14ac:dyDescent="0.3">
      <c r="A6" s="30" t="s">
        <v>825</v>
      </c>
      <c r="B6" s="31"/>
      <c r="C6" s="32">
        <f>SUM(E6:AP6)</f>
        <v>43710000</v>
      </c>
      <c r="D6" s="32">
        <v>0</v>
      </c>
      <c r="E6" s="504"/>
      <c r="F6" s="504"/>
      <c r="G6" s="504"/>
      <c r="H6" s="504"/>
      <c r="I6" s="504"/>
      <c r="J6" s="504"/>
      <c r="K6" s="504"/>
      <c r="L6" s="504"/>
      <c r="M6" s="504"/>
      <c r="N6" s="504"/>
      <c r="O6" s="33"/>
      <c r="P6" s="504">
        <v>43710000</v>
      </c>
      <c r="Q6" s="34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Y6" s="2"/>
    </row>
    <row r="7" spans="1:51" x14ac:dyDescent="0.3">
      <c r="A7" s="35" t="s">
        <v>826</v>
      </c>
      <c r="B7" s="36"/>
      <c r="C7" s="32">
        <f t="shared" ref="C7:C15" si="0">SUM(E7:AP7)</f>
        <v>2400000</v>
      </c>
      <c r="D7" s="32">
        <f>+C7</f>
        <v>2400000</v>
      </c>
      <c r="E7" s="504"/>
      <c r="F7" s="504"/>
      <c r="G7" s="504"/>
      <c r="H7" s="504"/>
      <c r="I7" s="504">
        <v>2400000</v>
      </c>
      <c r="J7" s="504"/>
      <c r="K7" s="504"/>
      <c r="L7" s="504"/>
      <c r="M7" s="504"/>
      <c r="N7" s="504"/>
      <c r="O7" s="33"/>
      <c r="P7" s="504"/>
      <c r="Q7" s="34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Y7" s="2"/>
    </row>
    <row r="8" spans="1:51" x14ac:dyDescent="0.3">
      <c r="A8" s="35" t="s">
        <v>827</v>
      </c>
      <c r="B8" s="36"/>
      <c r="C8" s="32">
        <f t="shared" si="0"/>
        <v>50000000</v>
      </c>
      <c r="D8" s="32">
        <f>+C8</f>
        <v>50000000</v>
      </c>
      <c r="E8" s="504"/>
      <c r="F8" s="504"/>
      <c r="G8" s="504"/>
      <c r="H8" s="504"/>
      <c r="I8" s="504">
        <v>50000000</v>
      </c>
      <c r="J8" s="504"/>
      <c r="K8" s="504"/>
      <c r="L8" s="504"/>
      <c r="M8" s="504"/>
      <c r="N8" s="504"/>
      <c r="O8" s="33"/>
      <c r="P8" s="504"/>
      <c r="Q8" s="34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Y8" s="2"/>
    </row>
    <row r="9" spans="1:51" x14ac:dyDescent="0.3">
      <c r="A9" s="37"/>
      <c r="B9" s="36"/>
      <c r="C9" s="505"/>
      <c r="D9" s="32"/>
      <c r="E9" s="504"/>
      <c r="F9" s="504"/>
      <c r="G9" s="504"/>
      <c r="H9" s="504"/>
      <c r="I9" s="504"/>
      <c r="J9" s="504"/>
      <c r="K9" s="504"/>
      <c r="L9" s="504"/>
      <c r="M9" s="504"/>
      <c r="N9" s="504"/>
      <c r="O9" s="33"/>
      <c r="P9" s="504"/>
      <c r="Q9" s="34"/>
      <c r="R9" s="33"/>
      <c r="S9" s="33"/>
      <c r="T9" s="33"/>
      <c r="U9" s="33"/>
      <c r="V9" s="33"/>
      <c r="W9" s="33"/>
      <c r="X9" s="506"/>
      <c r="Y9" s="504"/>
      <c r="Z9" s="504"/>
      <c r="AA9" s="504"/>
      <c r="AB9" s="504"/>
      <c r="AC9" s="504"/>
      <c r="AD9" s="504"/>
      <c r="AE9" s="506"/>
      <c r="AF9" s="33"/>
      <c r="AG9" s="504"/>
      <c r="AH9" s="33"/>
      <c r="AI9" s="33"/>
      <c r="AJ9" s="33"/>
      <c r="AK9" s="33"/>
      <c r="AL9" s="33"/>
      <c r="AM9" s="33"/>
      <c r="AN9" s="33"/>
      <c r="AO9" s="33"/>
      <c r="AP9" s="33"/>
      <c r="AY9" s="2"/>
    </row>
    <row r="10" spans="1:51" x14ac:dyDescent="0.3">
      <c r="A10" s="38" t="s">
        <v>828</v>
      </c>
      <c r="B10" s="39"/>
      <c r="C10" s="32">
        <f t="shared" si="0"/>
        <v>119305000</v>
      </c>
      <c r="D10" s="32"/>
      <c r="E10" s="504"/>
      <c r="F10" s="504"/>
      <c r="G10" s="504"/>
      <c r="H10" s="504"/>
      <c r="I10" s="504"/>
      <c r="J10" s="504"/>
      <c r="K10" s="504"/>
      <c r="L10" s="504"/>
      <c r="M10" s="504"/>
      <c r="N10" s="507">
        <v>119305000</v>
      </c>
      <c r="O10" s="33"/>
      <c r="P10" s="504"/>
      <c r="Q10" s="34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507"/>
      <c r="AG10" s="507"/>
      <c r="AH10" s="507"/>
      <c r="AI10" s="508"/>
      <c r="AJ10" s="507"/>
      <c r="AK10" s="33"/>
      <c r="AL10" s="33"/>
      <c r="AM10" s="33"/>
      <c r="AN10" s="33"/>
      <c r="AO10" s="33"/>
      <c r="AP10" s="33"/>
      <c r="AY10" s="2"/>
    </row>
    <row r="11" spans="1:51" x14ac:dyDescent="0.3">
      <c r="A11" s="35" t="s">
        <v>829</v>
      </c>
      <c r="B11" s="40"/>
      <c r="C11" s="41">
        <f t="shared" si="0"/>
        <v>119140000</v>
      </c>
      <c r="D11" s="32">
        <f>SUM(E11:L11)</f>
        <v>110795564.20233463</v>
      </c>
      <c r="E11" s="504"/>
      <c r="F11" s="504">
        <v>91849522.723735407</v>
      </c>
      <c r="G11" s="504">
        <v>0</v>
      </c>
      <c r="H11" s="504">
        <v>10857965.291828794</v>
      </c>
      <c r="I11" s="504">
        <v>0</v>
      </c>
      <c r="J11" s="504">
        <v>0</v>
      </c>
      <c r="K11" s="504">
        <v>0</v>
      </c>
      <c r="L11" s="504">
        <v>8088076.1867704289</v>
      </c>
      <c r="M11" s="504">
        <v>0</v>
      </c>
      <c r="N11" s="504">
        <v>8344435.7976653697</v>
      </c>
      <c r="O11" s="33"/>
      <c r="P11" s="504"/>
      <c r="Q11" s="34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Y11" s="2"/>
    </row>
    <row r="12" spans="1:51" x14ac:dyDescent="0.3">
      <c r="A12" s="35" t="s">
        <v>830</v>
      </c>
      <c r="B12" s="40"/>
      <c r="C12" s="41">
        <f t="shared" si="0"/>
        <v>175925000</v>
      </c>
      <c r="D12" s="32">
        <f>SUM(E12:L12)</f>
        <v>172514543.12748045</v>
      </c>
      <c r="E12" s="504"/>
      <c r="F12" s="504">
        <v>138154867.28412506</v>
      </c>
      <c r="G12" s="504">
        <v>0</v>
      </c>
      <c r="H12" s="504">
        <v>0</v>
      </c>
      <c r="I12" s="504">
        <v>0</v>
      </c>
      <c r="J12" s="504">
        <v>0</v>
      </c>
      <c r="K12" s="504">
        <v>0</v>
      </c>
      <c r="L12" s="504">
        <v>34359675.84335538</v>
      </c>
      <c r="M12" s="504">
        <v>0</v>
      </c>
      <c r="N12" s="504">
        <v>3410456.8725195429</v>
      </c>
      <c r="O12" s="33">
        <v>0</v>
      </c>
      <c r="P12" s="504">
        <v>0</v>
      </c>
      <c r="Q12" s="34">
        <v>0</v>
      </c>
      <c r="R12" s="33">
        <v>0</v>
      </c>
      <c r="S12" s="33">
        <v>0</v>
      </c>
      <c r="T12" s="33">
        <v>0</v>
      </c>
      <c r="U12" s="33">
        <v>0</v>
      </c>
      <c r="V12" s="33">
        <v>0</v>
      </c>
      <c r="W12" s="33">
        <v>0</v>
      </c>
      <c r="X12" s="33"/>
      <c r="Y12" s="33">
        <v>0</v>
      </c>
      <c r="Z12" s="33">
        <v>0</v>
      </c>
      <c r="AA12" s="33">
        <v>0</v>
      </c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Y12" s="2"/>
    </row>
    <row r="13" spans="1:51" x14ac:dyDescent="0.3">
      <c r="A13" s="35" t="s">
        <v>831</v>
      </c>
      <c r="B13" s="40"/>
      <c r="C13" s="509">
        <f>SUM(E13:AP13)</f>
        <v>0</v>
      </c>
      <c r="D13" s="32">
        <f>SUM(E13:L13)+AL13</f>
        <v>0</v>
      </c>
      <c r="E13" s="504"/>
      <c r="F13" s="504"/>
      <c r="G13" s="504"/>
      <c r="H13" s="504"/>
      <c r="I13" s="504"/>
      <c r="J13" s="504"/>
      <c r="K13" s="504"/>
      <c r="L13" s="504"/>
      <c r="M13" s="504"/>
      <c r="N13" s="510"/>
      <c r="O13" s="33"/>
      <c r="P13" s="504"/>
      <c r="Q13" s="34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504"/>
      <c r="AD13" s="33"/>
      <c r="AE13" s="33"/>
      <c r="AF13" s="504"/>
      <c r="AG13" s="504"/>
      <c r="AH13" s="33"/>
      <c r="AI13" s="33"/>
      <c r="AJ13" s="33"/>
      <c r="AK13" s="33"/>
      <c r="AL13" s="34"/>
      <c r="AM13" s="34"/>
      <c r="AN13" s="34"/>
      <c r="AO13" s="34"/>
      <c r="AP13" s="34">
        <v>0</v>
      </c>
      <c r="AY13" s="2"/>
    </row>
    <row r="14" spans="1:51" x14ac:dyDescent="0.3">
      <c r="A14" s="24" t="s">
        <v>792</v>
      </c>
      <c r="B14" s="42"/>
      <c r="C14" s="41">
        <f t="shared" si="0"/>
        <v>232802000</v>
      </c>
      <c r="D14" s="32">
        <f>SUM(E14:L14)+AL14+U14+Z14+AA14+AE14+AK14-3715531</f>
        <v>147451864</v>
      </c>
      <c r="E14" s="511">
        <v>9292248</v>
      </c>
      <c r="F14" s="511">
        <v>53581453</v>
      </c>
      <c r="G14" s="511">
        <v>3435369</v>
      </c>
      <c r="H14" s="511">
        <v>9894003</v>
      </c>
      <c r="I14" s="511">
        <v>46722943</v>
      </c>
      <c r="J14" s="511">
        <v>2319145</v>
      </c>
      <c r="K14" s="511">
        <v>8532317</v>
      </c>
      <c r="L14" s="511">
        <v>9311651</v>
      </c>
      <c r="M14" s="511">
        <v>0</v>
      </c>
      <c r="N14" s="511">
        <v>10921812</v>
      </c>
      <c r="O14" s="512">
        <v>7270836</v>
      </c>
      <c r="P14" s="513">
        <v>602564</v>
      </c>
      <c r="Q14" s="513"/>
      <c r="R14" s="513">
        <v>9978631</v>
      </c>
      <c r="S14" s="513"/>
      <c r="T14" s="513">
        <v>8040170</v>
      </c>
      <c r="U14" s="511">
        <v>3703594</v>
      </c>
      <c r="V14" s="513"/>
      <c r="W14" s="514">
        <v>30380210</v>
      </c>
      <c r="X14" s="514">
        <v>5709499</v>
      </c>
      <c r="Y14" s="513"/>
      <c r="Z14" s="511">
        <v>1719097</v>
      </c>
      <c r="AA14" s="511">
        <v>1414200</v>
      </c>
      <c r="AB14" s="513">
        <v>116424</v>
      </c>
      <c r="AC14" s="513">
        <v>1826248</v>
      </c>
      <c r="AD14" s="513"/>
      <c r="AE14" s="511">
        <v>423635</v>
      </c>
      <c r="AF14" s="513"/>
      <c r="AG14" s="513">
        <v>205128</v>
      </c>
      <c r="AH14" s="513"/>
      <c r="AI14" s="513"/>
      <c r="AJ14" s="513"/>
      <c r="AK14" s="513">
        <v>817740</v>
      </c>
      <c r="AL14" s="33"/>
      <c r="AM14" s="504">
        <v>1186590</v>
      </c>
      <c r="AN14" s="504">
        <v>536695</v>
      </c>
      <c r="AO14" s="504">
        <f>1240950+3158003+141372+116424+203049</f>
        <v>4859798</v>
      </c>
      <c r="AP14" s="33"/>
      <c r="AY14" s="2"/>
    </row>
    <row r="15" spans="1:51" ht="21.6" x14ac:dyDescent="0.3">
      <c r="A15" s="515" t="s">
        <v>3702</v>
      </c>
      <c r="B15" s="42"/>
      <c r="C15" s="516">
        <f t="shared" si="0"/>
        <v>77434945</v>
      </c>
      <c r="D15" s="41"/>
      <c r="E15" s="511">
        <v>825352</v>
      </c>
      <c r="F15" s="511">
        <v>12188858</v>
      </c>
      <c r="G15" s="511">
        <v>1474198</v>
      </c>
      <c r="H15" s="511">
        <v>1183336</v>
      </c>
      <c r="I15" s="511">
        <v>7507720</v>
      </c>
      <c r="J15" s="511">
        <v>1409562</v>
      </c>
      <c r="K15" s="511">
        <v>676192</v>
      </c>
      <c r="L15" s="511">
        <v>2508374</v>
      </c>
      <c r="M15" s="511">
        <v>0</v>
      </c>
      <c r="N15" s="511">
        <v>223146</v>
      </c>
      <c r="O15" s="512">
        <v>146674</v>
      </c>
      <c r="P15" s="513">
        <v>75823</v>
      </c>
      <c r="Q15" s="513"/>
      <c r="R15" s="513">
        <v>0</v>
      </c>
      <c r="S15" s="513"/>
      <c r="T15" s="513">
        <f>324423-31724</f>
        <v>292699</v>
      </c>
      <c r="U15" s="511">
        <v>0</v>
      </c>
      <c r="V15" s="513"/>
      <c r="W15" s="514">
        <v>36493334</v>
      </c>
      <c r="X15" s="514">
        <v>6499324</v>
      </c>
      <c r="Y15" s="513"/>
      <c r="Z15" s="511">
        <v>21131</v>
      </c>
      <c r="AA15" s="511">
        <v>147917</v>
      </c>
      <c r="AB15" s="513">
        <v>186450</v>
      </c>
      <c r="AC15" s="513">
        <v>443751</v>
      </c>
      <c r="AD15" s="513"/>
      <c r="AE15" s="511">
        <v>0</v>
      </c>
      <c r="AF15" s="513">
        <v>403975</v>
      </c>
      <c r="AG15" s="513">
        <v>31075</v>
      </c>
      <c r="AH15" s="513"/>
      <c r="AI15" s="513"/>
      <c r="AJ15" s="513"/>
      <c r="AK15" s="513">
        <v>2883760</v>
      </c>
      <c r="AL15" s="513">
        <v>788062</v>
      </c>
      <c r="AM15" s="504"/>
      <c r="AN15" s="504">
        <v>268488</v>
      </c>
      <c r="AO15" s="504">
        <f>663762+91982</f>
        <v>755744</v>
      </c>
      <c r="AP15" s="33"/>
      <c r="AS15">
        <v>77434945.108097956</v>
      </c>
      <c r="AT15" s="3">
        <f>+AS15-C15</f>
        <v>0.10809795558452606</v>
      </c>
      <c r="AY15" s="2"/>
    </row>
    <row r="16" spans="1:51" ht="20.399999999999999" x14ac:dyDescent="0.3">
      <c r="A16" s="38" t="s">
        <v>112</v>
      </c>
      <c r="B16" s="43"/>
      <c r="C16" s="41">
        <f>SUM(E16:AP16)</f>
        <v>1720269000</v>
      </c>
      <c r="D16" s="41">
        <v>0</v>
      </c>
      <c r="E16" s="517">
        <v>109313943</v>
      </c>
      <c r="F16" s="517">
        <v>600464481</v>
      </c>
      <c r="G16" s="517">
        <v>139226994</v>
      </c>
      <c r="H16" s="517">
        <v>87196162</v>
      </c>
      <c r="I16" s="517">
        <v>416558462</v>
      </c>
      <c r="J16" s="517">
        <v>101144500</v>
      </c>
      <c r="K16" s="517">
        <v>74869241</v>
      </c>
      <c r="L16" s="517">
        <v>63990508</v>
      </c>
      <c r="M16" s="517">
        <v>4801887</v>
      </c>
      <c r="N16" s="518">
        <v>79837000</v>
      </c>
      <c r="O16" s="519">
        <f>1371968+169</f>
        <v>1372137</v>
      </c>
      <c r="P16" s="520">
        <v>0</v>
      </c>
      <c r="Q16" s="520"/>
      <c r="R16" s="34"/>
      <c r="S16" s="34"/>
      <c r="T16" s="34"/>
      <c r="U16" s="34"/>
      <c r="V16" s="34"/>
      <c r="W16" s="520"/>
      <c r="X16" s="520"/>
      <c r="Y16" s="520"/>
      <c r="Z16" s="520"/>
      <c r="AA16" s="517">
        <v>1552125</v>
      </c>
      <c r="AB16" s="520"/>
      <c r="AC16" s="521">
        <v>1884723</v>
      </c>
      <c r="AD16" s="521">
        <v>694714</v>
      </c>
      <c r="AE16" s="517">
        <v>4192123</v>
      </c>
      <c r="AF16" s="518">
        <v>24079000</v>
      </c>
      <c r="AG16" s="518">
        <v>2564000</v>
      </c>
      <c r="AH16" s="518">
        <v>6527000</v>
      </c>
      <c r="AI16" s="518"/>
      <c r="AJ16" s="520"/>
      <c r="AK16" s="34"/>
      <c r="AL16" s="34"/>
      <c r="AM16" s="34"/>
      <c r="AN16" s="34"/>
      <c r="AO16" s="34"/>
      <c r="AP16" s="33"/>
      <c r="AY16" s="2"/>
    </row>
    <row r="17" spans="1:51" ht="21.6" x14ac:dyDescent="0.3">
      <c r="A17" s="24" t="s">
        <v>832</v>
      </c>
      <c r="B17" s="42"/>
      <c r="C17" s="509">
        <f t="shared" ref="C17:C38" si="1">SUM(E17:AP17)</f>
        <v>0</v>
      </c>
      <c r="D17" s="41">
        <v>0</v>
      </c>
      <c r="E17" s="520"/>
      <c r="F17" s="522"/>
      <c r="G17" s="523"/>
      <c r="H17" s="522"/>
      <c r="I17" s="522"/>
      <c r="J17" s="522"/>
      <c r="K17" s="522"/>
      <c r="L17" s="522"/>
      <c r="M17" s="522"/>
      <c r="N17" s="522"/>
      <c r="O17" s="522"/>
      <c r="P17" s="522"/>
      <c r="Q17" s="522"/>
      <c r="R17" s="522"/>
      <c r="S17" s="524"/>
      <c r="T17" s="507"/>
      <c r="U17" s="522"/>
      <c r="V17" s="522"/>
      <c r="W17" s="522"/>
      <c r="X17" s="522"/>
      <c r="Y17" s="522"/>
      <c r="Z17" s="522"/>
      <c r="AA17" s="522"/>
      <c r="AB17" s="522"/>
      <c r="AC17" s="522"/>
      <c r="AD17" s="522"/>
      <c r="AE17" s="520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Y17" s="2"/>
    </row>
    <row r="18" spans="1:51" x14ac:dyDescent="0.3">
      <c r="A18" s="24" t="s">
        <v>3703</v>
      </c>
      <c r="B18" s="42"/>
      <c r="C18" s="41">
        <f t="shared" si="1"/>
        <v>263000000</v>
      </c>
      <c r="D18" s="41"/>
      <c r="E18" s="520"/>
      <c r="F18" s="522">
        <v>210315809</v>
      </c>
      <c r="G18" s="523"/>
      <c r="H18" s="522"/>
      <c r="I18" s="522"/>
      <c r="J18" s="522"/>
      <c r="K18" s="522">
        <v>8013837</v>
      </c>
      <c r="L18" s="522">
        <v>10138793</v>
      </c>
      <c r="M18" s="522"/>
      <c r="N18" s="522">
        <v>34531561</v>
      </c>
      <c r="O18" s="522"/>
      <c r="P18" s="522"/>
      <c r="Q18" s="522"/>
      <c r="R18" s="522"/>
      <c r="S18" s="524"/>
      <c r="T18" s="507"/>
      <c r="U18" s="522"/>
      <c r="V18" s="522"/>
      <c r="W18" s="522"/>
      <c r="X18" s="522"/>
      <c r="Y18" s="522"/>
      <c r="Z18" s="522"/>
      <c r="AA18" s="522"/>
      <c r="AB18" s="522"/>
      <c r="AC18" s="522"/>
      <c r="AD18" s="522"/>
      <c r="AE18" s="520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Y18" s="2"/>
    </row>
    <row r="19" spans="1:51" x14ac:dyDescent="0.3">
      <c r="A19" s="24" t="s">
        <v>833</v>
      </c>
      <c r="B19" s="42"/>
      <c r="C19" s="41">
        <f t="shared" si="1"/>
        <v>208098000</v>
      </c>
      <c r="D19" s="41">
        <v>0</v>
      </c>
      <c r="E19" s="520"/>
      <c r="F19" s="522"/>
      <c r="G19" s="523"/>
      <c r="H19" s="522"/>
      <c r="I19" s="522"/>
      <c r="J19" s="522"/>
      <c r="K19" s="522"/>
      <c r="L19" s="522"/>
      <c r="M19" s="522"/>
      <c r="N19" s="522"/>
      <c r="O19" s="522"/>
      <c r="P19" s="522"/>
      <c r="Q19" s="522"/>
      <c r="R19" s="522">
        <v>208098000</v>
      </c>
      <c r="S19" s="524"/>
      <c r="T19" s="507"/>
      <c r="U19" s="522"/>
      <c r="V19" s="522"/>
      <c r="W19" s="522"/>
      <c r="X19" s="522"/>
      <c r="Y19" s="522"/>
      <c r="Z19" s="522"/>
      <c r="AA19" s="522"/>
      <c r="AB19" s="522"/>
      <c r="AC19" s="522"/>
      <c r="AD19" s="522"/>
      <c r="AE19" s="520"/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Y19" s="2"/>
    </row>
    <row r="20" spans="1:51" x14ac:dyDescent="0.3">
      <c r="A20" s="24" t="s">
        <v>834</v>
      </c>
      <c r="B20" s="42"/>
      <c r="C20" s="509">
        <f t="shared" si="1"/>
        <v>0</v>
      </c>
      <c r="D20" s="41">
        <v>0</v>
      </c>
      <c r="E20" s="520"/>
      <c r="F20" s="522"/>
      <c r="G20" s="523"/>
      <c r="H20" s="522"/>
      <c r="I20" s="522"/>
      <c r="J20" s="522"/>
      <c r="K20" s="522"/>
      <c r="L20" s="522"/>
      <c r="M20" s="522"/>
      <c r="N20" s="522"/>
      <c r="O20" s="522"/>
      <c r="P20" s="522"/>
      <c r="Q20" s="522"/>
      <c r="R20" s="522"/>
      <c r="S20" s="524"/>
      <c r="T20" s="507"/>
      <c r="U20" s="522"/>
      <c r="V20" s="522"/>
      <c r="W20" s="522"/>
      <c r="X20" s="522"/>
      <c r="Y20" s="522"/>
      <c r="Z20" s="522"/>
      <c r="AA20" s="522"/>
      <c r="AB20" s="522"/>
      <c r="AC20" s="522"/>
      <c r="AD20" s="522"/>
      <c r="AE20" s="520"/>
      <c r="AF20" s="33"/>
      <c r="AG20" s="33"/>
      <c r="AH20" s="33"/>
      <c r="AI20" s="33"/>
      <c r="AJ20" s="33"/>
      <c r="AK20" s="33"/>
      <c r="AL20" s="33"/>
      <c r="AM20" s="33"/>
      <c r="AN20" s="33"/>
      <c r="AO20" s="33"/>
      <c r="AP20" s="33"/>
      <c r="AY20" s="2"/>
    </row>
    <row r="21" spans="1:51" x14ac:dyDescent="0.3">
      <c r="A21" s="24" t="s">
        <v>835</v>
      </c>
      <c r="B21" s="42"/>
      <c r="C21" s="509">
        <f t="shared" si="1"/>
        <v>0</v>
      </c>
      <c r="D21" s="41">
        <f>+C21</f>
        <v>0</v>
      </c>
      <c r="E21" s="520"/>
      <c r="F21" s="522"/>
      <c r="G21" s="523"/>
      <c r="H21" s="522"/>
      <c r="I21" s="522"/>
      <c r="J21" s="522"/>
      <c r="K21" s="522"/>
      <c r="L21" s="522"/>
      <c r="M21" s="522"/>
      <c r="N21" s="522"/>
      <c r="O21" s="522"/>
      <c r="P21" s="522"/>
      <c r="Q21" s="522"/>
      <c r="R21" s="522"/>
      <c r="S21" s="524"/>
      <c r="T21" s="507"/>
      <c r="U21" s="522"/>
      <c r="V21" s="522"/>
      <c r="W21" s="522"/>
      <c r="X21" s="522"/>
      <c r="Y21" s="522"/>
      <c r="Z21" s="522"/>
      <c r="AA21" s="522"/>
      <c r="AB21" s="522"/>
      <c r="AC21" s="522"/>
      <c r="AD21" s="522"/>
      <c r="AE21" s="520"/>
      <c r="AF21" s="33"/>
      <c r="AG21" s="33"/>
      <c r="AH21" s="33"/>
      <c r="AI21" s="33"/>
      <c r="AJ21" s="33"/>
      <c r="AK21" s="33"/>
      <c r="AL21" s="33"/>
      <c r="AM21" s="33"/>
      <c r="AN21" s="33"/>
      <c r="AO21" s="33"/>
      <c r="AP21" s="33"/>
      <c r="AY21" s="2"/>
    </row>
    <row r="22" spans="1:51" ht="21.6" x14ac:dyDescent="0.3">
      <c r="A22" s="24" t="s">
        <v>836</v>
      </c>
      <c r="B22" s="42"/>
      <c r="C22" s="41">
        <f t="shared" si="1"/>
        <v>8500000</v>
      </c>
      <c r="D22" s="41">
        <f>+C22</f>
        <v>8500000</v>
      </c>
      <c r="E22" s="520"/>
      <c r="F22" s="522"/>
      <c r="G22" s="523"/>
      <c r="H22" s="522"/>
      <c r="I22" s="522"/>
      <c r="J22" s="522"/>
      <c r="K22" s="522"/>
      <c r="L22" s="522"/>
      <c r="M22" s="522"/>
      <c r="N22" s="522"/>
      <c r="O22" s="522"/>
      <c r="P22" s="522"/>
      <c r="Q22" s="522"/>
      <c r="R22" s="522"/>
      <c r="S22" s="524"/>
      <c r="T22" s="507">
        <v>8500000</v>
      </c>
      <c r="U22" s="522"/>
      <c r="V22" s="522"/>
      <c r="W22" s="522"/>
      <c r="X22" s="522"/>
      <c r="Y22" s="522"/>
      <c r="Z22" s="522"/>
      <c r="AA22" s="522"/>
      <c r="AB22" s="522"/>
      <c r="AC22" s="522"/>
      <c r="AD22" s="522"/>
      <c r="AE22" s="520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Y22" s="2"/>
    </row>
    <row r="23" spans="1:51" x14ac:dyDescent="0.3">
      <c r="A23" s="24" t="s">
        <v>837</v>
      </c>
      <c r="B23" s="42"/>
      <c r="C23" s="509">
        <f t="shared" si="1"/>
        <v>0</v>
      </c>
      <c r="D23" s="41">
        <f>+C23</f>
        <v>0</v>
      </c>
      <c r="E23" s="520"/>
      <c r="F23" s="522"/>
      <c r="G23" s="523"/>
      <c r="H23" s="522"/>
      <c r="I23" s="522"/>
      <c r="J23" s="522"/>
      <c r="K23" s="522"/>
      <c r="L23" s="522"/>
      <c r="M23" s="522"/>
      <c r="N23" s="522"/>
      <c r="O23" s="522"/>
      <c r="P23" s="522"/>
      <c r="Q23" s="522"/>
      <c r="R23" s="522"/>
      <c r="S23" s="524"/>
      <c r="T23" s="507"/>
      <c r="U23" s="522"/>
      <c r="V23" s="522"/>
      <c r="W23" s="522"/>
      <c r="X23" s="522"/>
      <c r="Y23" s="522"/>
      <c r="Z23" s="525"/>
      <c r="AA23" s="522"/>
      <c r="AB23" s="522"/>
      <c r="AC23" s="522"/>
      <c r="AD23" s="522"/>
      <c r="AE23" s="520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Y23" s="2"/>
    </row>
    <row r="24" spans="1:51" ht="21.6" x14ac:dyDescent="0.3">
      <c r="A24" s="24" t="s">
        <v>838</v>
      </c>
      <c r="B24" s="42"/>
      <c r="C24" s="41">
        <f t="shared" si="1"/>
        <v>190000000</v>
      </c>
      <c r="D24" s="41"/>
      <c r="E24" s="520"/>
      <c r="F24" s="522"/>
      <c r="G24" s="523"/>
      <c r="H24" s="522"/>
      <c r="I24" s="522"/>
      <c r="J24" s="522"/>
      <c r="K24" s="522"/>
      <c r="L24" s="522"/>
      <c r="M24" s="522"/>
      <c r="N24" s="522"/>
      <c r="O24" s="522"/>
      <c r="P24" s="522"/>
      <c r="Q24" s="522"/>
      <c r="R24" s="522"/>
      <c r="S24" s="524"/>
      <c r="T24" s="507">
        <v>190000000</v>
      </c>
      <c r="U24" s="522"/>
      <c r="V24" s="522"/>
      <c r="W24" s="522"/>
      <c r="X24" s="522"/>
      <c r="Y24" s="522"/>
      <c r="Z24" s="522"/>
      <c r="AA24" s="522"/>
      <c r="AB24" s="522"/>
      <c r="AC24" s="522"/>
      <c r="AD24" s="522"/>
      <c r="AE24" s="520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Y24" s="2"/>
    </row>
    <row r="25" spans="1:51" x14ac:dyDescent="0.3">
      <c r="A25" s="24" t="s">
        <v>839</v>
      </c>
      <c r="B25" s="42"/>
      <c r="C25" s="41">
        <f t="shared" si="1"/>
        <v>35000000</v>
      </c>
      <c r="D25" s="41"/>
      <c r="E25" s="520"/>
      <c r="F25" s="520"/>
      <c r="G25" s="523"/>
      <c r="H25" s="522"/>
      <c r="I25" s="522"/>
      <c r="J25" s="522"/>
      <c r="K25" s="522"/>
      <c r="L25" s="522"/>
      <c r="M25" s="522"/>
      <c r="N25" s="522"/>
      <c r="O25" s="522"/>
      <c r="P25" s="522"/>
      <c r="Q25" s="522"/>
      <c r="R25" s="522"/>
      <c r="S25" s="524"/>
      <c r="T25" s="507"/>
      <c r="U25" s="522"/>
      <c r="V25" s="522"/>
      <c r="W25" s="522">
        <v>35000000</v>
      </c>
      <c r="X25" s="522"/>
      <c r="Y25" s="522"/>
      <c r="Z25" s="522"/>
      <c r="AA25" s="522"/>
      <c r="AB25" s="522"/>
      <c r="AC25" s="522"/>
      <c r="AD25" s="522"/>
      <c r="AE25" s="520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Y25" s="2"/>
    </row>
    <row r="26" spans="1:51" ht="21.6" x14ac:dyDescent="0.3">
      <c r="A26" s="45" t="s">
        <v>840</v>
      </c>
      <c r="B26" s="46"/>
      <c r="C26" s="41">
        <f t="shared" si="1"/>
        <v>299147000</v>
      </c>
      <c r="D26" s="41"/>
      <c r="E26" s="520"/>
      <c r="F26" s="522"/>
      <c r="G26" s="523"/>
      <c r="H26" s="522"/>
      <c r="I26" s="522"/>
      <c r="J26" s="522"/>
      <c r="K26" s="522"/>
      <c r="L26" s="522"/>
      <c r="M26" s="522"/>
      <c r="N26" s="522"/>
      <c r="O26" s="522"/>
      <c r="P26" s="522"/>
      <c r="Q26" s="522"/>
      <c r="R26" s="522"/>
      <c r="S26" s="524"/>
      <c r="T26" s="507"/>
      <c r="U26" s="522"/>
      <c r="V26" s="522"/>
      <c r="W26" s="522"/>
      <c r="X26" s="522"/>
      <c r="Y26" s="522">
        <v>299147000</v>
      </c>
      <c r="Z26" s="522"/>
      <c r="AA26" s="522"/>
      <c r="AB26" s="522"/>
      <c r="AC26" s="522"/>
      <c r="AD26" s="522"/>
      <c r="AE26" s="520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Y26" s="2"/>
    </row>
    <row r="27" spans="1:51" x14ac:dyDescent="0.3">
      <c r="A27" s="24" t="s">
        <v>841</v>
      </c>
      <c r="B27" s="42"/>
      <c r="C27" s="41">
        <f t="shared" si="1"/>
        <v>21500000</v>
      </c>
      <c r="D27" s="41"/>
      <c r="E27" s="520"/>
      <c r="F27" s="522"/>
      <c r="G27" s="523"/>
      <c r="H27" s="522"/>
      <c r="I27" s="522"/>
      <c r="J27" s="522"/>
      <c r="K27" s="522"/>
      <c r="L27" s="522"/>
      <c r="M27" s="522"/>
      <c r="N27" s="522">
        <v>21500000</v>
      </c>
      <c r="O27" s="522"/>
      <c r="P27" s="522"/>
      <c r="Q27" s="522"/>
      <c r="R27" s="522"/>
      <c r="S27" s="524"/>
      <c r="T27" s="507"/>
      <c r="U27" s="522"/>
      <c r="V27" s="522"/>
      <c r="W27" s="522"/>
      <c r="X27" s="522"/>
      <c r="Y27" s="522"/>
      <c r="Z27" s="522"/>
      <c r="AA27" s="522"/>
      <c r="AB27" s="522"/>
      <c r="AC27" s="522"/>
      <c r="AD27" s="522"/>
      <c r="AE27" s="520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Y27" s="2"/>
    </row>
    <row r="28" spans="1:51" x14ac:dyDescent="0.3">
      <c r="A28" s="38" t="s">
        <v>842</v>
      </c>
      <c r="B28" s="43"/>
      <c r="C28" s="41">
        <f t="shared" si="1"/>
        <v>40500000</v>
      </c>
      <c r="D28" s="41">
        <f>SUM(F28:J28)</f>
        <v>33500000</v>
      </c>
      <c r="E28" s="522"/>
      <c r="F28" s="522">
        <v>1000000</v>
      </c>
      <c r="G28" s="523"/>
      <c r="H28" s="522"/>
      <c r="I28" s="522">
        <v>25500000</v>
      </c>
      <c r="J28" s="522">
        <v>7000000</v>
      </c>
      <c r="K28" s="522"/>
      <c r="L28" s="522"/>
      <c r="M28" s="522"/>
      <c r="N28" s="33"/>
      <c r="O28" s="522"/>
      <c r="P28" s="522"/>
      <c r="Q28" s="522"/>
      <c r="R28" s="522"/>
      <c r="S28" s="524"/>
      <c r="T28" s="507">
        <v>3000000</v>
      </c>
      <c r="U28" s="522"/>
      <c r="V28" s="522"/>
      <c r="W28" s="522"/>
      <c r="X28" s="522"/>
      <c r="Y28" s="522"/>
      <c r="Z28" s="522"/>
      <c r="AA28" s="522"/>
      <c r="AB28" s="522"/>
      <c r="AC28" s="522"/>
      <c r="AD28" s="522"/>
      <c r="AE28" s="522"/>
      <c r="AF28" s="33"/>
      <c r="AG28" s="33"/>
      <c r="AH28" s="33"/>
      <c r="AI28" s="33"/>
      <c r="AJ28" s="522">
        <v>4000000</v>
      </c>
      <c r="AK28" s="33"/>
      <c r="AL28" s="33"/>
      <c r="AM28" s="33"/>
      <c r="AN28" s="33"/>
      <c r="AO28" s="33"/>
      <c r="AP28" s="33"/>
      <c r="AY28" s="2"/>
    </row>
    <row r="29" spans="1:51" x14ac:dyDescent="0.3">
      <c r="A29" s="24" t="s">
        <v>843</v>
      </c>
      <c r="B29" s="42"/>
      <c r="C29" s="41">
        <f t="shared" si="1"/>
        <v>20000000</v>
      </c>
      <c r="D29" s="41">
        <f>+C29</f>
        <v>20000000</v>
      </c>
      <c r="E29" s="522"/>
      <c r="F29" s="522"/>
      <c r="G29" s="523"/>
      <c r="H29" s="522"/>
      <c r="I29" s="522"/>
      <c r="J29" s="522"/>
      <c r="K29" s="522"/>
      <c r="L29" s="522"/>
      <c r="M29" s="522"/>
      <c r="N29" s="522"/>
      <c r="O29" s="522"/>
      <c r="P29" s="522"/>
      <c r="Q29" s="522"/>
      <c r="R29" s="522"/>
      <c r="S29" s="524"/>
      <c r="T29" s="507"/>
      <c r="U29" s="522"/>
      <c r="V29" s="522">
        <v>20000000</v>
      </c>
      <c r="W29" s="522"/>
      <c r="X29" s="522"/>
      <c r="Y29" s="522"/>
      <c r="Z29" s="522"/>
      <c r="AA29" s="522"/>
      <c r="AB29" s="522"/>
      <c r="AC29" s="522"/>
      <c r="AD29" s="522"/>
      <c r="AE29" s="522"/>
      <c r="AF29" s="33"/>
      <c r="AG29" s="33"/>
      <c r="AH29" s="33"/>
      <c r="AI29" s="33"/>
      <c r="AJ29" s="33"/>
      <c r="AK29" s="33"/>
      <c r="AL29" s="33"/>
      <c r="AM29" s="33"/>
      <c r="AN29" s="33"/>
      <c r="AO29" s="33"/>
      <c r="AP29" s="33"/>
      <c r="AY29" s="2"/>
    </row>
    <row r="30" spans="1:51" ht="20.399999999999999" x14ac:dyDescent="0.3">
      <c r="A30" s="38" t="s">
        <v>844</v>
      </c>
      <c r="B30" s="43"/>
      <c r="C30" s="41">
        <f t="shared" si="1"/>
        <v>190042000</v>
      </c>
      <c r="D30" s="41"/>
      <c r="E30" s="522"/>
      <c r="F30" s="522"/>
      <c r="G30" s="523"/>
      <c r="H30" s="522"/>
      <c r="I30" s="522"/>
      <c r="J30" s="522"/>
      <c r="K30" s="522"/>
      <c r="L30" s="522"/>
      <c r="M30" s="522"/>
      <c r="N30" s="522"/>
      <c r="O30" s="522">
        <f>+Q2</f>
        <v>179994359</v>
      </c>
      <c r="P30" s="522"/>
      <c r="Q30" s="522">
        <f>+R2</f>
        <v>10047641</v>
      </c>
      <c r="R30" s="522"/>
      <c r="S30" s="526"/>
      <c r="T30" s="522"/>
      <c r="U30" s="522"/>
      <c r="V30" s="522"/>
      <c r="W30" s="522"/>
      <c r="X30" s="522"/>
      <c r="Y30" s="522"/>
      <c r="Z30" s="522"/>
      <c r="AA30" s="522"/>
      <c r="AB30" s="522"/>
      <c r="AC30" s="522"/>
      <c r="AD30" s="522"/>
      <c r="AE30" s="522"/>
      <c r="AF30" s="33"/>
      <c r="AG30" s="33"/>
      <c r="AH30" s="33"/>
      <c r="AI30" s="33"/>
      <c r="AJ30" s="33"/>
      <c r="AK30" s="33"/>
      <c r="AL30" s="33"/>
      <c r="AM30" s="33"/>
      <c r="AN30" s="33"/>
      <c r="AO30" s="33"/>
      <c r="AP30" s="33"/>
      <c r="AY30" s="2"/>
    </row>
    <row r="31" spans="1:51" x14ac:dyDescent="0.3">
      <c r="A31" s="47"/>
      <c r="B31" s="43"/>
      <c r="C31" s="509"/>
      <c r="D31" s="41"/>
      <c r="E31" s="520"/>
      <c r="F31" s="520"/>
      <c r="G31" s="520"/>
      <c r="H31" s="520"/>
      <c r="I31" s="520"/>
      <c r="J31" s="520"/>
      <c r="K31" s="520"/>
      <c r="L31" s="520"/>
      <c r="M31" s="520"/>
      <c r="N31" s="520"/>
      <c r="O31" s="520"/>
      <c r="P31" s="520"/>
      <c r="Q31" s="520"/>
      <c r="R31" s="520"/>
      <c r="S31" s="527"/>
      <c r="T31" s="520"/>
      <c r="U31" s="48"/>
      <c r="V31" s="520"/>
      <c r="W31" s="520"/>
      <c r="X31" s="520"/>
      <c r="Y31" s="520"/>
      <c r="Z31" s="520"/>
      <c r="AA31" s="520"/>
      <c r="AB31" s="520"/>
      <c r="AC31" s="520"/>
      <c r="AD31" s="520"/>
      <c r="AE31" s="520"/>
      <c r="AF31" s="513"/>
      <c r="AG31" s="520"/>
      <c r="AH31" s="513"/>
      <c r="AI31" s="513"/>
      <c r="AJ31" s="513"/>
      <c r="AK31" s="48"/>
      <c r="AL31" s="48"/>
      <c r="AM31" s="513"/>
      <c r="AN31" s="33"/>
      <c r="AO31" s="33"/>
      <c r="AP31" s="33"/>
      <c r="AY31" s="2"/>
    </row>
    <row r="32" spans="1:51" x14ac:dyDescent="0.3">
      <c r="A32" s="24" t="s">
        <v>793</v>
      </c>
      <c r="B32" s="42"/>
      <c r="C32" s="41">
        <f t="shared" si="1"/>
        <v>53747000</v>
      </c>
      <c r="D32" s="41">
        <f>SUM(E32:M32)+Z32+AA32</f>
        <v>26603269</v>
      </c>
      <c r="E32" s="520">
        <v>3273384</v>
      </c>
      <c r="F32" s="522">
        <v>11432572</v>
      </c>
      <c r="G32" s="523">
        <v>2646003</v>
      </c>
      <c r="H32" s="522">
        <v>1735680</v>
      </c>
      <c r="I32" s="522">
        <v>1773648</v>
      </c>
      <c r="J32" s="522">
        <v>675288</v>
      </c>
      <c r="K32" s="522">
        <v>1709916</v>
      </c>
      <c r="L32" s="522">
        <v>1607538</v>
      </c>
      <c r="M32" s="522"/>
      <c r="N32" s="522"/>
      <c r="O32" s="522">
        <v>1033272</v>
      </c>
      <c r="P32" s="522"/>
      <c r="Q32" s="522"/>
      <c r="R32" s="522">
        <v>15724809</v>
      </c>
      <c r="S32" s="526"/>
      <c r="T32" s="522">
        <v>6160354</v>
      </c>
      <c r="U32" s="522"/>
      <c r="V32" s="522"/>
      <c r="W32" s="522"/>
      <c r="X32" s="522"/>
      <c r="Y32" s="522"/>
      <c r="Z32" s="522">
        <v>946488</v>
      </c>
      <c r="AA32" s="522">
        <v>802752</v>
      </c>
      <c r="AB32" s="522">
        <v>1307184</v>
      </c>
      <c r="AC32" s="522">
        <v>151872</v>
      </c>
      <c r="AD32" s="522"/>
      <c r="AE32" s="522"/>
      <c r="AF32" s="33"/>
      <c r="AG32" s="33"/>
      <c r="AH32" s="33"/>
      <c r="AI32" s="33"/>
      <c r="AJ32" s="33"/>
      <c r="AK32" s="33"/>
      <c r="AL32" s="33"/>
      <c r="AM32" s="513">
        <v>2766240</v>
      </c>
      <c r="AN32" s="33"/>
      <c r="AO32" s="33"/>
      <c r="AP32" s="33"/>
      <c r="AY32" s="2"/>
    </row>
    <row r="33" spans="1:51" x14ac:dyDescent="0.3">
      <c r="A33" s="38" t="s">
        <v>845</v>
      </c>
      <c r="B33" s="43"/>
      <c r="C33" s="41">
        <f t="shared" si="1"/>
        <v>0</v>
      </c>
      <c r="D33" s="41">
        <f>+C33</f>
        <v>0</v>
      </c>
      <c r="E33" s="522"/>
      <c r="F33" s="522"/>
      <c r="G33" s="523"/>
      <c r="H33" s="522"/>
      <c r="I33" s="522"/>
      <c r="J33" s="522"/>
      <c r="K33" s="522"/>
      <c r="L33" s="522"/>
      <c r="M33" s="522"/>
      <c r="N33" s="522"/>
      <c r="O33" s="522"/>
      <c r="P33" s="522"/>
      <c r="Q33" s="522"/>
      <c r="R33" s="522"/>
      <c r="S33" s="526"/>
      <c r="T33" s="522"/>
      <c r="U33" s="522"/>
      <c r="V33" s="522"/>
      <c r="W33" s="522"/>
      <c r="X33" s="522"/>
      <c r="Y33" s="522"/>
      <c r="Z33" s="522"/>
      <c r="AA33" s="522"/>
      <c r="AB33" s="522"/>
      <c r="AC33" s="522"/>
      <c r="AD33" s="522"/>
      <c r="AE33" s="522"/>
      <c r="AF33" s="33"/>
      <c r="AG33" s="33"/>
      <c r="AH33" s="33"/>
      <c r="AI33" s="33"/>
      <c r="AJ33" s="33"/>
      <c r="AK33" s="33"/>
      <c r="AL33" s="33"/>
      <c r="AM33" s="33"/>
      <c r="AN33" s="33"/>
      <c r="AO33" s="33"/>
      <c r="AP33" s="33"/>
      <c r="AY33" s="2"/>
    </row>
    <row r="34" spans="1:51" x14ac:dyDescent="0.3">
      <c r="A34" s="38" t="s">
        <v>3704</v>
      </c>
      <c r="B34" s="43"/>
      <c r="C34" s="41">
        <f t="shared" si="1"/>
        <v>124926554</v>
      </c>
      <c r="D34" s="41"/>
      <c r="E34" s="522">
        <v>8463162</v>
      </c>
      <c r="F34" s="522">
        <f>23701735+5499778</f>
        <v>29201513</v>
      </c>
      <c r="G34" s="523">
        <v>6374477</v>
      </c>
      <c r="H34" s="522">
        <v>4558839</v>
      </c>
      <c r="I34" s="522">
        <v>6573399</v>
      </c>
      <c r="J34" s="522">
        <v>1865872</v>
      </c>
      <c r="K34" s="522">
        <v>4738157</v>
      </c>
      <c r="L34" s="522">
        <v>3815923</v>
      </c>
      <c r="M34" s="522">
        <v>686516</v>
      </c>
      <c r="N34" s="522"/>
      <c r="O34" s="522">
        <f>792490+1618540</f>
        <v>2411030</v>
      </c>
      <c r="P34" s="522"/>
      <c r="Q34" s="522"/>
      <c r="R34" s="522">
        <f>39904029+4024846</f>
        <v>43928875</v>
      </c>
      <c r="S34" s="526"/>
      <c r="T34" s="522">
        <v>526783</v>
      </c>
      <c r="U34" s="522"/>
      <c r="V34" s="522"/>
      <c r="W34" s="522"/>
      <c r="X34" s="522"/>
      <c r="Y34" s="522"/>
      <c r="Z34" s="522">
        <v>708960</v>
      </c>
      <c r="AA34" s="522">
        <v>1654836</v>
      </c>
      <c r="AB34" s="522">
        <v>2251677</v>
      </c>
      <c r="AC34" s="522">
        <v>509879</v>
      </c>
      <c r="AD34" s="522"/>
      <c r="AE34" s="522"/>
      <c r="AF34" s="33"/>
      <c r="AG34" s="33"/>
      <c r="AH34" s="33"/>
      <c r="AI34" s="33"/>
      <c r="AJ34" s="33"/>
      <c r="AK34" s="504">
        <f>1153728+238656</f>
        <v>1392384</v>
      </c>
      <c r="AL34" s="33"/>
      <c r="AM34" s="513">
        <v>5264272</v>
      </c>
      <c r="AN34" s="33"/>
      <c r="AO34" s="33"/>
      <c r="AP34" s="33"/>
      <c r="AY34" s="2"/>
    </row>
    <row r="35" spans="1:51" x14ac:dyDescent="0.3">
      <c r="A35" s="38" t="s">
        <v>846</v>
      </c>
      <c r="B35" s="43"/>
      <c r="C35" s="41">
        <f t="shared" si="1"/>
        <v>83200000</v>
      </c>
      <c r="D35" s="41">
        <f>+C35</f>
        <v>83200000</v>
      </c>
      <c r="E35" s="522"/>
      <c r="F35" s="522"/>
      <c r="G35" s="523"/>
      <c r="H35" s="522"/>
      <c r="I35" s="522"/>
      <c r="J35" s="522"/>
      <c r="K35" s="528">
        <v>83200000</v>
      </c>
      <c r="L35" s="522"/>
      <c r="M35" s="522"/>
      <c r="N35" s="522"/>
      <c r="O35" s="522"/>
      <c r="P35" s="522"/>
      <c r="Q35" s="522"/>
      <c r="R35" s="522"/>
      <c r="S35" s="526"/>
      <c r="T35" s="522"/>
      <c r="U35" s="522"/>
      <c r="V35" s="522"/>
      <c r="W35" s="522"/>
      <c r="X35" s="522"/>
      <c r="Y35" s="522"/>
      <c r="Z35" s="522"/>
      <c r="AA35" s="522"/>
      <c r="AB35" s="522"/>
      <c r="AC35" s="522"/>
      <c r="AD35" s="522"/>
      <c r="AE35" s="522"/>
      <c r="AF35" s="33"/>
      <c r="AG35" s="33"/>
      <c r="AH35" s="33"/>
      <c r="AI35" s="33"/>
      <c r="AJ35" s="33"/>
      <c r="AK35" s="33"/>
      <c r="AL35" s="33"/>
      <c r="AM35" s="33"/>
      <c r="AN35" s="33"/>
      <c r="AO35" s="33"/>
      <c r="AP35" s="33"/>
      <c r="AY35" s="2"/>
    </row>
    <row r="36" spans="1:51" x14ac:dyDescent="0.3">
      <c r="A36" s="38" t="s">
        <v>847</v>
      </c>
      <c r="B36" s="49"/>
      <c r="C36" s="41">
        <f t="shared" si="1"/>
        <v>0</v>
      </c>
      <c r="D36" s="41">
        <f>+C36</f>
        <v>0</v>
      </c>
      <c r="E36" s="522"/>
      <c r="F36" s="522">
        <v>0</v>
      </c>
      <c r="G36" s="523"/>
      <c r="H36" s="522"/>
      <c r="I36" s="522"/>
      <c r="J36" s="522"/>
      <c r="K36" s="522"/>
      <c r="L36" s="522"/>
      <c r="M36" s="522"/>
      <c r="N36" s="522"/>
      <c r="O36" s="522"/>
      <c r="P36" s="522"/>
      <c r="Q36" s="522"/>
      <c r="R36" s="522"/>
      <c r="S36" s="526"/>
      <c r="T36" s="522"/>
      <c r="U36" s="522"/>
      <c r="V36" s="522"/>
      <c r="W36" s="522"/>
      <c r="X36" s="522"/>
      <c r="Y36" s="522"/>
      <c r="Z36" s="522"/>
      <c r="AA36" s="522"/>
      <c r="AB36" s="522"/>
      <c r="AC36" s="522"/>
      <c r="AD36" s="522"/>
      <c r="AE36" s="522"/>
      <c r="AF36" s="33"/>
      <c r="AG36" s="33"/>
      <c r="AH36" s="33"/>
      <c r="AI36" s="33"/>
      <c r="AJ36" s="33"/>
      <c r="AK36" s="33"/>
      <c r="AL36" s="21"/>
      <c r="AM36" s="21"/>
      <c r="AN36" s="21"/>
      <c r="AO36" s="21"/>
      <c r="AP36" s="21"/>
      <c r="AY36" s="2"/>
    </row>
    <row r="37" spans="1:51" x14ac:dyDescent="0.3">
      <c r="A37" s="38" t="s">
        <v>848</v>
      </c>
      <c r="B37" s="43"/>
      <c r="C37" s="41">
        <f t="shared" si="1"/>
        <v>18700000</v>
      </c>
      <c r="D37" s="41"/>
      <c r="E37" s="522"/>
      <c r="F37" s="522"/>
      <c r="G37" s="523"/>
      <c r="H37" s="522"/>
      <c r="I37" s="522"/>
      <c r="J37" s="522"/>
      <c r="K37" s="522"/>
      <c r="L37" s="522"/>
      <c r="M37" s="522"/>
      <c r="N37" s="522"/>
      <c r="O37" s="522"/>
      <c r="P37" s="522"/>
      <c r="Q37" s="522"/>
      <c r="R37" s="522"/>
      <c r="S37" s="526"/>
      <c r="T37" s="522">
        <v>18700000</v>
      </c>
      <c r="U37" s="522"/>
      <c r="V37" s="522"/>
      <c r="W37" s="522"/>
      <c r="X37" s="522"/>
      <c r="Y37" s="522"/>
      <c r="Z37" s="522"/>
      <c r="AA37" s="522"/>
      <c r="AB37" s="522"/>
      <c r="AC37" s="522"/>
      <c r="AD37" s="522"/>
      <c r="AE37" s="522"/>
      <c r="AF37" s="33"/>
      <c r="AG37" s="33"/>
      <c r="AH37" s="33"/>
      <c r="AI37" s="33"/>
      <c r="AJ37" s="33"/>
      <c r="AK37" s="33"/>
      <c r="AL37" s="21"/>
      <c r="AM37" s="21"/>
      <c r="AN37" s="21"/>
      <c r="AO37" s="21"/>
      <c r="AP37" s="21"/>
      <c r="AY37" s="2"/>
    </row>
    <row r="38" spans="1:51" ht="20.399999999999999" x14ac:dyDescent="0.3">
      <c r="A38" s="38" t="s">
        <v>849</v>
      </c>
      <c r="B38" s="43"/>
      <c r="C38" s="41">
        <f t="shared" si="1"/>
        <v>0</v>
      </c>
      <c r="D38" s="41">
        <f>+C38</f>
        <v>0</v>
      </c>
      <c r="E38" s="522"/>
      <c r="F38" s="522">
        <v>0</v>
      </c>
      <c r="G38" s="523"/>
      <c r="H38" s="522"/>
      <c r="I38" s="522"/>
      <c r="J38" s="522"/>
      <c r="K38" s="522"/>
      <c r="L38" s="522"/>
      <c r="M38" s="522"/>
      <c r="N38" s="522"/>
      <c r="O38" s="522"/>
      <c r="P38" s="522"/>
      <c r="Q38" s="522"/>
      <c r="R38" s="522"/>
      <c r="S38" s="526"/>
      <c r="T38" s="522"/>
      <c r="U38" s="522"/>
      <c r="V38" s="522"/>
      <c r="W38" s="522"/>
      <c r="X38" s="522"/>
      <c r="Y38" s="522"/>
      <c r="Z38" s="522"/>
      <c r="AA38" s="522"/>
      <c r="AB38" s="522"/>
      <c r="AC38" s="522"/>
      <c r="AD38" s="522"/>
      <c r="AE38" s="522"/>
      <c r="AF38" s="33"/>
      <c r="AG38" s="33"/>
      <c r="AH38" s="33"/>
      <c r="AI38" s="33"/>
      <c r="AJ38" s="33"/>
      <c r="AK38" s="33"/>
      <c r="AL38" s="21"/>
      <c r="AM38" s="21"/>
      <c r="AN38" s="21"/>
      <c r="AO38" s="21"/>
      <c r="AP38" s="21"/>
      <c r="AY38" s="2"/>
    </row>
    <row r="39" spans="1:51" x14ac:dyDescent="0.3">
      <c r="C39" s="3"/>
      <c r="E39" s="50">
        <f t="shared" ref="E39:AA39" si="2">SUM(E17:E38)</f>
        <v>11736546</v>
      </c>
      <c r="F39" s="50">
        <f t="shared" si="2"/>
        <v>251949894</v>
      </c>
      <c r="G39" s="50">
        <f t="shared" si="2"/>
        <v>9020480</v>
      </c>
      <c r="H39" s="50">
        <f t="shared" si="2"/>
        <v>6294519</v>
      </c>
      <c r="I39" s="50">
        <f t="shared" si="2"/>
        <v>33847047</v>
      </c>
      <c r="J39" s="50">
        <f t="shared" si="2"/>
        <v>9541160</v>
      </c>
      <c r="K39" s="50">
        <f t="shared" si="2"/>
        <v>97661910</v>
      </c>
      <c r="L39" s="50">
        <f t="shared" si="2"/>
        <v>15562254</v>
      </c>
      <c r="M39" s="50">
        <f t="shared" si="2"/>
        <v>686516</v>
      </c>
      <c r="N39" s="50">
        <f t="shared" si="2"/>
        <v>56031561</v>
      </c>
      <c r="O39" s="50">
        <f t="shared" si="2"/>
        <v>183438661</v>
      </c>
      <c r="P39" s="50">
        <f t="shared" si="2"/>
        <v>0</v>
      </c>
      <c r="Q39" s="50">
        <f t="shared" si="2"/>
        <v>10047641</v>
      </c>
      <c r="R39" s="50">
        <f t="shared" si="2"/>
        <v>267751684</v>
      </c>
      <c r="S39" s="50">
        <f t="shared" si="2"/>
        <v>0</v>
      </c>
      <c r="T39" s="50">
        <f t="shared" si="2"/>
        <v>226887137</v>
      </c>
      <c r="U39" s="50">
        <f t="shared" si="2"/>
        <v>0</v>
      </c>
      <c r="V39" s="50">
        <f t="shared" si="2"/>
        <v>20000000</v>
      </c>
      <c r="W39" s="50">
        <f t="shared" si="2"/>
        <v>35000000</v>
      </c>
      <c r="X39" s="50">
        <f t="shared" si="2"/>
        <v>0</v>
      </c>
      <c r="Y39" s="50">
        <f t="shared" si="2"/>
        <v>299147000</v>
      </c>
      <c r="Z39" s="50">
        <f t="shared" si="2"/>
        <v>1655448</v>
      </c>
      <c r="AA39" s="50">
        <f t="shared" si="2"/>
        <v>2457588</v>
      </c>
      <c r="AB39" s="50"/>
      <c r="AC39" s="50">
        <f t="shared" ref="AC39:AH39" si="3">SUM(AC17:AC38)</f>
        <v>661751</v>
      </c>
      <c r="AD39" s="50">
        <f t="shared" si="3"/>
        <v>0</v>
      </c>
      <c r="AE39" s="50">
        <f t="shared" si="3"/>
        <v>0</v>
      </c>
      <c r="AF39" s="50">
        <f t="shared" si="3"/>
        <v>0</v>
      </c>
      <c r="AG39" s="50">
        <f t="shared" si="3"/>
        <v>0</v>
      </c>
      <c r="AH39" s="50">
        <f t="shared" si="3"/>
        <v>0</v>
      </c>
      <c r="AI39" s="50"/>
      <c r="AJ39" s="50">
        <f>SUM(AJ17:AJ38)</f>
        <v>4000000</v>
      </c>
      <c r="AK39" s="50">
        <f>SUM(AK17:AK38)</f>
        <v>1392384</v>
      </c>
      <c r="AL39" s="51"/>
      <c r="AM39" s="51"/>
      <c r="AN39" s="51"/>
      <c r="AO39" s="51"/>
      <c r="AP39" s="51"/>
      <c r="AY39" s="2"/>
    </row>
    <row r="40" spans="1:51" x14ac:dyDescent="0.3">
      <c r="A40" s="52" t="s">
        <v>850</v>
      </c>
      <c r="C40" s="53">
        <f>SUM(C6:C38)</f>
        <v>4097346499</v>
      </c>
      <c r="D40" s="54"/>
      <c r="E40" s="55">
        <f t="shared" ref="E40:AH40" si="4">SUM(E6:E38)</f>
        <v>131168089</v>
      </c>
      <c r="F40" s="55">
        <f t="shared" si="4"/>
        <v>1148189076.0078604</v>
      </c>
      <c r="G40" s="55">
        <f>SUM(G6:G38)</f>
        <v>153157041</v>
      </c>
      <c r="H40" s="55">
        <f t="shared" si="4"/>
        <v>115425985.2918288</v>
      </c>
      <c r="I40" s="55">
        <f t="shared" si="4"/>
        <v>557036172</v>
      </c>
      <c r="J40" s="55">
        <f t="shared" si="4"/>
        <v>114414367</v>
      </c>
      <c r="K40" s="55">
        <f t="shared" si="4"/>
        <v>181739660</v>
      </c>
      <c r="L40" s="55">
        <f t="shared" si="4"/>
        <v>133820539.03012581</v>
      </c>
      <c r="M40" s="55">
        <f t="shared" si="4"/>
        <v>5488403</v>
      </c>
      <c r="N40" s="55">
        <f t="shared" si="4"/>
        <v>278073411.67018491</v>
      </c>
      <c r="O40" s="55">
        <f t="shared" si="4"/>
        <v>192228308</v>
      </c>
      <c r="P40" s="55">
        <f t="shared" si="4"/>
        <v>44388387</v>
      </c>
      <c r="Q40" s="55">
        <f t="shared" si="4"/>
        <v>10047641</v>
      </c>
      <c r="R40" s="55">
        <f t="shared" si="4"/>
        <v>277730315</v>
      </c>
      <c r="S40" s="55">
        <f t="shared" si="4"/>
        <v>0</v>
      </c>
      <c r="T40" s="55">
        <f t="shared" si="4"/>
        <v>235220006</v>
      </c>
      <c r="U40" s="55">
        <f t="shared" si="4"/>
        <v>3703594</v>
      </c>
      <c r="V40" s="55">
        <f t="shared" si="4"/>
        <v>20000000</v>
      </c>
      <c r="W40" s="55">
        <f t="shared" si="4"/>
        <v>101873544</v>
      </c>
      <c r="X40" s="55">
        <f t="shared" si="4"/>
        <v>12208823</v>
      </c>
      <c r="Y40" s="55">
        <f t="shared" si="4"/>
        <v>299147000</v>
      </c>
      <c r="Z40" s="55">
        <f t="shared" si="4"/>
        <v>3395676</v>
      </c>
      <c r="AA40" s="55">
        <f t="shared" si="4"/>
        <v>5571830</v>
      </c>
      <c r="AB40" s="55">
        <f t="shared" si="4"/>
        <v>3861735</v>
      </c>
      <c r="AC40" s="55">
        <f t="shared" si="4"/>
        <v>4816473</v>
      </c>
      <c r="AD40" s="55">
        <f t="shared" si="4"/>
        <v>694714</v>
      </c>
      <c r="AE40" s="55">
        <f t="shared" si="4"/>
        <v>4615758</v>
      </c>
      <c r="AF40" s="55">
        <f t="shared" si="4"/>
        <v>24482975</v>
      </c>
      <c r="AG40" s="55">
        <f t="shared" si="4"/>
        <v>2800203</v>
      </c>
      <c r="AH40" s="55">
        <f t="shared" si="4"/>
        <v>6527000</v>
      </c>
      <c r="AI40" s="55"/>
      <c r="AJ40" s="55">
        <f t="shared" ref="AJ40:AP40" si="5">SUM(AJ6:AJ38)</f>
        <v>4000000</v>
      </c>
      <c r="AK40" s="55">
        <f t="shared" si="5"/>
        <v>5093884</v>
      </c>
      <c r="AL40" s="55">
        <f t="shared" si="5"/>
        <v>788062</v>
      </c>
      <c r="AM40" s="55">
        <f t="shared" si="5"/>
        <v>9217102</v>
      </c>
      <c r="AN40" s="55">
        <f t="shared" si="5"/>
        <v>805183</v>
      </c>
      <c r="AO40" s="55">
        <f t="shared" si="5"/>
        <v>5615542</v>
      </c>
      <c r="AP40" s="55">
        <f t="shared" si="5"/>
        <v>0</v>
      </c>
    </row>
    <row r="41" spans="1:51" x14ac:dyDescent="0.3">
      <c r="A41" s="52" t="s">
        <v>851</v>
      </c>
      <c r="C41" s="529">
        <f>SUM(E41:AO41)</f>
        <v>2377077499</v>
      </c>
      <c r="D41" s="56"/>
      <c r="E41" s="57">
        <f t="shared" ref="E41:AH41" si="6">+E40-E16</f>
        <v>21854146</v>
      </c>
      <c r="F41" s="57">
        <f t="shared" si="6"/>
        <v>547724595.00786042</v>
      </c>
      <c r="G41" s="57">
        <f>+G40-G16</f>
        <v>13930047</v>
      </c>
      <c r="H41" s="57">
        <f t="shared" si="6"/>
        <v>28229823.291828796</v>
      </c>
      <c r="I41" s="57">
        <f t="shared" si="6"/>
        <v>140477710</v>
      </c>
      <c r="J41" s="57">
        <f t="shared" si="6"/>
        <v>13269867</v>
      </c>
      <c r="K41" s="57">
        <f t="shared" si="6"/>
        <v>106870419</v>
      </c>
      <c r="L41" s="57">
        <f t="shared" si="6"/>
        <v>69830031.030125812</v>
      </c>
      <c r="M41" s="57">
        <f t="shared" si="6"/>
        <v>686516</v>
      </c>
      <c r="N41" s="57">
        <f t="shared" si="6"/>
        <v>198236411.67018491</v>
      </c>
      <c r="O41" s="57">
        <f t="shared" si="6"/>
        <v>190856171</v>
      </c>
      <c r="P41" s="57">
        <f t="shared" si="6"/>
        <v>44388387</v>
      </c>
      <c r="Q41" s="57">
        <f t="shared" si="6"/>
        <v>10047641</v>
      </c>
      <c r="R41" s="57">
        <f t="shared" si="6"/>
        <v>277730315</v>
      </c>
      <c r="S41" s="57">
        <f t="shared" si="6"/>
        <v>0</v>
      </c>
      <c r="T41" s="57">
        <f t="shared" si="6"/>
        <v>235220006</v>
      </c>
      <c r="U41" s="57">
        <f t="shared" si="6"/>
        <v>3703594</v>
      </c>
      <c r="V41" s="57">
        <f t="shared" si="6"/>
        <v>20000000</v>
      </c>
      <c r="W41" s="57">
        <f t="shared" si="6"/>
        <v>101873544</v>
      </c>
      <c r="X41" s="57">
        <f t="shared" si="6"/>
        <v>12208823</v>
      </c>
      <c r="Y41" s="57">
        <f t="shared" si="6"/>
        <v>299147000</v>
      </c>
      <c r="Z41" s="57">
        <f t="shared" si="6"/>
        <v>3395676</v>
      </c>
      <c r="AA41" s="57">
        <f t="shared" si="6"/>
        <v>4019705</v>
      </c>
      <c r="AB41" s="57">
        <f t="shared" si="6"/>
        <v>3861735</v>
      </c>
      <c r="AC41" s="57">
        <f t="shared" si="6"/>
        <v>2931750</v>
      </c>
      <c r="AD41" s="57">
        <f t="shared" si="6"/>
        <v>0</v>
      </c>
      <c r="AE41" s="57">
        <f t="shared" si="6"/>
        <v>423635</v>
      </c>
      <c r="AF41" s="57">
        <f t="shared" si="6"/>
        <v>403975</v>
      </c>
      <c r="AG41" s="57">
        <f t="shared" si="6"/>
        <v>236203</v>
      </c>
      <c r="AH41" s="57">
        <f t="shared" si="6"/>
        <v>0</v>
      </c>
      <c r="AI41" s="57"/>
      <c r="AJ41" s="57">
        <f t="shared" ref="AJ41:AP41" si="7">+AJ40-AJ16</f>
        <v>4000000</v>
      </c>
      <c r="AK41" s="57">
        <f t="shared" si="7"/>
        <v>5093884</v>
      </c>
      <c r="AL41" s="57">
        <f t="shared" si="7"/>
        <v>788062</v>
      </c>
      <c r="AM41" s="57">
        <f t="shared" si="7"/>
        <v>9217102</v>
      </c>
      <c r="AN41" s="57">
        <f t="shared" si="7"/>
        <v>805183</v>
      </c>
      <c r="AO41" s="57">
        <f t="shared" si="7"/>
        <v>5615542</v>
      </c>
      <c r="AP41" s="57">
        <f t="shared" si="7"/>
        <v>0</v>
      </c>
    </row>
    <row r="42" spans="1:51" ht="20.399999999999999" x14ac:dyDescent="0.3">
      <c r="A42" s="530" t="s">
        <v>3705</v>
      </c>
      <c r="B42" s="531"/>
      <c r="C42" s="532">
        <f>SUM(E42:AO42)</f>
        <v>2299642554</v>
      </c>
      <c r="D42" s="533"/>
      <c r="E42" s="534">
        <f t="shared" ref="E42:AO42" si="8">+E41-E15</f>
        <v>21028794</v>
      </c>
      <c r="F42" s="534">
        <f t="shared" si="8"/>
        <v>535535737.00786042</v>
      </c>
      <c r="G42" s="534">
        <f>+G41-G15</f>
        <v>12455849</v>
      </c>
      <c r="H42" s="534">
        <f t="shared" si="8"/>
        <v>27046487.291828796</v>
      </c>
      <c r="I42" s="534">
        <f t="shared" si="8"/>
        <v>132969990</v>
      </c>
      <c r="J42" s="534">
        <f t="shared" si="8"/>
        <v>11860305</v>
      </c>
      <c r="K42" s="534">
        <f t="shared" si="8"/>
        <v>106194227</v>
      </c>
      <c r="L42" s="534">
        <f t="shared" si="8"/>
        <v>67321657.030125812</v>
      </c>
      <c r="M42" s="534">
        <f t="shared" si="8"/>
        <v>686516</v>
      </c>
      <c r="N42" s="534">
        <f t="shared" si="8"/>
        <v>198013265.67018491</v>
      </c>
      <c r="O42" s="534">
        <f t="shared" si="8"/>
        <v>190709497</v>
      </c>
      <c r="P42" s="534">
        <f t="shared" si="8"/>
        <v>44312564</v>
      </c>
      <c r="Q42" s="534">
        <f t="shared" si="8"/>
        <v>10047641</v>
      </c>
      <c r="R42" s="534">
        <f t="shared" si="8"/>
        <v>277730315</v>
      </c>
      <c r="S42" s="534">
        <f t="shared" si="8"/>
        <v>0</v>
      </c>
      <c r="T42" s="534">
        <f t="shared" si="8"/>
        <v>234927307</v>
      </c>
      <c r="U42" s="534">
        <f t="shared" si="8"/>
        <v>3703594</v>
      </c>
      <c r="V42" s="534">
        <f t="shared" si="8"/>
        <v>20000000</v>
      </c>
      <c r="W42" s="534">
        <f t="shared" si="8"/>
        <v>65380210</v>
      </c>
      <c r="X42" s="534">
        <f t="shared" si="8"/>
        <v>5709499</v>
      </c>
      <c r="Y42" s="534">
        <f t="shared" si="8"/>
        <v>299147000</v>
      </c>
      <c r="Z42" s="534">
        <f t="shared" si="8"/>
        <v>3374545</v>
      </c>
      <c r="AA42" s="534">
        <f t="shared" si="8"/>
        <v>3871788</v>
      </c>
      <c r="AB42" s="534">
        <f t="shared" si="8"/>
        <v>3675285</v>
      </c>
      <c r="AC42" s="534">
        <f t="shared" si="8"/>
        <v>2487999</v>
      </c>
      <c r="AD42" s="534">
        <f t="shared" si="8"/>
        <v>0</v>
      </c>
      <c r="AE42" s="534">
        <f t="shared" si="8"/>
        <v>423635</v>
      </c>
      <c r="AF42" s="534">
        <f t="shared" si="8"/>
        <v>0</v>
      </c>
      <c r="AG42" s="534">
        <f t="shared" si="8"/>
        <v>205128</v>
      </c>
      <c r="AH42" s="534">
        <f t="shared" si="8"/>
        <v>0</v>
      </c>
      <c r="AI42" s="534">
        <f t="shared" si="8"/>
        <v>0</v>
      </c>
      <c r="AJ42" s="534">
        <f t="shared" si="8"/>
        <v>4000000</v>
      </c>
      <c r="AK42" s="534">
        <f t="shared" si="8"/>
        <v>2210124</v>
      </c>
      <c r="AL42" s="534">
        <f t="shared" si="8"/>
        <v>0</v>
      </c>
      <c r="AM42" s="534">
        <f t="shared" si="8"/>
        <v>9217102</v>
      </c>
      <c r="AN42" s="534">
        <f t="shared" si="8"/>
        <v>536695</v>
      </c>
      <c r="AO42" s="534">
        <f t="shared" si="8"/>
        <v>4859798</v>
      </c>
      <c r="AP42" s="57"/>
    </row>
    <row r="43" spans="1:51" x14ac:dyDescent="0.3">
      <c r="A43" s="58" t="s">
        <v>852</v>
      </c>
      <c r="C43" s="529">
        <f t="shared" ref="C43:C71" si="9">SUM(E43:AO43)</f>
        <v>150655849</v>
      </c>
      <c r="D43" s="56"/>
      <c r="E43" s="57"/>
      <c r="F43" s="57">
        <f>+F38+F36+F33+F28</f>
        <v>1000000</v>
      </c>
      <c r="G43" s="57">
        <f>SUM(G6:G38)-G15-G16</f>
        <v>12455849</v>
      </c>
      <c r="H43" s="57"/>
      <c r="I43" s="57">
        <f>+I28</f>
        <v>25500000</v>
      </c>
      <c r="J43" s="57">
        <f>+J28</f>
        <v>7000000</v>
      </c>
      <c r="K43" s="57">
        <f>+K35</f>
        <v>83200000</v>
      </c>
      <c r="L43" s="57"/>
      <c r="M43" s="57"/>
      <c r="N43" s="57">
        <f>+N27</f>
        <v>21500000</v>
      </c>
      <c r="O43" s="57"/>
      <c r="P43" s="57"/>
      <c r="Q43" s="57"/>
      <c r="R43" s="57"/>
      <c r="S43" s="57"/>
      <c r="T43" s="57"/>
      <c r="U43" s="57"/>
      <c r="V43" s="57"/>
      <c r="W43" s="57"/>
      <c r="X43" s="57"/>
      <c r="Y43" s="57"/>
      <c r="Z43" s="57"/>
      <c r="AA43" s="57"/>
      <c r="AB43" s="57"/>
      <c r="AC43" s="57"/>
      <c r="AD43" s="57"/>
      <c r="AE43" s="57"/>
      <c r="AF43" s="57"/>
      <c r="AG43" s="57"/>
      <c r="AH43" s="57"/>
      <c r="AI43" s="57"/>
      <c r="AJ43" s="57"/>
      <c r="AK43" s="57"/>
      <c r="AL43" s="57"/>
      <c r="AM43" s="57"/>
      <c r="AN43" s="57"/>
      <c r="AO43" s="57"/>
      <c r="AP43" s="57"/>
    </row>
    <row r="44" spans="1:51" x14ac:dyDescent="0.3">
      <c r="C44" s="529">
        <f t="shared" si="9"/>
        <v>0</v>
      </c>
      <c r="D44" s="56"/>
      <c r="E44" s="57"/>
      <c r="F44" s="57"/>
      <c r="G44" s="57"/>
      <c r="H44" s="57"/>
      <c r="I44" s="57"/>
      <c r="J44" s="57"/>
      <c r="K44" s="57"/>
      <c r="L44" s="57"/>
      <c r="M44" s="57"/>
      <c r="N44" s="57"/>
      <c r="O44" s="57"/>
      <c r="P44" s="57"/>
      <c r="Q44" s="57"/>
      <c r="R44" s="57"/>
      <c r="S44" s="57"/>
      <c r="T44" s="57"/>
      <c r="U44" s="57"/>
      <c r="V44" s="57"/>
      <c r="W44" s="57"/>
      <c r="X44" s="57"/>
      <c r="Y44" s="57"/>
      <c r="Z44" s="57"/>
      <c r="AA44" s="57"/>
      <c r="AB44" s="57"/>
      <c r="AC44" s="57"/>
      <c r="AD44" s="57"/>
      <c r="AE44" s="57"/>
      <c r="AF44" s="57"/>
      <c r="AG44" s="57"/>
      <c r="AH44" s="57"/>
      <c r="AI44" s="57"/>
      <c r="AJ44" s="57"/>
      <c r="AK44" s="57"/>
      <c r="AL44" s="56"/>
      <c r="AM44" s="56"/>
      <c r="AN44" s="56"/>
      <c r="AO44" s="56"/>
      <c r="AP44" s="56"/>
    </row>
    <row r="45" spans="1:51" x14ac:dyDescent="0.3">
      <c r="A45" s="27" t="s">
        <v>853</v>
      </c>
      <c r="B45" s="27"/>
      <c r="C45" s="529">
        <f t="shared" si="9"/>
        <v>0</v>
      </c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59"/>
      <c r="X45" s="59"/>
      <c r="Y45" s="59"/>
      <c r="Z45" s="59"/>
      <c r="AA45" s="59"/>
      <c r="AB45" s="59"/>
      <c r="AC45" s="59"/>
      <c r="AD45" s="59"/>
      <c r="AE45" s="59"/>
      <c r="AF45" s="59"/>
      <c r="AG45" s="59"/>
      <c r="AH45" s="59"/>
      <c r="AI45" s="59"/>
      <c r="AJ45" s="59"/>
      <c r="AK45" s="59"/>
      <c r="AL45" s="59"/>
      <c r="AM45" s="59"/>
      <c r="AN45" s="59"/>
      <c r="AO45" s="59"/>
      <c r="AP45" s="59"/>
    </row>
    <row r="46" spans="1:51" x14ac:dyDescent="0.3">
      <c r="A46" s="44" t="s">
        <v>854</v>
      </c>
      <c r="B46" s="60" t="s">
        <v>855</v>
      </c>
      <c r="C46" s="529">
        <f t="shared" si="9"/>
        <v>0</v>
      </c>
      <c r="D46" s="535">
        <f>SUM(E46:L46)</f>
        <v>0</v>
      </c>
      <c r="E46" s="536">
        <v>0</v>
      </c>
      <c r="F46" s="537"/>
      <c r="G46" s="538"/>
      <c r="H46" s="537"/>
      <c r="I46" s="537"/>
      <c r="J46" s="537"/>
      <c r="K46" s="537"/>
      <c r="L46" s="537"/>
      <c r="M46" s="537"/>
      <c r="N46" s="537"/>
      <c r="O46" s="537">
        <v>0</v>
      </c>
      <c r="P46" s="537">
        <v>0</v>
      </c>
      <c r="Q46" s="537">
        <v>0</v>
      </c>
      <c r="R46" s="537">
        <v>0</v>
      </c>
      <c r="S46" s="539">
        <v>0</v>
      </c>
      <c r="T46" s="540">
        <v>0</v>
      </c>
      <c r="U46" s="537">
        <v>0</v>
      </c>
      <c r="V46" s="537">
        <v>0</v>
      </c>
      <c r="W46" s="537">
        <v>0</v>
      </c>
      <c r="X46" s="537"/>
      <c r="Y46" s="537">
        <v>0</v>
      </c>
      <c r="Z46" s="537">
        <v>0</v>
      </c>
      <c r="AA46" s="537">
        <v>0</v>
      </c>
      <c r="AB46" s="537"/>
      <c r="AC46" s="537">
        <v>0</v>
      </c>
      <c r="AD46" s="537">
        <v>0</v>
      </c>
      <c r="AE46" s="536">
        <v>0</v>
      </c>
      <c r="AF46" s="61">
        <v>0</v>
      </c>
      <c r="AG46" s="61">
        <v>0</v>
      </c>
      <c r="AH46" s="61">
        <v>0</v>
      </c>
      <c r="AI46" s="61"/>
      <c r="AJ46" s="61">
        <v>0</v>
      </c>
      <c r="AK46" s="61">
        <v>0</v>
      </c>
      <c r="AL46" s="62">
        <v>0</v>
      </c>
      <c r="AM46" s="62"/>
      <c r="AN46" s="62"/>
      <c r="AO46" s="62"/>
      <c r="AP46" s="62">
        <v>0</v>
      </c>
    </row>
    <row r="47" spans="1:51" x14ac:dyDescent="0.3">
      <c r="C47" s="529">
        <f t="shared" si="9"/>
        <v>70000000</v>
      </c>
      <c r="D47" s="352">
        <f>SUM(D6:D46)</f>
        <v>654965240.32981515</v>
      </c>
      <c r="O47">
        <v>70000000</v>
      </c>
    </row>
    <row r="48" spans="1:51" x14ac:dyDescent="0.3">
      <c r="A48" s="64" t="s">
        <v>856</v>
      </c>
      <c r="B48" s="64"/>
      <c r="C48" s="529">
        <f t="shared" si="9"/>
        <v>0</v>
      </c>
    </row>
    <row r="49" spans="3:6" x14ac:dyDescent="0.3">
      <c r="C49" s="529">
        <f t="shared" si="9"/>
        <v>0</v>
      </c>
    </row>
    <row r="50" spans="3:6" x14ac:dyDescent="0.3">
      <c r="C50" s="529">
        <f t="shared" si="9"/>
        <v>0</v>
      </c>
    </row>
    <row r="51" spans="3:6" x14ac:dyDescent="0.3">
      <c r="C51" s="529">
        <f t="shared" si="9"/>
        <v>0</v>
      </c>
      <c r="E51" t="s">
        <v>746</v>
      </c>
      <c r="F51" t="s">
        <v>761</v>
      </c>
    </row>
    <row r="52" spans="3:6" x14ac:dyDescent="0.3">
      <c r="C52" s="529">
        <f t="shared" si="9"/>
        <v>9109.6911209534828</v>
      </c>
      <c r="E52" s="65">
        <v>9109.6911209534828</v>
      </c>
      <c r="F52" s="65">
        <v>0</v>
      </c>
    </row>
    <row r="53" spans="3:6" x14ac:dyDescent="0.3">
      <c r="C53" s="529">
        <f t="shared" si="9"/>
        <v>56486509.860261358</v>
      </c>
      <c r="E53" s="65">
        <v>56486509.860261358</v>
      </c>
      <c r="F53" s="65">
        <v>0</v>
      </c>
    </row>
    <row r="54" spans="3:6" x14ac:dyDescent="0.3">
      <c r="C54" s="529">
        <f t="shared" si="9"/>
        <v>48901522.008398861</v>
      </c>
      <c r="E54" s="65">
        <v>48901522.008398861</v>
      </c>
      <c r="F54" s="65">
        <v>0</v>
      </c>
    </row>
    <row r="55" spans="3:6" x14ac:dyDescent="0.3">
      <c r="C55" s="529">
        <f t="shared" si="9"/>
        <v>222799.02999104754</v>
      </c>
      <c r="E55" s="65">
        <v>222799.02999104754</v>
      </c>
      <c r="F55" s="65">
        <v>0</v>
      </c>
    </row>
    <row r="56" spans="3:6" x14ac:dyDescent="0.3">
      <c r="C56" s="529">
        <f t="shared" si="9"/>
        <v>93717030.798648</v>
      </c>
      <c r="E56" s="65">
        <v>80138961.483341306</v>
      </c>
      <c r="F56" s="65">
        <v>13578069.315306701</v>
      </c>
    </row>
    <row r="57" spans="3:6" x14ac:dyDescent="0.3">
      <c r="C57" s="529">
        <f t="shared" si="9"/>
        <v>17666604.066049241</v>
      </c>
      <c r="E57" s="65">
        <v>9060245.3454008196</v>
      </c>
      <c r="F57" s="65">
        <v>8606358.720648421</v>
      </c>
    </row>
    <row r="58" spans="3:6" x14ac:dyDescent="0.3">
      <c r="C58" s="529">
        <f t="shared" si="9"/>
        <v>156817.66948474507</v>
      </c>
      <c r="E58" s="65">
        <v>153164.27337968379</v>
      </c>
      <c r="F58" s="65">
        <v>3653.3961050612952</v>
      </c>
    </row>
    <row r="59" spans="3:6" x14ac:dyDescent="0.3">
      <c r="C59" s="529">
        <f t="shared" si="9"/>
        <v>62626962.66919405</v>
      </c>
      <c r="E59" s="65">
        <v>62626962.66919405</v>
      </c>
      <c r="F59" s="65">
        <v>0</v>
      </c>
    </row>
    <row r="60" spans="3:6" x14ac:dyDescent="0.3">
      <c r="C60" s="529">
        <f t="shared" si="9"/>
        <v>6386886.7424486317</v>
      </c>
      <c r="E60" s="65">
        <v>6386886.7424486317</v>
      </c>
      <c r="F60" s="65"/>
    </row>
    <row r="61" spans="3:6" x14ac:dyDescent="0.3">
      <c r="C61" s="529">
        <f t="shared" si="9"/>
        <v>416133.78273504396</v>
      </c>
      <c r="E61" s="65"/>
      <c r="F61" s="65">
        <v>416133.78273504396</v>
      </c>
    </row>
    <row r="62" spans="3:6" x14ac:dyDescent="0.3">
      <c r="C62" s="529">
        <f t="shared" si="9"/>
        <v>15504926.425125612</v>
      </c>
      <c r="E62" s="65">
        <v>15504926.425125612</v>
      </c>
      <c r="F62" s="65"/>
    </row>
    <row r="63" spans="3:6" x14ac:dyDescent="0.3">
      <c r="C63" s="529">
        <f t="shared" si="9"/>
        <v>12604697.256542465</v>
      </c>
      <c r="E63" s="65"/>
      <c r="F63" s="65">
        <v>12604697.256542465</v>
      </c>
    </row>
    <row r="64" spans="3:6" x14ac:dyDescent="0.3">
      <c r="C64" s="529">
        <f t="shared" si="9"/>
        <v>314699999.99999994</v>
      </c>
      <c r="E64" s="2">
        <v>279491087.52866226</v>
      </c>
      <c r="F64" s="2">
        <v>35208912.471337691</v>
      </c>
    </row>
    <row r="65" spans="1:42" x14ac:dyDescent="0.3">
      <c r="C65" s="529">
        <f t="shared" si="9"/>
        <v>314699999.99999994</v>
      </c>
      <c r="F65" s="2">
        <v>314699999.99999994</v>
      </c>
    </row>
    <row r="66" spans="1:42" x14ac:dyDescent="0.3">
      <c r="C66" s="529">
        <f t="shared" si="9"/>
        <v>0</v>
      </c>
    </row>
    <row r="67" spans="1:42" x14ac:dyDescent="0.3">
      <c r="A67" s="35" t="s">
        <v>857</v>
      </c>
      <c r="B67" s="36"/>
      <c r="C67" s="529">
        <f t="shared" si="9"/>
        <v>130000000</v>
      </c>
      <c r="D67" s="32"/>
      <c r="E67" s="504"/>
      <c r="F67" s="504"/>
      <c r="G67" s="504"/>
      <c r="H67" s="504"/>
      <c r="I67" s="504"/>
      <c r="J67" s="504"/>
      <c r="K67" s="504"/>
      <c r="L67" s="504"/>
      <c r="M67" s="504"/>
      <c r="N67" s="504"/>
      <c r="O67" s="33"/>
      <c r="P67" s="504"/>
      <c r="Q67" s="34"/>
      <c r="R67" s="33"/>
      <c r="S67" s="33"/>
      <c r="T67" s="33"/>
      <c r="U67" s="33"/>
      <c r="V67" s="33"/>
      <c r="W67" s="33"/>
      <c r="X67" s="506"/>
      <c r="Y67" s="504"/>
      <c r="Z67" s="504"/>
      <c r="AA67" s="504"/>
      <c r="AB67" s="504"/>
      <c r="AC67" s="504"/>
      <c r="AD67" s="504"/>
      <c r="AE67" s="506">
        <v>0</v>
      </c>
      <c r="AF67" s="33"/>
      <c r="AG67" s="504">
        <v>130000000</v>
      </c>
      <c r="AH67" s="33"/>
      <c r="AI67" s="33"/>
      <c r="AJ67" s="33"/>
      <c r="AK67" s="33"/>
      <c r="AL67" s="33"/>
      <c r="AM67" s="33"/>
      <c r="AN67" s="33"/>
      <c r="AO67" s="33"/>
      <c r="AP67" s="33"/>
    </row>
    <row r="68" spans="1:42" x14ac:dyDescent="0.3">
      <c r="A68" s="47"/>
      <c r="B68" s="43"/>
      <c r="C68" s="529">
        <f t="shared" si="9"/>
        <v>0</v>
      </c>
      <c r="D68" s="41"/>
      <c r="E68" s="520"/>
      <c r="F68" s="520"/>
      <c r="G68" s="520"/>
      <c r="H68" s="520"/>
      <c r="I68" s="520"/>
      <c r="J68" s="520"/>
      <c r="K68" s="520"/>
      <c r="L68" s="520"/>
      <c r="M68" s="520"/>
      <c r="N68" s="520"/>
      <c r="O68" s="520"/>
      <c r="P68" s="520"/>
      <c r="Q68" s="520"/>
      <c r="R68" s="520"/>
      <c r="S68" s="527"/>
      <c r="T68" s="520"/>
      <c r="U68" s="48"/>
      <c r="V68" s="520"/>
      <c r="W68" s="520"/>
      <c r="X68" s="520"/>
      <c r="Y68" s="520"/>
      <c r="Z68" s="520"/>
      <c r="AA68" s="520"/>
      <c r="AB68" s="520"/>
      <c r="AC68" s="520"/>
      <c r="AD68" s="520"/>
      <c r="AE68" s="520"/>
      <c r="AF68" s="513"/>
      <c r="AG68" s="520"/>
      <c r="AH68" s="513"/>
      <c r="AI68" s="513"/>
      <c r="AJ68" s="513"/>
      <c r="AK68" s="48"/>
      <c r="AL68" s="48"/>
      <c r="AM68" s="513"/>
      <c r="AN68" s="33"/>
      <c r="AO68" s="33"/>
      <c r="AP68" s="33"/>
    </row>
    <row r="69" spans="1:42" x14ac:dyDescent="0.3">
      <c r="C69" s="529">
        <f t="shared" si="9"/>
        <v>0</v>
      </c>
    </row>
    <row r="70" spans="1:42" x14ac:dyDescent="0.3">
      <c r="A70" t="s">
        <v>3706</v>
      </c>
      <c r="C70" s="529">
        <f t="shared" si="9"/>
        <v>183081139.64266485</v>
      </c>
      <c r="E70" s="352">
        <f t="shared" ref="E70:J70" si="10">+E41*0.19</f>
        <v>4152287.74</v>
      </c>
      <c r="F70" s="352">
        <f t="shared" si="10"/>
        <v>104067673.05149348</v>
      </c>
      <c r="G70" s="352">
        <f t="shared" si="10"/>
        <v>2646708.9300000002</v>
      </c>
      <c r="H70" s="352">
        <f t="shared" si="10"/>
        <v>5363666.4254474714</v>
      </c>
      <c r="I70" s="352">
        <f t="shared" si="10"/>
        <v>26690764.899999999</v>
      </c>
      <c r="J70" s="352">
        <f t="shared" si="10"/>
        <v>2521274.73</v>
      </c>
      <c r="K70" s="352">
        <f>+K41*0.19-K35*0.1</f>
        <v>11985379.609999999</v>
      </c>
      <c r="L70" s="352">
        <f>+L41*0.19</f>
        <v>13267705.895723904</v>
      </c>
      <c r="M70" s="352">
        <f>+M41*0.19</f>
        <v>130438.04000000001</v>
      </c>
      <c r="N70" s="352"/>
      <c r="O70" s="352"/>
      <c r="P70" s="352"/>
      <c r="Q70" s="352"/>
      <c r="R70" s="352"/>
      <c r="S70" s="352">
        <f>+S41*0.19</f>
        <v>0</v>
      </c>
      <c r="T70" s="352"/>
      <c r="U70" s="352">
        <f>+U41*0.19</f>
        <v>703682.86</v>
      </c>
      <c r="V70" s="352">
        <f>+V41*0.19</f>
        <v>3800000</v>
      </c>
      <c r="W70" s="352">
        <f>+W41*0.06</f>
        <v>6112412.6399999997</v>
      </c>
      <c r="X70" s="352"/>
      <c r="Y70" s="352"/>
      <c r="Z70" s="352">
        <f>+Z41*0.19</f>
        <v>645178.44000000006</v>
      </c>
      <c r="AA70" s="352">
        <f>+AA41*0.19</f>
        <v>763743.95</v>
      </c>
      <c r="AB70" s="352"/>
      <c r="AC70" s="352"/>
      <c r="AD70" s="352">
        <f>+AD41*0.19</f>
        <v>0</v>
      </c>
      <c r="AE70" s="352">
        <f>+AE41*0.19</f>
        <v>80490.649999999994</v>
      </c>
      <c r="AF70" s="352"/>
      <c r="AG70" s="352"/>
      <c r="AH70" s="352"/>
      <c r="AI70" s="352"/>
      <c r="AJ70" s="352"/>
      <c r="AK70" s="352"/>
      <c r="AL70" s="352">
        <f>+AL41*0.19</f>
        <v>149731.78</v>
      </c>
      <c r="AM70" s="352"/>
      <c r="AN70" s="352"/>
      <c r="AO70" s="352"/>
      <c r="AP70" s="352">
        <f>+AP41*0.19</f>
        <v>0</v>
      </c>
    </row>
    <row r="71" spans="1:42" x14ac:dyDescent="0.3">
      <c r="A71" t="s">
        <v>3707</v>
      </c>
      <c r="C71" s="529">
        <f t="shared" si="9"/>
        <v>38759081.417335138</v>
      </c>
      <c r="E71" s="352"/>
      <c r="F71" s="352"/>
      <c r="G71" s="352"/>
      <c r="H71" s="352"/>
      <c r="I71" s="352"/>
      <c r="J71" s="352"/>
      <c r="K71" s="352"/>
      <c r="L71" s="352"/>
      <c r="M71" s="352"/>
      <c r="N71" s="352">
        <f>+N41*0.19</f>
        <v>37664918.217335135</v>
      </c>
      <c r="O71" s="352"/>
      <c r="P71" s="352"/>
      <c r="Q71" s="352"/>
      <c r="R71" s="352"/>
      <c r="S71" s="352">
        <f>+S41*0.19</f>
        <v>0</v>
      </c>
      <c r="T71" s="352"/>
      <c r="U71" s="352"/>
      <c r="V71" s="352"/>
      <c r="W71" s="352"/>
      <c r="X71" s="352">
        <f>+X41*0.06</f>
        <v>732529.38</v>
      </c>
      <c r="Y71" s="352"/>
      <c r="Z71" s="352"/>
      <c r="AA71" s="352"/>
      <c r="AB71" s="352"/>
      <c r="AC71" s="352"/>
      <c r="AD71" s="352">
        <f>+AD41*0.19</f>
        <v>0</v>
      </c>
      <c r="AE71" s="352"/>
      <c r="AF71" s="352">
        <f>+AF41*0.19</f>
        <v>76755.25</v>
      </c>
      <c r="AG71" s="352">
        <f>+AG41*0.19</f>
        <v>44878.57</v>
      </c>
      <c r="AH71" s="352">
        <f>+AH41*0.19</f>
        <v>0</v>
      </c>
      <c r="AI71" s="352">
        <f>+AI41*0.19</f>
        <v>0</v>
      </c>
      <c r="AJ71" s="352">
        <f>+AJ41*0.06</f>
        <v>240000</v>
      </c>
      <c r="AK71" s="352"/>
      <c r="AL71" s="352"/>
      <c r="AM71" s="352"/>
      <c r="AN71" s="352"/>
      <c r="AO71" s="352"/>
    </row>
  </sheetData>
  <pageMargins left="0.7" right="0.7" top="0.75" bottom="0.75" header="0.3" footer="0.3"/>
  <legacy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75"/>
  <sheetViews>
    <sheetView zoomScale="60" zoomScaleNormal="60" workbookViewId="0">
      <pane xSplit="3" ySplit="62" topLeftCell="D63" activePane="bottomRight" state="frozen"/>
      <selection activeCell="A58" sqref="A58"/>
      <selection pane="topRight" activeCell="D58" sqref="D58"/>
      <selection pane="bottomLeft" activeCell="A63" sqref="A63"/>
      <selection pane="bottomRight" activeCell="F21" sqref="F21"/>
    </sheetView>
  </sheetViews>
  <sheetFormatPr defaultColWidth="15.88671875" defaultRowHeight="15.6" x14ac:dyDescent="0.3"/>
  <cols>
    <col min="2" max="2" width="10.88671875" bestFit="1" customWidth="1"/>
    <col min="3" max="3" width="21.44140625" customWidth="1"/>
    <col min="4" max="4" width="16.6640625" style="3" customWidth="1"/>
    <col min="5" max="5" width="15.44140625" style="3" customWidth="1"/>
    <col min="6" max="6" width="14.33203125" style="3" customWidth="1"/>
    <col min="7" max="7" width="19.6640625" style="3" bestFit="1" customWidth="1"/>
    <col min="8" max="8" width="14.109375" style="3" customWidth="1"/>
    <col min="9" max="9" width="15" customWidth="1"/>
    <col min="10" max="10" width="14.44140625" customWidth="1"/>
    <col min="11" max="11" width="16.44140625" customWidth="1"/>
    <col min="12" max="12" width="16.88671875" customWidth="1"/>
    <col min="13" max="13" width="14.88671875" style="3" customWidth="1"/>
    <col min="14" max="14" width="13.88671875" style="3" customWidth="1"/>
    <col min="15" max="15" width="14.33203125" style="3" customWidth="1"/>
    <col min="16" max="16" width="19.6640625" style="3" bestFit="1" customWidth="1"/>
    <col min="17" max="17" width="13.109375" customWidth="1"/>
    <col min="18" max="18" width="13.33203125" customWidth="1"/>
  </cols>
  <sheetData>
    <row r="1" spans="1:26" ht="21" x14ac:dyDescent="0.4">
      <c r="A1" s="18" t="s">
        <v>3708</v>
      </c>
      <c r="D1"/>
      <c r="E1"/>
      <c r="F1"/>
      <c r="G1"/>
      <c r="H1"/>
      <c r="M1"/>
      <c r="N1"/>
      <c r="O1"/>
      <c r="P1"/>
    </row>
    <row r="2" spans="1:26" x14ac:dyDescent="0.3">
      <c r="D2"/>
      <c r="E2"/>
      <c r="F2"/>
      <c r="G2"/>
      <c r="H2" s="541">
        <v>0.81641490750877077</v>
      </c>
      <c r="I2" s="541">
        <v>0.1835850924912292</v>
      </c>
      <c r="M2"/>
      <c r="N2"/>
      <c r="O2"/>
      <c r="P2"/>
    </row>
    <row r="3" spans="1:26" x14ac:dyDescent="0.3">
      <c r="D3" s="1200" t="s">
        <v>146</v>
      </c>
      <c r="E3" s="1201"/>
      <c r="F3" s="1201"/>
      <c r="G3" s="1201"/>
      <c r="H3" s="1201"/>
      <c r="I3" s="1202"/>
      <c r="J3" s="1198" t="s">
        <v>773</v>
      </c>
      <c r="K3" s="1198"/>
      <c r="L3" s="1198"/>
      <c r="M3" s="1198"/>
      <c r="N3" s="1198" t="s">
        <v>774</v>
      </c>
      <c r="O3" s="1198"/>
      <c r="P3" s="1198"/>
      <c r="Q3" s="1198"/>
      <c r="R3" s="1198" t="s">
        <v>3709</v>
      </c>
      <c r="S3" s="1198"/>
      <c r="T3" s="1198"/>
      <c r="U3" s="1198"/>
      <c r="V3" s="1199" t="s">
        <v>772</v>
      </c>
    </row>
    <row r="4" spans="1:26" ht="57.6" x14ac:dyDescent="0.3">
      <c r="D4" s="19" t="s">
        <v>776</v>
      </c>
      <c r="E4" s="19" t="s">
        <v>777</v>
      </c>
      <c r="F4" s="19" t="s">
        <v>778</v>
      </c>
      <c r="G4" s="19" t="s">
        <v>779</v>
      </c>
      <c r="H4" s="542" t="s">
        <v>3710</v>
      </c>
      <c r="I4" s="542" t="s">
        <v>3711</v>
      </c>
      <c r="J4" s="19" t="s">
        <v>776</v>
      </c>
      <c r="K4" s="19" t="s">
        <v>777</v>
      </c>
      <c r="L4" s="19" t="s">
        <v>778</v>
      </c>
      <c r="M4" s="19" t="s">
        <v>779</v>
      </c>
      <c r="N4" s="19" t="s">
        <v>776</v>
      </c>
      <c r="O4" s="19" t="s">
        <v>777</v>
      </c>
      <c r="P4" s="19" t="s">
        <v>778</v>
      </c>
      <c r="Q4" s="19" t="s">
        <v>779</v>
      </c>
      <c r="R4" s="19" t="s">
        <v>776</v>
      </c>
      <c r="S4" s="19" t="s">
        <v>777</v>
      </c>
      <c r="T4" s="19" t="s">
        <v>778</v>
      </c>
      <c r="U4" s="19" t="s">
        <v>779</v>
      </c>
      <c r="V4" s="1199"/>
    </row>
    <row r="5" spans="1:26" s="1" customFormat="1" x14ac:dyDescent="0.3">
      <c r="A5" s="543" t="s">
        <v>746</v>
      </c>
      <c r="B5" t="s">
        <v>5</v>
      </c>
      <c r="C5" t="s">
        <v>745</v>
      </c>
      <c r="D5" s="22">
        <v>620073358.29984581</v>
      </c>
      <c r="E5" s="22">
        <v>19139862.419167295</v>
      </c>
      <c r="F5" s="22">
        <v>6864423.1316675292</v>
      </c>
      <c r="G5" s="22">
        <v>607797919.01234663</v>
      </c>
      <c r="H5" s="90">
        <v>496215281.83448833</v>
      </c>
      <c r="I5" s="90">
        <v>111582637.17785829</v>
      </c>
      <c r="J5" s="90">
        <v>1469121999.9996319</v>
      </c>
      <c r="K5" s="90">
        <v>5666081.8783307383</v>
      </c>
      <c r="L5" s="90">
        <v>3943808.8567305799</v>
      </c>
      <c r="M5" s="90">
        <v>1467399726.9780321</v>
      </c>
      <c r="N5" s="90">
        <v>0</v>
      </c>
      <c r="O5" s="90">
        <v>0</v>
      </c>
      <c r="P5" s="90">
        <v>1343818.2226431104</v>
      </c>
      <c r="Q5" s="90">
        <v>1343818.2226431104</v>
      </c>
      <c r="R5" s="90">
        <v>-1.3049691915512085E-5</v>
      </c>
      <c r="S5" s="90">
        <v>7161084.1976474943</v>
      </c>
      <c r="T5" s="90">
        <v>4109905.0579545503</v>
      </c>
      <c r="U5" s="90">
        <v>-3051179.1397059937</v>
      </c>
      <c r="V5" t="s">
        <v>5</v>
      </c>
      <c r="W5"/>
      <c r="X5"/>
      <c r="Y5"/>
      <c r="Z5"/>
    </row>
    <row r="6" spans="1:26" x14ac:dyDescent="0.3">
      <c r="A6" s="543" t="s">
        <v>746</v>
      </c>
      <c r="B6" t="s">
        <v>749</v>
      </c>
      <c r="C6" t="s">
        <v>748</v>
      </c>
      <c r="D6" s="90">
        <v>0</v>
      </c>
      <c r="E6" s="90">
        <v>0</v>
      </c>
      <c r="F6" s="22">
        <v>56967.37089043</v>
      </c>
      <c r="G6" s="90">
        <v>56967.37089043</v>
      </c>
      <c r="H6" s="90">
        <v>46509.01083652825</v>
      </c>
      <c r="I6" s="90">
        <v>10458.36005390175</v>
      </c>
      <c r="J6" s="90">
        <v>0</v>
      </c>
      <c r="K6" s="90">
        <v>0</v>
      </c>
      <c r="L6" s="90">
        <v>0</v>
      </c>
      <c r="M6" s="90">
        <v>0</v>
      </c>
      <c r="N6" s="90">
        <v>0</v>
      </c>
      <c r="O6" s="90">
        <v>0</v>
      </c>
      <c r="P6" s="90">
        <v>0</v>
      </c>
      <c r="Q6" s="90">
        <v>0</v>
      </c>
      <c r="R6" s="90">
        <v>0</v>
      </c>
      <c r="S6" s="90">
        <v>0</v>
      </c>
      <c r="T6" s="90">
        <v>0</v>
      </c>
      <c r="U6" s="90">
        <v>0</v>
      </c>
      <c r="V6" t="s">
        <v>749</v>
      </c>
    </row>
    <row r="7" spans="1:26" x14ac:dyDescent="0.3">
      <c r="A7" s="543" t="s">
        <v>746</v>
      </c>
      <c r="B7" t="s">
        <v>11</v>
      </c>
      <c r="C7" t="s">
        <v>747</v>
      </c>
      <c r="D7" s="90">
        <v>826345638.71494091</v>
      </c>
      <c r="E7" s="90">
        <v>11393976.515187437</v>
      </c>
      <c r="F7" s="22">
        <v>6808748.8023176715</v>
      </c>
      <c r="G7" s="90">
        <v>821760411.0020715</v>
      </c>
      <c r="H7" s="90">
        <v>670897449.94262564</v>
      </c>
      <c r="I7" s="90">
        <v>150862961.05944583</v>
      </c>
      <c r="J7" s="90">
        <v>227342968.72486198</v>
      </c>
      <c r="K7" s="90">
        <v>5895596.5266278256</v>
      </c>
      <c r="L7" s="90">
        <v>1195097.6902233618</v>
      </c>
      <c r="M7" s="90">
        <v>222642469.88845751</v>
      </c>
      <c r="N7" s="90">
        <v>0</v>
      </c>
      <c r="O7" s="90">
        <v>0</v>
      </c>
      <c r="P7" s="90">
        <v>0</v>
      </c>
      <c r="Q7" s="90">
        <v>0</v>
      </c>
      <c r="R7" s="90">
        <v>-2.2868160158395767E-5</v>
      </c>
      <c r="S7" s="90">
        <v>1865871.5806131158</v>
      </c>
      <c r="T7" s="90">
        <v>472315.29038013122</v>
      </c>
      <c r="U7" s="90">
        <v>-1393556.2902558525</v>
      </c>
      <c r="V7" t="s">
        <v>11</v>
      </c>
    </row>
    <row r="8" spans="1:26" x14ac:dyDescent="0.3">
      <c r="A8" s="543" t="s">
        <v>746</v>
      </c>
      <c r="B8" t="s">
        <v>6</v>
      </c>
      <c r="C8" t="s">
        <v>750</v>
      </c>
      <c r="D8" s="90">
        <v>4084935399.4945693</v>
      </c>
      <c r="E8" s="90">
        <v>429922154.83046275</v>
      </c>
      <c r="F8" s="22">
        <v>159580429.72381949</v>
      </c>
      <c r="G8" s="90">
        <v>3814593674.3879251</v>
      </c>
      <c r="H8" s="90">
        <v>3114291141.8589597</v>
      </c>
      <c r="I8" s="90">
        <v>700302532.52896512</v>
      </c>
      <c r="J8" s="90">
        <v>568962731.52843571</v>
      </c>
      <c r="K8" s="90">
        <v>17893303.876886614</v>
      </c>
      <c r="L8" s="90">
        <v>14674980.692501251</v>
      </c>
      <c r="M8" s="90">
        <v>565744408.34404993</v>
      </c>
      <c r="N8" s="90">
        <v>244872535.61207047</v>
      </c>
      <c r="O8" s="90">
        <v>2148601.5252635665</v>
      </c>
      <c r="P8" s="90">
        <v>51596055.904298991</v>
      </c>
      <c r="Q8" s="90">
        <v>294319989.99110591</v>
      </c>
      <c r="R8" s="90">
        <v>191991705.81985259</v>
      </c>
      <c r="S8" s="90">
        <v>6561399.4953648383</v>
      </c>
      <c r="T8" s="90">
        <v>11729481.378168125</v>
      </c>
      <c r="U8" s="90">
        <v>197159787.70265576</v>
      </c>
      <c r="V8" t="s">
        <v>6</v>
      </c>
    </row>
    <row r="9" spans="1:26" x14ac:dyDescent="0.3">
      <c r="A9" s="543" t="s">
        <v>746</v>
      </c>
      <c r="B9" t="s">
        <v>780</v>
      </c>
      <c r="C9" t="s">
        <v>3712</v>
      </c>
      <c r="D9" s="90">
        <v>0</v>
      </c>
      <c r="E9" s="90">
        <v>0</v>
      </c>
      <c r="F9" s="22">
        <v>0</v>
      </c>
      <c r="G9" s="90">
        <v>0</v>
      </c>
      <c r="H9" s="90">
        <v>0</v>
      </c>
      <c r="I9" s="90">
        <v>0</v>
      </c>
      <c r="J9" s="90">
        <v>0</v>
      </c>
      <c r="K9" s="90">
        <v>0</v>
      </c>
      <c r="L9" s="90">
        <v>0</v>
      </c>
      <c r="M9" s="90">
        <v>0</v>
      </c>
      <c r="N9" s="90">
        <v>0</v>
      </c>
      <c r="O9" s="90">
        <v>0</v>
      </c>
      <c r="P9" s="90">
        <v>0</v>
      </c>
      <c r="Q9" s="90">
        <v>0</v>
      </c>
      <c r="R9" s="90">
        <v>0</v>
      </c>
      <c r="S9" s="90">
        <v>0</v>
      </c>
      <c r="T9" s="90">
        <v>0</v>
      </c>
      <c r="U9" s="90">
        <v>0</v>
      </c>
      <c r="V9" t="s">
        <v>780</v>
      </c>
    </row>
    <row r="10" spans="1:26" x14ac:dyDescent="0.3">
      <c r="A10" s="543" t="s">
        <v>746</v>
      </c>
      <c r="B10" t="s">
        <v>752</v>
      </c>
      <c r="C10" t="s">
        <v>751</v>
      </c>
      <c r="D10" s="90">
        <v>0</v>
      </c>
      <c r="E10" s="90">
        <v>0</v>
      </c>
      <c r="F10" s="22">
        <v>0</v>
      </c>
      <c r="G10" s="90">
        <v>0</v>
      </c>
      <c r="H10" s="90">
        <v>0</v>
      </c>
      <c r="I10" s="90">
        <v>0</v>
      </c>
      <c r="J10" s="90">
        <v>0</v>
      </c>
      <c r="K10" s="90">
        <v>0</v>
      </c>
      <c r="L10" s="90">
        <v>0</v>
      </c>
      <c r="M10" s="90">
        <v>0</v>
      </c>
      <c r="N10" s="90">
        <v>0</v>
      </c>
      <c r="O10" s="90">
        <v>0</v>
      </c>
      <c r="P10" s="90">
        <v>0</v>
      </c>
      <c r="Q10" s="90">
        <v>0</v>
      </c>
      <c r="R10" s="90">
        <v>0</v>
      </c>
      <c r="S10" s="90">
        <v>0</v>
      </c>
      <c r="T10" s="90">
        <v>0</v>
      </c>
      <c r="U10" s="90">
        <v>0</v>
      </c>
      <c r="V10" t="s">
        <v>752</v>
      </c>
    </row>
    <row r="11" spans="1:26" x14ac:dyDescent="0.3">
      <c r="A11" s="543" t="s">
        <v>746</v>
      </c>
      <c r="B11" t="s">
        <v>3451</v>
      </c>
      <c r="C11" t="s">
        <v>3713</v>
      </c>
      <c r="D11" s="90">
        <v>2347015516.4003859</v>
      </c>
      <c r="E11" s="90">
        <v>256633647.3459689</v>
      </c>
      <c r="F11" s="22">
        <v>44716630.136300594</v>
      </c>
      <c r="G11" s="90">
        <v>2135098499.1907182</v>
      </c>
      <c r="H11" s="90">
        <v>1743126243.7389054</v>
      </c>
      <c r="I11" s="90">
        <v>391972255.45181268</v>
      </c>
      <c r="J11" s="90">
        <v>524229001.25346392</v>
      </c>
      <c r="K11" s="90">
        <v>24783295.256451398</v>
      </c>
      <c r="L11" s="90">
        <v>2347634.8153277491</v>
      </c>
      <c r="M11" s="90">
        <v>501793340.81234038</v>
      </c>
      <c r="N11" s="90">
        <v>28113750.000013657</v>
      </c>
      <c r="O11" s="90">
        <v>8051696.8002630696</v>
      </c>
      <c r="P11" s="90">
        <v>641322.19949977368</v>
      </c>
      <c r="Q11" s="90">
        <v>20703375.399250362</v>
      </c>
      <c r="R11" s="90">
        <v>610998.74671018485</v>
      </c>
      <c r="S11" s="90">
        <v>4637519.7081648009</v>
      </c>
      <c r="T11" s="90">
        <v>2988035.3031913438</v>
      </c>
      <c r="U11" s="90">
        <v>-1038485.6582632724</v>
      </c>
      <c r="V11" t="s">
        <v>3451</v>
      </c>
    </row>
    <row r="12" spans="1:26" x14ac:dyDescent="0.3">
      <c r="A12" s="543" t="s">
        <v>746</v>
      </c>
      <c r="B12" t="s">
        <v>10</v>
      </c>
      <c r="C12" t="s">
        <v>753</v>
      </c>
      <c r="D12" s="90">
        <v>1354390325.0731664</v>
      </c>
      <c r="E12" s="90">
        <v>91451618.205677822</v>
      </c>
      <c r="F12" s="22">
        <v>58655465.017457537</v>
      </c>
      <c r="G12" s="90">
        <v>1321594171.8849449</v>
      </c>
      <c r="H12" s="90">
        <v>1078969183.6035779</v>
      </c>
      <c r="I12" s="90">
        <v>242624988.28136709</v>
      </c>
      <c r="J12" s="90">
        <v>660863000.00005484</v>
      </c>
      <c r="K12" s="90">
        <v>14698187.240745215</v>
      </c>
      <c r="L12" s="90">
        <v>5537486.5166436993</v>
      </c>
      <c r="M12" s="90">
        <v>651702299.27595305</v>
      </c>
      <c r="N12" s="90">
        <v>496625250.000027</v>
      </c>
      <c r="O12" s="90">
        <v>24191214.280870095</v>
      </c>
      <c r="P12" s="90">
        <v>2434470.8560285224</v>
      </c>
      <c r="Q12" s="90">
        <v>474868506.57518548</v>
      </c>
      <c r="R12" s="90">
        <v>-2.8462032787501812E-5</v>
      </c>
      <c r="S12" s="90">
        <v>2937334.8771881708</v>
      </c>
      <c r="T12" s="90">
        <v>1288659.4774255541</v>
      </c>
      <c r="U12" s="90">
        <v>-1648675.3997910786</v>
      </c>
      <c r="V12" t="s">
        <v>10</v>
      </c>
    </row>
    <row r="13" spans="1:26" s="16" customFormat="1" x14ac:dyDescent="0.3">
      <c r="A13" s="551" t="s">
        <v>746</v>
      </c>
      <c r="B13" s="16" t="s">
        <v>7</v>
      </c>
      <c r="C13" s="16" t="s">
        <v>754</v>
      </c>
      <c r="D13" s="552">
        <v>1651082002.5810866</v>
      </c>
      <c r="E13" s="552">
        <v>72953265.024474636</v>
      </c>
      <c r="F13" s="553">
        <v>360421157.66509151</v>
      </c>
      <c r="G13" s="552">
        <v>1938549895.2217014</v>
      </c>
      <c r="H13" s="552">
        <v>1582661033.4085627</v>
      </c>
      <c r="I13" s="552">
        <v>355888861.81313878</v>
      </c>
      <c r="J13" s="552">
        <v>936858999.99988723</v>
      </c>
      <c r="K13" s="552">
        <v>13894428.536898354</v>
      </c>
      <c r="L13" s="552">
        <v>27032567.203841049</v>
      </c>
      <c r="M13" s="552">
        <v>949997138.66683018</v>
      </c>
      <c r="N13" s="552">
        <v>285029649.99996847</v>
      </c>
      <c r="O13" s="552">
        <v>10716476.445286764</v>
      </c>
      <c r="P13" s="552">
        <v>7808851.3009195318</v>
      </c>
      <c r="Q13" s="552">
        <v>282122024.85560125</v>
      </c>
      <c r="R13" s="552">
        <v>-1.4018391084391624E-5</v>
      </c>
      <c r="S13" s="552">
        <v>3593079.9216652066</v>
      </c>
      <c r="T13" s="552">
        <v>6071672.8768348824</v>
      </c>
      <c r="U13" s="552">
        <v>2478592.9551556581</v>
      </c>
      <c r="V13" s="16" t="s">
        <v>7</v>
      </c>
    </row>
    <row r="14" spans="1:26" x14ac:dyDescent="0.3">
      <c r="A14" s="543" t="s">
        <v>746</v>
      </c>
      <c r="B14" t="s">
        <v>8</v>
      </c>
      <c r="C14" t="s">
        <v>755</v>
      </c>
      <c r="D14" s="90">
        <v>820041913.81644273</v>
      </c>
      <c r="E14" s="90">
        <v>30866079.185748108</v>
      </c>
      <c r="F14" s="22">
        <v>68392375.587537721</v>
      </c>
      <c r="G14" s="90">
        <v>857568210.21823239</v>
      </c>
      <c r="H14" s="90">
        <v>700131471.02778029</v>
      </c>
      <c r="I14" s="90">
        <v>157436739.1904521</v>
      </c>
      <c r="J14" s="90">
        <v>225668585.00001574</v>
      </c>
      <c r="K14" s="90">
        <v>7761244.7867053607</v>
      </c>
      <c r="L14" s="90">
        <v>19514508.629275419</v>
      </c>
      <c r="M14" s="90">
        <v>237421848.84258583</v>
      </c>
      <c r="N14" s="90">
        <v>160985783.9999949</v>
      </c>
      <c r="O14" s="90">
        <v>17937052.133069824</v>
      </c>
      <c r="P14" s="90">
        <v>3026441.4878693209</v>
      </c>
      <c r="Q14" s="90">
        <v>146075173.35479435</v>
      </c>
      <c r="R14" s="90">
        <v>-1.7024809494614601E-5</v>
      </c>
      <c r="S14" s="90">
        <v>5571952.1586796325</v>
      </c>
      <c r="T14" s="90">
        <v>6177051.6737885401</v>
      </c>
      <c r="U14" s="90">
        <v>605099.51509188407</v>
      </c>
      <c r="V14" t="s">
        <v>8</v>
      </c>
    </row>
    <row r="15" spans="1:26" x14ac:dyDescent="0.3">
      <c r="A15" s="543" t="s">
        <v>746</v>
      </c>
      <c r="B15" t="s">
        <v>758</v>
      </c>
      <c r="C15" t="s">
        <v>757</v>
      </c>
      <c r="D15" s="90">
        <v>0</v>
      </c>
      <c r="E15" s="90">
        <v>0</v>
      </c>
      <c r="F15" s="22">
        <v>209180318.50979573</v>
      </c>
      <c r="G15" s="90">
        <v>209180318.50979608</v>
      </c>
      <c r="H15" s="90">
        <v>170777930.38883039</v>
      </c>
      <c r="I15" s="90">
        <v>38402388.120965697</v>
      </c>
      <c r="J15" s="90">
        <v>0</v>
      </c>
      <c r="K15" s="90">
        <v>0</v>
      </c>
      <c r="L15" s="90">
        <v>16668486.006683376</v>
      </c>
      <c r="M15" s="90">
        <v>16668486.006683376</v>
      </c>
      <c r="N15" s="90">
        <v>0</v>
      </c>
      <c r="O15" s="90">
        <v>0</v>
      </c>
      <c r="P15" s="90">
        <v>0</v>
      </c>
      <c r="Q15" s="90">
        <v>0</v>
      </c>
      <c r="R15" s="90">
        <v>0</v>
      </c>
      <c r="S15" s="90">
        <v>0</v>
      </c>
      <c r="T15" s="90">
        <v>0</v>
      </c>
      <c r="U15" s="90">
        <v>0</v>
      </c>
      <c r="V15" t="s">
        <v>758</v>
      </c>
    </row>
    <row r="16" spans="1:26" x14ac:dyDescent="0.3">
      <c r="A16" s="543" t="s">
        <v>746</v>
      </c>
      <c r="B16" t="s">
        <v>12</v>
      </c>
      <c r="C16" t="s">
        <v>756</v>
      </c>
      <c r="D16" s="90">
        <v>576267646.74083745</v>
      </c>
      <c r="E16" s="90">
        <v>30347497.222546324</v>
      </c>
      <c r="F16" s="22">
        <v>11344162.491500413</v>
      </c>
      <c r="G16" s="90">
        <v>557264312.00979197</v>
      </c>
      <c r="H16" s="90">
        <v>454958891.7474131</v>
      </c>
      <c r="I16" s="90">
        <v>102305420.26237887</v>
      </c>
      <c r="J16" s="90">
        <v>94159175.999998078</v>
      </c>
      <c r="K16" s="90">
        <v>1361883.1412186776</v>
      </c>
      <c r="L16" s="90">
        <v>2348187.7143745222</v>
      </c>
      <c r="M16" s="90">
        <v>95145480.573153913</v>
      </c>
      <c r="N16" s="90">
        <v>339999.99999660003</v>
      </c>
      <c r="O16" s="90">
        <v>58845.334613800005</v>
      </c>
      <c r="P16" s="90">
        <v>535980.75592302415</v>
      </c>
      <c r="Q16" s="90">
        <v>817135.42130582419</v>
      </c>
      <c r="R16" s="90">
        <v>1.9593280740082264E-6</v>
      </c>
      <c r="S16" s="90">
        <v>474593.5689158524</v>
      </c>
      <c r="T16" s="90">
        <v>1688957.3696244617</v>
      </c>
      <c r="U16" s="90">
        <v>1214363.8007105687</v>
      </c>
      <c r="V16" t="s">
        <v>12</v>
      </c>
    </row>
    <row r="17" spans="1:22" x14ac:dyDescent="0.3">
      <c r="A17" s="543" t="s">
        <v>746</v>
      </c>
      <c r="B17" t="s">
        <v>9</v>
      </c>
      <c r="C17" t="s">
        <v>759</v>
      </c>
      <c r="D17" s="90">
        <v>2938004019.7457738</v>
      </c>
      <c r="E17" s="90">
        <v>220638543.61239916</v>
      </c>
      <c r="F17" s="22">
        <v>237404326.94609201</v>
      </c>
      <c r="G17" s="90">
        <v>2954769803.079474</v>
      </c>
      <c r="H17" s="90">
        <v>2412318115.4908376</v>
      </c>
      <c r="I17" s="90">
        <v>542451687.5886364</v>
      </c>
      <c r="J17" s="90">
        <v>251075742.9682959</v>
      </c>
      <c r="K17" s="90">
        <v>13391047.556153888</v>
      </c>
      <c r="L17" s="90">
        <v>12082310.674417073</v>
      </c>
      <c r="M17" s="548">
        <v>249767006.08655906</v>
      </c>
      <c r="N17" s="90">
        <v>395864549.99998713</v>
      </c>
      <c r="O17" s="90">
        <v>7694271.5545348227</v>
      </c>
      <c r="P17" s="90">
        <v>3411217.3467196701</v>
      </c>
      <c r="Q17" s="90">
        <v>391581495.79217201</v>
      </c>
      <c r="R17" s="90">
        <v>-34642.968281821872</v>
      </c>
      <c r="S17" s="90">
        <v>4151096.4074393976</v>
      </c>
      <c r="T17" s="90">
        <v>2427853.4883109219</v>
      </c>
      <c r="U17" s="90">
        <v>-1757885.8874102985</v>
      </c>
      <c r="V17" t="s">
        <v>9</v>
      </c>
    </row>
    <row r="18" spans="1:22" x14ac:dyDescent="0.3">
      <c r="A18" s="549" t="s">
        <v>746</v>
      </c>
      <c r="B18" t="s">
        <v>769</v>
      </c>
      <c r="C18" t="s">
        <v>768</v>
      </c>
      <c r="D18" s="90">
        <v>0</v>
      </c>
      <c r="E18" s="90">
        <v>0</v>
      </c>
      <c r="F18" s="22">
        <v>0</v>
      </c>
      <c r="G18" s="90">
        <v>0</v>
      </c>
      <c r="H18" s="90">
        <v>0</v>
      </c>
      <c r="I18" s="90">
        <v>0</v>
      </c>
      <c r="J18" s="90">
        <v>0</v>
      </c>
      <c r="K18" s="90">
        <v>0</v>
      </c>
      <c r="L18" s="90">
        <v>0</v>
      </c>
      <c r="M18" s="90">
        <v>0</v>
      </c>
      <c r="N18" s="90">
        <v>0</v>
      </c>
      <c r="O18" s="90">
        <v>0</v>
      </c>
      <c r="P18" s="90">
        <v>0</v>
      </c>
      <c r="Q18" s="90">
        <v>0</v>
      </c>
      <c r="R18" s="90">
        <v>0</v>
      </c>
      <c r="S18" s="90">
        <v>0</v>
      </c>
      <c r="T18" s="90">
        <v>0</v>
      </c>
      <c r="U18" s="90">
        <v>0</v>
      </c>
      <c r="V18" t="s">
        <v>769</v>
      </c>
    </row>
    <row r="19" spans="1:22" x14ac:dyDescent="0.3">
      <c r="A19" s="543" t="s">
        <v>771</v>
      </c>
      <c r="B19" t="s">
        <v>11</v>
      </c>
      <c r="C19" t="s">
        <v>770</v>
      </c>
      <c r="D19" s="90">
        <v>25211875.00000377</v>
      </c>
      <c r="E19" s="90">
        <v>0</v>
      </c>
      <c r="F19" s="22">
        <v>0</v>
      </c>
      <c r="G19" s="90">
        <v>25211875.00000377</v>
      </c>
      <c r="H19" s="90">
        <v>20583350.596250769</v>
      </c>
      <c r="I19" s="90">
        <v>4628524.4037530012</v>
      </c>
      <c r="J19" s="90">
        <v>8330572.9307048246</v>
      </c>
      <c r="K19" s="90">
        <v>0</v>
      </c>
      <c r="L19" s="90">
        <v>0</v>
      </c>
      <c r="M19" s="90">
        <v>8330572.9307048246</v>
      </c>
      <c r="N19" s="90">
        <v>0</v>
      </c>
      <c r="O19" s="90">
        <v>0</v>
      </c>
      <c r="P19" s="90">
        <v>0</v>
      </c>
      <c r="Q19" s="90">
        <v>0</v>
      </c>
      <c r="R19" s="90">
        <v>0</v>
      </c>
      <c r="S19" s="90">
        <v>0</v>
      </c>
      <c r="T19" s="90">
        <v>0</v>
      </c>
      <c r="U19" s="90">
        <v>0</v>
      </c>
      <c r="V19" t="s">
        <v>11</v>
      </c>
    </row>
    <row r="20" spans="1:22" x14ac:dyDescent="0.3">
      <c r="A20" s="549" t="s">
        <v>771</v>
      </c>
      <c r="B20" t="s">
        <v>9</v>
      </c>
      <c r="C20" t="s">
        <v>3714</v>
      </c>
      <c r="D20" s="90">
        <v>0</v>
      </c>
      <c r="E20" s="90">
        <v>0</v>
      </c>
      <c r="F20" s="22">
        <v>0</v>
      </c>
      <c r="G20" s="90">
        <v>0</v>
      </c>
      <c r="H20" s="90">
        <v>0</v>
      </c>
      <c r="I20" s="90">
        <v>0</v>
      </c>
      <c r="J20" s="90">
        <v>0</v>
      </c>
      <c r="K20" s="90">
        <v>0</v>
      </c>
      <c r="L20" s="90">
        <v>0</v>
      </c>
      <c r="M20" s="90">
        <v>0</v>
      </c>
      <c r="N20" s="90">
        <v>0</v>
      </c>
      <c r="O20" s="90">
        <v>0</v>
      </c>
      <c r="P20" s="90">
        <v>0</v>
      </c>
      <c r="Q20" s="90">
        <v>0</v>
      </c>
      <c r="R20" s="90">
        <v>0</v>
      </c>
      <c r="S20" s="90">
        <v>0</v>
      </c>
      <c r="T20" s="90">
        <v>0</v>
      </c>
      <c r="U20" s="90">
        <v>0</v>
      </c>
      <c r="V20" t="s">
        <v>9</v>
      </c>
    </row>
    <row r="21" spans="1:22" x14ac:dyDescent="0.3">
      <c r="A21" s="543" t="s">
        <v>761</v>
      </c>
      <c r="B21" s="714" t="s">
        <v>804</v>
      </c>
      <c r="C21" t="s">
        <v>760</v>
      </c>
      <c r="D21" s="90">
        <v>613875509.00048995</v>
      </c>
      <c r="E21" s="90">
        <v>224883158.93071398</v>
      </c>
      <c r="F21" s="726">
        <f>12012268.54892+F6</f>
        <v>12069235.919810429</v>
      </c>
      <c r="G21" s="90">
        <v>401004618.61869621</v>
      </c>
      <c r="H21" s="90">
        <v>327386148.6201728</v>
      </c>
      <c r="I21" s="90">
        <v>73618469.998523444</v>
      </c>
      <c r="J21" s="90">
        <v>63565000.000002176</v>
      </c>
      <c r="K21" s="90">
        <v>9687299.0856844168</v>
      </c>
      <c r="L21" s="90">
        <v>5289526.1987929475</v>
      </c>
      <c r="M21" s="90">
        <v>59167227.113110729</v>
      </c>
      <c r="N21" s="90">
        <v>0</v>
      </c>
      <c r="O21" s="90">
        <v>0</v>
      </c>
      <c r="P21" s="90">
        <v>5239256.3252908494</v>
      </c>
      <c r="Q21" s="90">
        <v>5239256.3252908494</v>
      </c>
      <c r="R21" s="90">
        <v>-2.2117455955594778E-6</v>
      </c>
      <c r="S21" s="90">
        <v>570048.36916987062</v>
      </c>
      <c r="T21" s="90">
        <v>0</v>
      </c>
      <c r="U21" s="90">
        <v>-570048.3691720824</v>
      </c>
      <c r="V21" t="s">
        <v>749</v>
      </c>
    </row>
    <row r="22" spans="1:22" x14ac:dyDescent="0.3">
      <c r="A22" s="543" t="s">
        <v>761</v>
      </c>
      <c r="B22" t="s">
        <v>2777</v>
      </c>
      <c r="C22" t="s">
        <v>762</v>
      </c>
      <c r="D22" s="90">
        <v>142961902.95861921</v>
      </c>
      <c r="E22" s="90">
        <v>7475641.3878110247</v>
      </c>
      <c r="F22" s="22">
        <v>4602921.0959176905</v>
      </c>
      <c r="G22" s="90">
        <v>140089182.66672587</v>
      </c>
      <c r="H22" s="90">
        <v>114370897.10983431</v>
      </c>
      <c r="I22" s="90">
        <v>25718285.556891575</v>
      </c>
      <c r="J22" s="90">
        <v>3575000.0000000005</v>
      </c>
      <c r="K22" s="90">
        <v>363530.82591853215</v>
      </c>
      <c r="L22" s="90">
        <v>1782855.5936307476</v>
      </c>
      <c r="M22" s="90">
        <v>4994324.7677122159</v>
      </c>
      <c r="N22" s="90">
        <v>40920700.000019558</v>
      </c>
      <c r="O22" s="90">
        <v>5239256.3252908494</v>
      </c>
      <c r="P22" s="90">
        <v>0</v>
      </c>
      <c r="Q22" s="90">
        <v>35681443.674728706</v>
      </c>
      <c r="R22" s="90">
        <v>0</v>
      </c>
      <c r="S22" s="90">
        <v>0</v>
      </c>
      <c r="T22" s="90">
        <v>0</v>
      </c>
      <c r="U22" s="90">
        <v>0</v>
      </c>
      <c r="V22" t="s">
        <v>10</v>
      </c>
    </row>
    <row r="23" spans="1:22" x14ac:dyDescent="0.3">
      <c r="A23" s="544" t="s">
        <v>761</v>
      </c>
      <c r="B23" s="545" t="s">
        <v>2778</v>
      </c>
      <c r="C23" s="545" t="s">
        <v>763</v>
      </c>
      <c r="D23" s="546">
        <v>133129956.59188597</v>
      </c>
      <c r="E23" s="546">
        <v>2132579.9295399953</v>
      </c>
      <c r="F23" s="547">
        <v>200993543.81605789</v>
      </c>
      <c r="G23" s="546">
        <v>331990920.47840387</v>
      </c>
      <c r="H23" s="546">
        <v>271042336.63612777</v>
      </c>
      <c r="I23" s="546">
        <v>60948583.842276096</v>
      </c>
      <c r="J23" s="546">
        <v>14592999.999999996</v>
      </c>
      <c r="K23" s="546">
        <v>62562.032058046934</v>
      </c>
      <c r="L23" s="546">
        <v>7075617.4750525663</v>
      </c>
      <c r="M23" s="546">
        <v>21606055.442994516</v>
      </c>
      <c r="N23" s="546">
        <v>0</v>
      </c>
      <c r="O23" s="546">
        <v>0</v>
      </c>
      <c r="P23" s="546">
        <v>0</v>
      </c>
      <c r="Q23" s="546">
        <v>0</v>
      </c>
      <c r="R23" s="546">
        <v>0</v>
      </c>
      <c r="S23" s="546">
        <v>0</v>
      </c>
      <c r="T23" s="546">
        <v>570048.36916987062</v>
      </c>
      <c r="U23" s="546">
        <v>570048.36916987062</v>
      </c>
      <c r="V23" s="545" t="s">
        <v>7</v>
      </c>
    </row>
    <row r="24" spans="1:22" x14ac:dyDescent="0.3">
      <c r="A24" s="543" t="s">
        <v>761</v>
      </c>
      <c r="B24" t="s">
        <v>2779</v>
      </c>
      <c r="C24" t="s">
        <v>764</v>
      </c>
      <c r="D24" s="90">
        <v>66201200.00019604</v>
      </c>
      <c r="E24" s="90">
        <v>3855362.2251545698</v>
      </c>
      <c r="F24" s="22">
        <v>2899357.7709646551</v>
      </c>
      <c r="G24" s="90">
        <v>65245195.546006128</v>
      </c>
      <c r="H24" s="90">
        <v>53267150.287084259</v>
      </c>
      <c r="I24" s="90">
        <v>11978045.258921873</v>
      </c>
      <c r="J24" s="90">
        <v>52954999.999996714</v>
      </c>
      <c r="K24" s="90">
        <v>5156695.1443503154</v>
      </c>
      <c r="L24" s="90">
        <v>165497.91362867822</v>
      </c>
      <c r="M24" s="90">
        <v>47963802.769275077</v>
      </c>
      <c r="N24" s="90">
        <v>0</v>
      </c>
      <c r="O24" s="90">
        <v>0</v>
      </c>
      <c r="P24" s="90">
        <v>0</v>
      </c>
      <c r="Q24" s="90">
        <v>0</v>
      </c>
      <c r="R24" s="90">
        <v>0</v>
      </c>
      <c r="S24" s="90">
        <v>0</v>
      </c>
      <c r="T24" s="90">
        <v>0</v>
      </c>
      <c r="U24" s="90">
        <v>0</v>
      </c>
      <c r="V24" t="s">
        <v>8</v>
      </c>
    </row>
    <row r="25" spans="1:22" x14ac:dyDescent="0.3">
      <c r="A25" s="543" t="s">
        <v>761</v>
      </c>
      <c r="B25" t="s">
        <v>758</v>
      </c>
      <c r="C25" t="s">
        <v>766</v>
      </c>
      <c r="D25" s="90">
        <v>0</v>
      </c>
      <c r="E25" s="90">
        <v>0</v>
      </c>
      <c r="F25" s="22">
        <v>11029078.5306271</v>
      </c>
      <c r="G25" s="90">
        <v>11029078.5306271</v>
      </c>
      <c r="H25" s="90">
        <v>9004304.1284888946</v>
      </c>
      <c r="I25" s="90">
        <v>2024774.4021382066</v>
      </c>
      <c r="J25" s="90">
        <v>0</v>
      </c>
      <c r="K25" s="90">
        <v>0</v>
      </c>
      <c r="L25" s="90">
        <v>478484.82309019391</v>
      </c>
      <c r="M25" s="90">
        <v>478484.82309019391</v>
      </c>
      <c r="N25" s="90">
        <v>0</v>
      </c>
      <c r="O25" s="90">
        <v>0</v>
      </c>
      <c r="P25" s="90">
        <v>0</v>
      </c>
      <c r="Q25" s="90">
        <v>0</v>
      </c>
      <c r="R25" s="90">
        <v>0</v>
      </c>
      <c r="S25" s="90">
        <v>0</v>
      </c>
      <c r="T25" s="90">
        <v>0</v>
      </c>
      <c r="U25" s="90">
        <v>0</v>
      </c>
      <c r="V25" t="s">
        <v>758</v>
      </c>
    </row>
    <row r="26" spans="1:22" x14ac:dyDescent="0.3">
      <c r="A26" s="549" t="s">
        <v>761</v>
      </c>
      <c r="B26" t="s">
        <v>2780</v>
      </c>
      <c r="C26" t="s">
        <v>767</v>
      </c>
      <c r="D26" s="90">
        <v>0</v>
      </c>
      <c r="E26" s="90">
        <v>0</v>
      </c>
      <c r="F26" s="22">
        <v>6731211.68989373</v>
      </c>
      <c r="G26" s="90">
        <v>6731211.68989373</v>
      </c>
      <c r="H26" s="90">
        <v>5495461.5692265462</v>
      </c>
      <c r="I26" s="90">
        <v>1235750.1206671838</v>
      </c>
      <c r="J26" s="90">
        <v>0</v>
      </c>
      <c r="K26" s="90">
        <v>0</v>
      </c>
      <c r="L26" s="90">
        <v>478105.08381618152</v>
      </c>
      <c r="M26" s="90">
        <v>478105.08381618152</v>
      </c>
      <c r="N26" s="90">
        <v>0</v>
      </c>
      <c r="O26" s="90">
        <v>0</v>
      </c>
      <c r="P26" s="90">
        <v>0</v>
      </c>
      <c r="Q26" s="90">
        <v>0</v>
      </c>
      <c r="R26" s="90">
        <v>0</v>
      </c>
      <c r="S26" s="90">
        <v>0</v>
      </c>
      <c r="T26" s="90">
        <v>0</v>
      </c>
      <c r="U26" s="90">
        <v>0</v>
      </c>
      <c r="V26" t="s">
        <v>12</v>
      </c>
    </row>
    <row r="27" spans="1:22" x14ac:dyDescent="0.3">
      <c r="A27" s="549" t="s">
        <v>3715</v>
      </c>
      <c r="B27" t="s">
        <v>11</v>
      </c>
      <c r="C27" t="s">
        <v>3716</v>
      </c>
      <c r="D27" s="90">
        <v>0</v>
      </c>
      <c r="E27" s="90">
        <v>0</v>
      </c>
      <c r="F27" s="22">
        <v>0</v>
      </c>
      <c r="G27" s="90">
        <v>0</v>
      </c>
      <c r="H27" s="90">
        <v>0</v>
      </c>
      <c r="I27" s="90">
        <v>0</v>
      </c>
      <c r="J27" s="90">
        <v>6664458.3445017887</v>
      </c>
      <c r="K27" s="90">
        <v>0</v>
      </c>
      <c r="L27" s="90">
        <v>0</v>
      </c>
      <c r="M27" s="90">
        <v>6664458.3445017887</v>
      </c>
      <c r="N27" s="90">
        <v>0</v>
      </c>
      <c r="O27" s="90">
        <v>0</v>
      </c>
      <c r="P27" s="90">
        <v>0</v>
      </c>
      <c r="Q27" s="90">
        <v>0</v>
      </c>
      <c r="R27" s="90">
        <v>0</v>
      </c>
      <c r="S27" s="90">
        <v>0</v>
      </c>
      <c r="T27" s="90">
        <v>0</v>
      </c>
      <c r="U27" s="90">
        <v>0</v>
      </c>
      <c r="V27" t="s">
        <v>11</v>
      </c>
    </row>
    <row r="28" spans="1:22" x14ac:dyDescent="0.3">
      <c r="D28" s="3">
        <v>16199536264.418245</v>
      </c>
      <c r="E28" s="3">
        <v>1401693386.834852</v>
      </c>
      <c r="F28" s="3">
        <v>1401693386.8348515</v>
      </c>
      <c r="G28" s="3">
        <v>16199536264.418245</v>
      </c>
      <c r="H28" s="3">
        <v>13225542901</v>
      </c>
      <c r="I28" s="3">
        <v>2973993363.4182453</v>
      </c>
      <c r="J28" s="3">
        <v>5107965236.7498512</v>
      </c>
      <c r="K28" s="3">
        <v>120615155.8880294</v>
      </c>
      <c r="L28" s="3">
        <v>120615155.88802941</v>
      </c>
      <c r="M28" s="3">
        <v>5107965236.7498503</v>
      </c>
      <c r="N28" s="3">
        <v>1652752219.612078</v>
      </c>
      <c r="O28" s="3">
        <v>76037414.399192795</v>
      </c>
      <c r="P28" s="3">
        <v>76037414.39919278</v>
      </c>
      <c r="Q28" s="3">
        <v>1652752219.612078</v>
      </c>
      <c r="R28" s="3">
        <v>192568061.5981853</v>
      </c>
      <c r="S28" s="3">
        <v>37523980.284848377</v>
      </c>
      <c r="T28" s="3">
        <v>37523980.28484837</v>
      </c>
      <c r="U28" s="3">
        <v>192568061.59818512</v>
      </c>
    </row>
    <row r="30" spans="1:22" x14ac:dyDescent="0.3">
      <c r="H30" s="550">
        <f>H5/$G5</f>
        <v>0.81641490750877077</v>
      </c>
      <c r="I30" s="550">
        <f>I5/$G5</f>
        <v>0.1835850924912292</v>
      </c>
    </row>
    <row r="31" spans="1:22" x14ac:dyDescent="0.3">
      <c r="H31" s="550">
        <f t="shared" ref="H31:I43" si="0">H6/$G6</f>
        <v>0.81641490750877077</v>
      </c>
      <c r="I31" s="550">
        <f t="shared" si="0"/>
        <v>0.1835850924912292</v>
      </c>
    </row>
    <row r="32" spans="1:22" x14ac:dyDescent="0.3">
      <c r="H32" s="550">
        <f t="shared" si="0"/>
        <v>0.81641490750877077</v>
      </c>
      <c r="I32" s="550">
        <f t="shared" si="0"/>
        <v>0.1835850924912292</v>
      </c>
    </row>
    <row r="33" spans="8:9" x14ac:dyDescent="0.3">
      <c r="H33" s="550">
        <f t="shared" si="0"/>
        <v>0.81641490750877066</v>
      </c>
      <c r="I33" s="550">
        <f t="shared" si="0"/>
        <v>0.1835850924912292</v>
      </c>
    </row>
    <row r="34" spans="8:9" x14ac:dyDescent="0.3">
      <c r="H34" s="550" t="e">
        <f t="shared" si="0"/>
        <v>#DIV/0!</v>
      </c>
      <c r="I34" s="550" t="e">
        <f t="shared" si="0"/>
        <v>#DIV/0!</v>
      </c>
    </row>
    <row r="35" spans="8:9" x14ac:dyDescent="0.3">
      <c r="H35" s="550" t="e">
        <f t="shared" si="0"/>
        <v>#DIV/0!</v>
      </c>
      <c r="I35" s="550" t="e">
        <f t="shared" si="0"/>
        <v>#DIV/0!</v>
      </c>
    </row>
    <row r="36" spans="8:9" x14ac:dyDescent="0.3">
      <c r="H36" s="550">
        <f t="shared" si="0"/>
        <v>0.81641490750877077</v>
      </c>
      <c r="I36" s="550">
        <f t="shared" si="0"/>
        <v>0.18358509249122923</v>
      </c>
    </row>
    <row r="37" spans="8:9" x14ac:dyDescent="0.3">
      <c r="H37" s="550">
        <f t="shared" si="0"/>
        <v>0.81641490750877077</v>
      </c>
      <c r="I37" s="550">
        <f t="shared" si="0"/>
        <v>0.1835850924912292</v>
      </c>
    </row>
    <row r="38" spans="8:9" x14ac:dyDescent="0.3">
      <c r="H38" s="550">
        <f t="shared" si="0"/>
        <v>0.81641490750877077</v>
      </c>
      <c r="I38" s="550">
        <f t="shared" si="0"/>
        <v>0.18358509249122923</v>
      </c>
    </row>
    <row r="39" spans="8:9" x14ac:dyDescent="0.3">
      <c r="H39" s="550">
        <f t="shared" si="0"/>
        <v>0.81641490750877077</v>
      </c>
      <c r="I39" s="550">
        <f t="shared" si="0"/>
        <v>0.18358509249122923</v>
      </c>
    </row>
    <row r="40" spans="8:9" x14ac:dyDescent="0.3">
      <c r="H40" s="550">
        <f t="shared" si="0"/>
        <v>0.81641490750877088</v>
      </c>
      <c r="I40" s="550">
        <f t="shared" si="0"/>
        <v>0.1835850924912292</v>
      </c>
    </row>
    <row r="41" spans="8:9" x14ac:dyDescent="0.3">
      <c r="H41" s="550">
        <f t="shared" si="0"/>
        <v>0.81641490750877077</v>
      </c>
      <c r="I41" s="550">
        <f t="shared" si="0"/>
        <v>0.1835850924912292</v>
      </c>
    </row>
    <row r="42" spans="8:9" x14ac:dyDescent="0.3">
      <c r="H42" s="550">
        <f t="shared" si="0"/>
        <v>0.81641490750877077</v>
      </c>
      <c r="I42" s="550">
        <f t="shared" si="0"/>
        <v>0.18358509249122923</v>
      </c>
    </row>
    <row r="43" spans="8:9" x14ac:dyDescent="0.3">
      <c r="H43" s="550" t="e">
        <f t="shared" si="0"/>
        <v>#DIV/0!</v>
      </c>
      <c r="I43" s="550" t="e">
        <f t="shared" si="0"/>
        <v>#DIV/0!</v>
      </c>
    </row>
    <row r="60" ht="33.75" customHeight="1" x14ac:dyDescent="0.3"/>
    <row r="75" ht="12.75" customHeight="1" x14ac:dyDescent="0.3"/>
  </sheetData>
  <mergeCells count="5">
    <mergeCell ref="R3:U3"/>
    <mergeCell ref="V3:V4"/>
    <mergeCell ref="D3:I3"/>
    <mergeCell ref="J3:M3"/>
    <mergeCell ref="N3:Q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  <outlinePr summaryBelow="0"/>
    <pageSetUpPr fitToPage="1"/>
  </sheetPr>
  <dimension ref="A1:BP526"/>
  <sheetViews>
    <sheetView tabSelected="1" zoomScale="60" zoomScaleNormal="60" workbookViewId="0">
      <pane xSplit="9" ySplit="3" topLeftCell="U157" activePane="bottomRight" state="frozen"/>
      <selection pane="topRight" activeCell="I1" sqref="I1"/>
      <selection pane="bottomLeft" activeCell="A4" sqref="A4"/>
      <selection pane="bottomRight" activeCell="AA183" sqref="AA183"/>
    </sheetView>
  </sheetViews>
  <sheetFormatPr defaultColWidth="9" defaultRowHeight="15.6" outlineLevelRow="3" outlineLevelCol="1" x14ac:dyDescent="0.3"/>
  <cols>
    <col min="1" max="1" width="5.33203125" style="175" hidden="1" customWidth="1" outlineLevel="1"/>
    <col min="2" max="2" width="16" style="175" hidden="1" customWidth="1" outlineLevel="1"/>
    <col min="3" max="3" width="5.77734375" style="175" hidden="1" customWidth="1" outlineLevel="1"/>
    <col min="4" max="4" width="7.77734375" style="175" hidden="1" customWidth="1" outlineLevel="1"/>
    <col min="5" max="5" width="44.21875" style="175" customWidth="1" collapsed="1"/>
    <col min="6" max="6" width="5.109375" style="175" hidden="1" customWidth="1" outlineLevel="1"/>
    <col min="7" max="7" width="5.77734375" style="176" hidden="1" customWidth="1" outlineLevel="1"/>
    <col min="8" max="8" width="41.44140625" style="175" hidden="1" customWidth="1" outlineLevel="1"/>
    <col min="9" max="9" width="15.6640625" style="175" customWidth="1" collapsed="1"/>
    <col min="10" max="10" width="19.77734375" style="175" hidden="1" customWidth="1" outlineLevel="1"/>
    <col min="11" max="11" width="18.44140625" style="175" hidden="1" customWidth="1" outlineLevel="1"/>
    <col min="12" max="12" width="20.44140625" style="175" hidden="1" customWidth="1" outlineLevel="1"/>
    <col min="13" max="13" width="9.6640625" style="178" hidden="1" customWidth="1" outlineLevel="1"/>
    <col min="14" max="27" width="17" style="175" hidden="1" customWidth="1" outlineLevel="1"/>
    <col min="28" max="28" width="16.88671875" style="175" hidden="1" customWidth="1" outlineLevel="1"/>
    <col min="29" max="31" width="15.44140625" style="175" hidden="1" customWidth="1" outlineLevel="1"/>
    <col min="32" max="32" width="16.44140625" style="175" hidden="1" customWidth="1" outlineLevel="1"/>
    <col min="33" max="34" width="15.44140625" style="175" hidden="1" customWidth="1" outlineLevel="1"/>
    <col min="35" max="35" width="17.44140625" style="175" hidden="1" customWidth="1" outlineLevel="1"/>
    <col min="36" max="37" width="15.44140625" style="175" hidden="1" customWidth="1" outlineLevel="1"/>
    <col min="38" max="38" width="17.77734375" style="175" hidden="1" customWidth="1" outlineLevel="1"/>
    <col min="39" max="39" width="15.21875" style="175" hidden="1" customWidth="1" outlineLevel="1"/>
    <col min="40" max="40" width="14.44140625" style="175" hidden="1" customWidth="1" outlineLevel="1"/>
    <col min="41" max="41" width="15.6640625" style="175" hidden="1" customWidth="1" outlineLevel="1"/>
    <col min="42" max="42" width="15.77734375" style="175" hidden="1" customWidth="1" outlineLevel="1"/>
    <col min="43" max="44" width="12.6640625" style="175" hidden="1" customWidth="1" outlineLevel="1"/>
    <col min="45" max="45" width="13.88671875" style="175" hidden="1" customWidth="1" outlineLevel="1"/>
    <col min="46" max="46" width="15" style="175" hidden="1" customWidth="1" outlineLevel="1"/>
    <col min="47" max="47" width="14.33203125" style="175" hidden="1" customWidth="1" outlineLevel="1"/>
    <col min="48" max="48" width="15.44140625" style="175" hidden="1" customWidth="1" outlineLevel="1"/>
    <col min="49" max="49" width="14.77734375" style="175" hidden="1" customWidth="1" outlineLevel="1"/>
    <col min="50" max="51" width="12.6640625" style="175" hidden="1" customWidth="1" outlineLevel="1"/>
    <col min="52" max="52" width="14.109375" style="175" hidden="1" customWidth="1" outlineLevel="1"/>
    <col min="53" max="53" width="16.109375" style="175" hidden="1" customWidth="1" outlineLevel="1"/>
    <col min="54" max="54" width="15" style="175" hidden="1" customWidth="1" outlineLevel="1"/>
    <col min="55" max="55" width="12.88671875" style="175" hidden="1" customWidth="1" outlineLevel="1"/>
    <col min="56" max="59" width="16.77734375" style="175" hidden="1" customWidth="1" outlineLevel="1"/>
    <col min="60" max="60" width="16" style="175" hidden="1" customWidth="1" outlineLevel="1"/>
    <col min="61" max="61" width="15.6640625" style="175" customWidth="1" collapsed="1"/>
    <col min="62" max="64" width="15.6640625" style="175" customWidth="1"/>
    <col min="65" max="67" width="9" style="175"/>
    <col min="68" max="68" width="11" style="175" bestFit="1" customWidth="1"/>
    <col min="69" max="16384" width="9" style="175"/>
  </cols>
  <sheetData>
    <row r="1" spans="1:64" s="174" customFormat="1" ht="57.75" customHeight="1" x14ac:dyDescent="0.3">
      <c r="A1" s="167" t="s">
        <v>2829</v>
      </c>
      <c r="B1" s="167" t="s">
        <v>77</v>
      </c>
      <c r="C1" s="167" t="s">
        <v>2824</v>
      </c>
      <c r="D1" s="167" t="s">
        <v>2830</v>
      </c>
      <c r="E1" s="167" t="s">
        <v>4382</v>
      </c>
      <c r="F1" s="167" t="s">
        <v>81</v>
      </c>
      <c r="G1" s="168" t="s">
        <v>78</v>
      </c>
      <c r="H1" s="167" t="s">
        <v>137</v>
      </c>
      <c r="I1" s="376" t="s">
        <v>804</v>
      </c>
      <c r="J1" s="169" t="s">
        <v>2715</v>
      </c>
      <c r="K1" s="169" t="s">
        <v>87</v>
      </c>
      <c r="L1" s="169" t="s">
        <v>2709</v>
      </c>
      <c r="M1" s="169" t="s">
        <v>88</v>
      </c>
      <c r="N1" s="170" t="s">
        <v>2971</v>
      </c>
      <c r="O1" s="170" t="s">
        <v>1160</v>
      </c>
      <c r="P1" s="170" t="s">
        <v>2972</v>
      </c>
      <c r="Q1" s="170" t="s">
        <v>2973</v>
      </c>
      <c r="R1" s="170" t="s">
        <v>2974</v>
      </c>
      <c r="S1" s="170" t="s">
        <v>2975</v>
      </c>
      <c r="T1" s="170" t="s">
        <v>2976</v>
      </c>
      <c r="U1" s="170" t="s">
        <v>2977</v>
      </c>
      <c r="V1" s="170" t="s">
        <v>2981</v>
      </c>
      <c r="W1" s="170" t="s">
        <v>2978</v>
      </c>
      <c r="X1" s="170" t="s">
        <v>2979</v>
      </c>
      <c r="Y1" s="170" t="s">
        <v>2980</v>
      </c>
      <c r="Z1" s="170" t="s">
        <v>2982</v>
      </c>
      <c r="AA1" s="712" t="s">
        <v>2983</v>
      </c>
      <c r="AB1" s="171" t="s">
        <v>4010</v>
      </c>
      <c r="AC1" s="172" t="s">
        <v>4018</v>
      </c>
      <c r="AD1" s="172" t="s">
        <v>4019</v>
      </c>
      <c r="AE1" s="172" t="s">
        <v>841</v>
      </c>
      <c r="AF1" s="172" t="s">
        <v>93</v>
      </c>
      <c r="AG1" s="172" t="s">
        <v>4016</v>
      </c>
      <c r="AH1" s="172" t="s">
        <v>2996</v>
      </c>
      <c r="AI1" s="172" t="s">
        <v>109</v>
      </c>
      <c r="AJ1" s="172" t="s">
        <v>2758</v>
      </c>
      <c r="AK1" s="172" t="s">
        <v>2759</v>
      </c>
      <c r="AL1" s="172" t="s">
        <v>781</v>
      </c>
      <c r="AM1" s="172" t="s">
        <v>84</v>
      </c>
      <c r="AN1" s="173" t="s">
        <v>119</v>
      </c>
      <c r="AO1" s="173" t="s">
        <v>2869</v>
      </c>
      <c r="AP1" s="173" t="s">
        <v>2868</v>
      </c>
      <c r="AQ1" s="173" t="s">
        <v>116</v>
      </c>
      <c r="AR1" s="173" t="s">
        <v>3984</v>
      </c>
      <c r="AS1" s="173" t="s">
        <v>2706</v>
      </c>
      <c r="AT1" s="173" t="s">
        <v>122</v>
      </c>
      <c r="AU1" s="173" t="s">
        <v>123</v>
      </c>
      <c r="AV1" s="173" t="s">
        <v>126</v>
      </c>
      <c r="AW1" s="173" t="s">
        <v>127</v>
      </c>
      <c r="AX1" s="173" t="s">
        <v>129</v>
      </c>
      <c r="AY1" s="173" t="s">
        <v>131</v>
      </c>
      <c r="AZ1" s="173" t="s">
        <v>784</v>
      </c>
      <c r="BA1" s="173" t="s">
        <v>786</v>
      </c>
      <c r="BB1" s="173" t="s">
        <v>789</v>
      </c>
      <c r="BC1" s="173" t="s">
        <v>790</v>
      </c>
      <c r="BD1" s="426" t="s">
        <v>3480</v>
      </c>
      <c r="BE1" s="426" t="s">
        <v>3481</v>
      </c>
      <c r="BF1" s="173" t="s">
        <v>2993</v>
      </c>
      <c r="BG1" s="173" t="s">
        <v>3026</v>
      </c>
      <c r="BH1" s="173" t="s">
        <v>2867</v>
      </c>
      <c r="BI1" s="374" t="s">
        <v>2908</v>
      </c>
      <c r="BJ1" s="171" t="s">
        <v>4010</v>
      </c>
      <c r="BK1" s="172" t="s">
        <v>775</v>
      </c>
      <c r="BL1" s="375" t="s">
        <v>2909</v>
      </c>
    </row>
    <row r="2" spans="1:64" hidden="1" x14ac:dyDescent="0.3">
      <c r="A2" s="262"/>
      <c r="B2" s="262"/>
      <c r="C2" s="262"/>
      <c r="D2" s="262"/>
      <c r="E2" s="262"/>
      <c r="F2" s="262"/>
      <c r="I2" s="177" t="s">
        <v>2789</v>
      </c>
      <c r="J2" s="177" t="s">
        <v>2808</v>
      </c>
      <c r="N2" s="175" t="s">
        <v>3986</v>
      </c>
      <c r="O2" s="175" t="s">
        <v>1159</v>
      </c>
      <c r="P2" s="175" t="s">
        <v>3987</v>
      </c>
      <c r="Q2" s="175" t="s">
        <v>3988</v>
      </c>
      <c r="R2" s="175" t="s">
        <v>3989</v>
      </c>
      <c r="S2" s="175" t="s">
        <v>3990</v>
      </c>
      <c r="T2" s="175" t="s">
        <v>3991</v>
      </c>
      <c r="U2" s="175" t="s">
        <v>3992</v>
      </c>
      <c r="V2" s="175" t="s">
        <v>3993</v>
      </c>
      <c r="W2" s="175" t="s">
        <v>3634</v>
      </c>
      <c r="X2" s="175" t="s">
        <v>3994</v>
      </c>
      <c r="Y2" s="175" t="s">
        <v>3995</v>
      </c>
      <c r="Z2" s="175" t="s">
        <v>3996</v>
      </c>
      <c r="AA2" s="175" t="s">
        <v>1093</v>
      </c>
      <c r="AB2" s="175" t="s">
        <v>4012</v>
      </c>
      <c r="AC2" s="179" t="s">
        <v>4020</v>
      </c>
      <c r="AD2" s="179" t="s">
        <v>4021</v>
      </c>
      <c r="AE2" s="179" t="s">
        <v>4022</v>
      </c>
      <c r="AF2" s="179" t="s">
        <v>4014</v>
      </c>
      <c r="AG2" s="179" t="s">
        <v>4017</v>
      </c>
      <c r="AH2" s="179" t="s">
        <v>4192</v>
      </c>
      <c r="AI2" s="179"/>
      <c r="AJ2" s="179"/>
      <c r="AK2" s="179"/>
      <c r="AL2" s="179"/>
      <c r="AM2" s="179" t="s">
        <v>4015</v>
      </c>
      <c r="AN2" s="179" t="s">
        <v>2995</v>
      </c>
      <c r="AO2" s="179" t="s">
        <v>113</v>
      </c>
      <c r="AP2" s="179" t="s">
        <v>114</v>
      </c>
      <c r="AQ2" s="179" t="s">
        <v>115</v>
      </c>
      <c r="AR2" s="179" t="s">
        <v>118</v>
      </c>
      <c r="AS2" s="179" t="s">
        <v>2705</v>
      </c>
      <c r="AT2" s="179" t="s">
        <v>121</v>
      </c>
      <c r="AU2" s="179" t="s">
        <v>120</v>
      </c>
      <c r="AV2" s="179" t="s">
        <v>124</v>
      </c>
      <c r="AW2" s="179" t="s">
        <v>125</v>
      </c>
      <c r="AX2" s="179" t="s">
        <v>128</v>
      </c>
      <c r="AY2" s="179" t="s">
        <v>130</v>
      </c>
      <c r="AZ2" s="179" t="s">
        <v>783</v>
      </c>
      <c r="BA2" s="179" t="s">
        <v>785</v>
      </c>
      <c r="BB2" s="179" t="s">
        <v>787</v>
      </c>
      <c r="BC2" s="179" t="s">
        <v>788</v>
      </c>
      <c r="BD2" s="424" t="s">
        <v>3482</v>
      </c>
      <c r="BE2" s="424" t="s">
        <v>3483</v>
      </c>
      <c r="BF2" s="179" t="s">
        <v>2994</v>
      </c>
      <c r="BG2" s="179" t="s">
        <v>3027</v>
      </c>
      <c r="BH2" s="274"/>
    </row>
    <row r="3" spans="1:64" hidden="1" collapsed="1" x14ac:dyDescent="0.3">
      <c r="G3" s="175"/>
      <c r="N3" s="175" t="s">
        <v>3997</v>
      </c>
      <c r="O3" s="175" t="s">
        <v>3998</v>
      </c>
      <c r="P3" s="175" t="s">
        <v>3999</v>
      </c>
      <c r="Q3" s="175" t="s">
        <v>4000</v>
      </c>
      <c r="R3" s="175" t="s">
        <v>4001</v>
      </c>
      <c r="S3" s="175" t="s">
        <v>4002</v>
      </c>
      <c r="T3" s="175" t="s">
        <v>4003</v>
      </c>
      <c r="U3" s="175" t="s">
        <v>4004</v>
      </c>
      <c r="V3" s="175" t="s">
        <v>4005</v>
      </c>
      <c r="W3" s="175" t="s">
        <v>4006</v>
      </c>
      <c r="X3" s="175" t="s">
        <v>4007</v>
      </c>
      <c r="Y3" s="175" t="s">
        <v>4008</v>
      </c>
      <c r="Z3" s="175" t="s">
        <v>4009</v>
      </c>
      <c r="AA3" s="175" t="s">
        <v>4011</v>
      </c>
      <c r="AB3" s="175" t="s">
        <v>4013</v>
      </c>
      <c r="AC3" s="179" t="s">
        <v>4023</v>
      </c>
      <c r="AD3" s="179" t="s">
        <v>2730</v>
      </c>
      <c r="AE3" s="179" t="s">
        <v>4013</v>
      </c>
      <c r="AF3" s="179" t="s">
        <v>2730</v>
      </c>
      <c r="AG3" s="179" t="s">
        <v>2730</v>
      </c>
      <c r="AH3" s="179" t="s">
        <v>2730</v>
      </c>
      <c r="AI3" s="179" t="s">
        <v>2730</v>
      </c>
      <c r="AJ3" s="179" t="s">
        <v>2730</v>
      </c>
      <c r="AK3" s="179" t="s">
        <v>2730</v>
      </c>
      <c r="AL3" s="179" t="s">
        <v>2730</v>
      </c>
      <c r="AM3" s="179" t="s">
        <v>2730</v>
      </c>
      <c r="AN3" s="179" t="s">
        <v>2730</v>
      </c>
      <c r="AO3" s="179" t="s">
        <v>2730</v>
      </c>
      <c r="AP3" s="179" t="s">
        <v>2730</v>
      </c>
      <c r="AQ3" s="179" t="s">
        <v>2730</v>
      </c>
      <c r="AR3" s="179" t="s">
        <v>2730</v>
      </c>
      <c r="AS3" s="179" t="s">
        <v>2730</v>
      </c>
      <c r="AT3" s="179" t="s">
        <v>2730</v>
      </c>
      <c r="AU3" s="179" t="s">
        <v>2730</v>
      </c>
      <c r="AV3" s="179" t="s">
        <v>2730</v>
      </c>
      <c r="AW3" s="179" t="s">
        <v>2730</v>
      </c>
      <c r="AX3" s="179" t="s">
        <v>2730</v>
      </c>
      <c r="AY3" s="179" t="s">
        <v>2730</v>
      </c>
      <c r="AZ3" s="179" t="s">
        <v>2730</v>
      </c>
      <c r="BA3" s="179" t="s">
        <v>2730</v>
      </c>
      <c r="BB3" s="179" t="s">
        <v>2730</v>
      </c>
      <c r="BC3" s="179" t="s">
        <v>2730</v>
      </c>
      <c r="BD3" s="425" t="s">
        <v>2730</v>
      </c>
      <c r="BE3" s="425" t="s">
        <v>2730</v>
      </c>
      <c r="BF3" s="179" t="s">
        <v>2730</v>
      </c>
      <c r="BG3" s="179" t="s">
        <v>2730</v>
      </c>
      <c r="BH3" s="179"/>
    </row>
    <row r="4" spans="1:64" s="184" customFormat="1" ht="57.75" hidden="1" customHeight="1" outlineLevel="1" collapsed="1" x14ac:dyDescent="0.3">
      <c r="A4" s="180">
        <v>2</v>
      </c>
      <c r="B4" s="180" t="s">
        <v>18</v>
      </c>
      <c r="C4" s="180" t="s">
        <v>82</v>
      </c>
      <c r="D4" s="180"/>
      <c r="E4" s="180" t="s">
        <v>18</v>
      </c>
      <c r="F4" s="180" t="s">
        <v>2791</v>
      </c>
      <c r="G4" s="180"/>
      <c r="H4" s="180" t="s">
        <v>2707</v>
      </c>
      <c r="I4" s="181">
        <f>IFERROR(VLOOKUP($A4,'Bevétel 2a SZH 2022'!$B:$M,MATCH($I$1,'Bevétel 2a SZH 2022'!$B$1:$M$1,0),0), )</f>
        <v>327432657.61872739</v>
      </c>
      <c r="J4" s="181">
        <f t="shared" ref="J4:J35" si="0">SUM(N4:AM4)</f>
        <v>327432657.63100928</v>
      </c>
      <c r="K4" s="166">
        <f t="shared" ref="K4:K10" si="1">+I4-J4</f>
        <v>-1.2281894683837891E-2</v>
      </c>
      <c r="L4" s="166">
        <f t="shared" ref="L4:L35" si="2">SUM(N4:BH4)</f>
        <v>327432657.63100928</v>
      </c>
      <c r="M4" s="182"/>
      <c r="N4" s="181">
        <f>SUM(N7:N10)</f>
        <v>90918134.668957964</v>
      </c>
      <c r="O4" s="181">
        <f>SUM(O7:O10)</f>
        <v>10654288.941381192</v>
      </c>
      <c r="P4" s="181">
        <f t="shared" ref="P4:Y4" si="3">SUM(P7:P10)</f>
        <v>1569444.573689163</v>
      </c>
      <c r="Q4" s="181">
        <f t="shared" si="3"/>
        <v>18272964.318674561</v>
      </c>
      <c r="R4" s="181">
        <f t="shared" si="3"/>
        <v>5179913.0785105638</v>
      </c>
      <c r="S4" s="181">
        <f t="shared" si="3"/>
        <v>28126645.669710267</v>
      </c>
      <c r="T4" s="181">
        <f t="shared" si="3"/>
        <v>17414772.779293645</v>
      </c>
      <c r="U4" s="181">
        <f t="shared" si="3"/>
        <v>21374815.569439165</v>
      </c>
      <c r="V4" s="181">
        <f t="shared" si="3"/>
        <v>27947575.536446568</v>
      </c>
      <c r="W4" s="181">
        <f t="shared" si="3"/>
        <v>17271451.591497488</v>
      </c>
      <c r="X4" s="181">
        <f t="shared" si="3"/>
        <v>2611755.5682723564</v>
      </c>
      <c r="Y4" s="181">
        <f t="shared" si="3"/>
        <v>78715524.109550804</v>
      </c>
      <c r="Z4" s="181">
        <f>SUM(Z7:Z10)</f>
        <v>6953135.528767406</v>
      </c>
      <c r="AA4" s="181">
        <f>SUM(AA7:AA10)</f>
        <v>422235.6968181238</v>
      </c>
      <c r="AB4" s="181">
        <f>SUM(AB7:AB10)</f>
        <v>0</v>
      </c>
      <c r="AC4" s="181"/>
      <c r="AD4" s="181"/>
      <c r="AE4" s="181"/>
      <c r="AF4" s="181"/>
      <c r="AG4" s="181"/>
      <c r="AH4" s="181"/>
      <c r="AI4" s="181"/>
      <c r="AJ4" s="181"/>
      <c r="AK4" s="181"/>
      <c r="AL4" s="181"/>
      <c r="AM4" s="181"/>
      <c r="AN4" s="181"/>
      <c r="AO4" s="181"/>
      <c r="AP4" s="181"/>
      <c r="AQ4" s="181"/>
      <c r="AR4" s="181"/>
      <c r="AS4" s="181"/>
      <c r="AT4" s="181"/>
      <c r="AU4" s="181"/>
      <c r="AV4" s="181"/>
      <c r="AW4" s="181"/>
      <c r="AX4" s="181"/>
      <c r="AY4" s="181"/>
      <c r="AZ4" s="181"/>
      <c r="BA4" s="181"/>
      <c r="BB4" s="181"/>
      <c r="BC4" s="181"/>
      <c r="BD4" s="181"/>
      <c r="BE4" s="181"/>
      <c r="BF4" s="181"/>
      <c r="BG4" s="181"/>
      <c r="BH4" s="181"/>
      <c r="BI4" s="183">
        <f t="shared" ref="BI4:BI35" si="4">+SUM(N4:AA4)</f>
        <v>327432657.63100928</v>
      </c>
      <c r="BJ4" s="183">
        <f t="shared" ref="BJ4:BJ35" si="5">+AB4</f>
        <v>0</v>
      </c>
      <c r="BK4" s="183">
        <f t="shared" ref="BK4:BK35" si="6">+SUM(AC4:AM4)</f>
        <v>0</v>
      </c>
      <c r="BL4" s="183">
        <f t="shared" ref="BL4:BL35" si="7">+SUM(AN4:BH4)</f>
        <v>0</v>
      </c>
    </row>
    <row r="5" spans="1:64" s="187" customFormat="1" hidden="1" outlineLevel="2" x14ac:dyDescent="0.3">
      <c r="A5" s="185"/>
      <c r="B5" s="185" t="s">
        <v>2967</v>
      </c>
      <c r="C5" s="185" t="s">
        <v>82</v>
      </c>
      <c r="D5" s="185" t="s">
        <v>2963</v>
      </c>
      <c r="E5" s="185" t="s">
        <v>734</v>
      </c>
      <c r="F5" s="180" t="s">
        <v>2792</v>
      </c>
      <c r="G5" s="185">
        <v>320</v>
      </c>
      <c r="H5" s="185" t="str">
        <f>IFERROR(VLOOKUP(G5,'2022. tervsor'!C:D,2,0)," ")</f>
        <v>Működési költségvetés támogatása - Képzés</v>
      </c>
      <c r="I5" s="166">
        <f>VLOOKUP($I$1,'3.a'!B:V,3,0)*'3.a'!$H$2</f>
        <v>501177116.9025346</v>
      </c>
      <c r="J5" s="166">
        <f t="shared" si="0"/>
        <v>501177116.9025346</v>
      </c>
      <c r="K5" s="166">
        <f t="shared" si="1"/>
        <v>0</v>
      </c>
      <c r="L5" s="166">
        <f t="shared" si="2"/>
        <v>501177116.9025346</v>
      </c>
      <c r="M5" s="182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66"/>
      <c r="AD5" s="166"/>
      <c r="AE5" s="166"/>
      <c r="AF5" s="166"/>
      <c r="AG5" s="166"/>
      <c r="AH5" s="166"/>
      <c r="AI5" s="166"/>
      <c r="AJ5" s="166"/>
      <c r="AK5" s="166"/>
      <c r="AL5" s="166">
        <f>+I5</f>
        <v>501177116.9025346</v>
      </c>
      <c r="AM5" s="166"/>
      <c r="AN5" s="166"/>
      <c r="AO5" s="166"/>
      <c r="AP5" s="166"/>
      <c r="AQ5" s="166"/>
      <c r="AR5" s="166"/>
      <c r="AS5" s="166"/>
      <c r="AT5" s="166"/>
      <c r="AU5" s="166"/>
      <c r="AV5" s="166"/>
      <c r="AW5" s="166"/>
      <c r="AX5" s="166"/>
      <c r="AY5" s="166"/>
      <c r="AZ5" s="186"/>
      <c r="BA5" s="186"/>
      <c r="BB5" s="186"/>
      <c r="BC5" s="186"/>
      <c r="BD5" s="186"/>
      <c r="BE5" s="186"/>
      <c r="BF5" s="186"/>
      <c r="BG5" s="186"/>
      <c r="BH5" s="186"/>
      <c r="BI5" s="183">
        <f t="shared" si="4"/>
        <v>0</v>
      </c>
      <c r="BJ5" s="183">
        <f>+AB5</f>
        <v>0</v>
      </c>
      <c r="BK5" s="183">
        <f t="shared" si="6"/>
        <v>501177116.9025346</v>
      </c>
      <c r="BL5" s="183">
        <f t="shared" si="7"/>
        <v>0</v>
      </c>
    </row>
    <row r="6" spans="1:64" s="187" customFormat="1" hidden="1" outlineLevel="2" x14ac:dyDescent="0.3">
      <c r="A6" s="185"/>
      <c r="B6" s="185" t="s">
        <v>782</v>
      </c>
      <c r="C6" s="185" t="s">
        <v>82</v>
      </c>
      <c r="D6" s="185" t="s">
        <v>2963</v>
      </c>
      <c r="E6" s="185" t="s">
        <v>782</v>
      </c>
      <c r="F6" s="180" t="s">
        <v>2792</v>
      </c>
      <c r="G6" s="185">
        <v>343</v>
      </c>
      <c r="H6" s="185" t="str">
        <f>IFERROR(VLOOKUP(G6,'2022. tervsor'!C:D,2,0)," ")</f>
        <v>T Átoktatásra támogatás ÁTADÁS</v>
      </c>
      <c r="I6" s="166">
        <f>-VLOOKUP($I$1,'3.a'!B:V,4,0)*'3.a'!$H$2</f>
        <v>-183597963.39869905</v>
      </c>
      <c r="J6" s="166">
        <f t="shared" si="0"/>
        <v>-183597963.39869905</v>
      </c>
      <c r="K6" s="166">
        <f t="shared" si="1"/>
        <v>0</v>
      </c>
      <c r="L6" s="166">
        <f t="shared" si="2"/>
        <v>0</v>
      </c>
      <c r="M6" s="182"/>
      <c r="N6" s="166"/>
      <c r="O6" s="166"/>
      <c r="P6" s="166"/>
      <c r="Q6" s="166"/>
      <c r="R6" s="166"/>
      <c r="S6" s="166"/>
      <c r="T6" s="166"/>
      <c r="U6" s="166"/>
      <c r="V6" s="166"/>
      <c r="W6" s="166"/>
      <c r="X6" s="166"/>
      <c r="Y6" s="166"/>
      <c r="Z6" s="166"/>
      <c r="AA6" s="166"/>
      <c r="AB6" s="166"/>
      <c r="AC6" s="166"/>
      <c r="AD6" s="166"/>
      <c r="AE6" s="166"/>
      <c r="AF6" s="166"/>
      <c r="AG6" s="166"/>
      <c r="AH6" s="166"/>
      <c r="AI6" s="166"/>
      <c r="AJ6" s="166"/>
      <c r="AK6" s="166"/>
      <c r="AL6" s="166">
        <f>I6</f>
        <v>-183597963.39869905</v>
      </c>
      <c r="AM6" s="166"/>
      <c r="AN6" s="166"/>
      <c r="AO6" s="166"/>
      <c r="AP6" s="166"/>
      <c r="AQ6" s="166"/>
      <c r="AR6" s="166"/>
      <c r="AS6" s="166"/>
      <c r="AT6" s="166"/>
      <c r="AU6" s="166"/>
      <c r="AV6" s="166"/>
      <c r="AW6" s="166"/>
      <c r="AX6" s="166"/>
      <c r="AY6" s="166"/>
      <c r="AZ6" s="188"/>
      <c r="BA6" s="186">
        <f>-I6</f>
        <v>183597963.39869905</v>
      </c>
      <c r="BB6" s="186"/>
      <c r="BC6" s="186"/>
      <c r="BD6" s="186"/>
      <c r="BE6" s="186"/>
      <c r="BF6" s="186"/>
      <c r="BG6" s="186"/>
      <c r="BH6" s="186"/>
      <c r="BI6" s="183">
        <f t="shared" si="4"/>
        <v>0</v>
      </c>
      <c r="BJ6" s="183">
        <f t="shared" si="5"/>
        <v>0</v>
      </c>
      <c r="BK6" s="183">
        <f t="shared" si="6"/>
        <v>-183597963.39869905</v>
      </c>
      <c r="BL6" s="183">
        <f t="shared" si="7"/>
        <v>183597963.39869905</v>
      </c>
    </row>
    <row r="7" spans="1:64" s="187" customFormat="1" hidden="1" outlineLevel="2" x14ac:dyDescent="0.3">
      <c r="A7" s="185"/>
      <c r="B7" s="189" t="s">
        <v>2961</v>
      </c>
      <c r="C7" s="189" t="s">
        <v>82</v>
      </c>
      <c r="D7" s="189"/>
      <c r="E7" s="185" t="s">
        <v>2662</v>
      </c>
      <c r="F7" s="180" t="s">
        <v>82</v>
      </c>
      <c r="G7" s="185">
        <v>333</v>
      </c>
      <c r="H7" s="185" t="str">
        <f>IFERROR(VLOOKUP(G7,'2022. tervsor'!C:D,2,0)," ")</f>
        <v>T Képzési finanszírozás átadás</v>
      </c>
      <c r="I7" s="166">
        <f>+I5+I6</f>
        <v>317579153.50383556</v>
      </c>
      <c r="J7" s="166">
        <f t="shared" si="0"/>
        <v>0</v>
      </c>
      <c r="K7" s="166">
        <f t="shared" si="1"/>
        <v>317579153.50383556</v>
      </c>
      <c r="L7" s="166">
        <f t="shared" si="2"/>
        <v>0</v>
      </c>
      <c r="M7" s="190" t="s">
        <v>1429</v>
      </c>
      <c r="N7" s="166">
        <f>IFERROR(VLOOKUP(N$1,'22.b2'!$D:$H,3,0),0)*'3.a'!$H$2</f>
        <v>65207698.598060034</v>
      </c>
      <c r="O7" s="166">
        <f>IFERROR(VLOOKUP(O$1,'22.b2'!$D:$H,3,0),0)*'3.a'!$H$2</f>
        <v>6427045.2147043748</v>
      </c>
      <c r="P7" s="166">
        <f>IFERROR(VLOOKUP(P$1,'22.b2'!$D:$H,3,0),0)*'3.a'!$H$2</f>
        <v>740075.66817632655</v>
      </c>
      <c r="Q7" s="166">
        <f>IFERROR(VLOOKUP(Q$1,'22.b2'!$D:$H,3,0),0)*'3.a'!$H$2</f>
        <v>8973712.3724598382</v>
      </c>
      <c r="R7" s="166">
        <f>IFERROR(VLOOKUP(R$1,'22.b2'!$D:$H,3,0),0)*'3.a'!$H$2</f>
        <v>2395213.4093032279</v>
      </c>
      <c r="S7" s="166">
        <f>IFERROR(VLOOKUP(S$1,'22.b2'!$D:$H,3,0),0)*'3.a'!$H$2</f>
        <v>19757497.432151195</v>
      </c>
      <c r="T7" s="166">
        <f>IFERROR(VLOOKUP(T$1,'22.b2'!$D:$H,3,0),0)*'3.a'!$H$2</f>
        <v>9147984.7106601801</v>
      </c>
      <c r="U7" s="166">
        <f>IFERROR(VLOOKUP(U$1,'22.b2'!$D:$H,3,0),0)*'3.a'!$H$2</f>
        <v>9135645.0766503271</v>
      </c>
      <c r="V7" s="166">
        <f>IFERROR(VLOOKUP(V$1,'22.b2'!$D:$H,3,0),0)*'3.a'!$H$2</f>
        <v>23828942.939640783</v>
      </c>
      <c r="W7" s="166">
        <f>IFERROR(VLOOKUP(W$1,'22.b2'!$D:$H,3,0),0)*'3.a'!$H$2</f>
        <v>13331949.290311517</v>
      </c>
      <c r="X7" s="166">
        <f>IFERROR(VLOOKUP(X$1,'22.b2'!$D:$H,3,0),0)*'3.a'!$H$2</f>
        <v>1644505.3382581924</v>
      </c>
      <c r="Y7" s="166">
        <f>IFERROR(VLOOKUP(Y$1,'22.b2'!$D:$H,3,0),0)*'3.a'!$H$2</f>
        <v>53212430.265031092</v>
      </c>
      <c r="Z7" s="166">
        <f>IFERROR(VLOOKUP(Z$1,'22.b2'!$D:$H,3,0),0)*'3.a'!$H$2</f>
        <v>4666868.9796446776</v>
      </c>
      <c r="AA7" s="166">
        <f>IFERROR(VLOOKUP(AA$1,'22.b2'!$D:$H,3,0),0)*'3.a'!$H$2</f>
        <v>0</v>
      </c>
      <c r="AB7" s="166">
        <f>VLOOKUP($I$1,'22.b2'!$C:$H,4,0)*'3.a'!$H$2</f>
        <v>99109584.208783954</v>
      </c>
      <c r="AC7" s="166"/>
      <c r="AD7" s="166"/>
      <c r="AE7" s="166"/>
      <c r="AF7" s="166"/>
      <c r="AG7" s="166"/>
      <c r="AH7" s="166"/>
      <c r="AI7" s="166"/>
      <c r="AJ7" s="166"/>
      <c r="AK7" s="166"/>
      <c r="AL7" s="166">
        <f>-I7</f>
        <v>-317579153.50383556</v>
      </c>
      <c r="AM7" s="166"/>
      <c r="AN7" s="191"/>
      <c r="AO7" s="191"/>
      <c r="AP7" s="191"/>
      <c r="AQ7" s="191"/>
      <c r="AR7" s="191"/>
      <c r="AS7" s="191"/>
      <c r="AT7" s="191"/>
      <c r="AU7" s="191"/>
      <c r="AV7" s="191"/>
      <c r="AW7" s="191"/>
      <c r="AX7" s="191"/>
      <c r="AY7" s="191"/>
      <c r="AZ7" s="188"/>
      <c r="BA7" s="186"/>
      <c r="BB7" s="186"/>
      <c r="BC7" s="186"/>
      <c r="BD7" s="186"/>
      <c r="BE7" s="186"/>
      <c r="BF7" s="186"/>
      <c r="BG7" s="186"/>
      <c r="BH7" s="186"/>
      <c r="BI7" s="183">
        <f t="shared" si="4"/>
        <v>218469569.29505178</v>
      </c>
      <c r="BJ7" s="183">
        <f t="shared" si="5"/>
        <v>99109584.208783954</v>
      </c>
      <c r="BK7" s="183">
        <f t="shared" si="6"/>
        <v>-317579153.50383556</v>
      </c>
      <c r="BL7" s="183">
        <f t="shared" si="7"/>
        <v>0</v>
      </c>
    </row>
    <row r="8" spans="1:64" s="187" customFormat="1" hidden="1" outlineLevel="2" x14ac:dyDescent="0.3">
      <c r="A8" s="185"/>
      <c r="B8" s="189" t="s">
        <v>2961</v>
      </c>
      <c r="C8" s="189" t="s">
        <v>82</v>
      </c>
      <c r="D8" s="189"/>
      <c r="E8" s="192" t="s">
        <v>1431</v>
      </c>
      <c r="F8" s="180" t="s">
        <v>82</v>
      </c>
      <c r="G8" s="185">
        <v>333</v>
      </c>
      <c r="H8" s="185" t="str">
        <f>IFERROR(VLOOKUP(G8,'2022. tervsor'!C:D,2,0)," ")</f>
        <v>T Képzési finanszírozás átadás</v>
      </c>
      <c r="I8" s="166">
        <v>0</v>
      </c>
      <c r="J8" s="166">
        <f t="shared" si="0"/>
        <v>0</v>
      </c>
      <c r="K8" s="166">
        <f t="shared" si="1"/>
        <v>0</v>
      </c>
      <c r="L8" s="166">
        <f t="shared" si="2"/>
        <v>0</v>
      </c>
      <c r="M8" s="193">
        <v>3</v>
      </c>
      <c r="N8" s="166">
        <f>IFERROR(VLOOKUP($M8,'1 b felosztások'!$A:$U,'1 b felosztások'!C$2,0)*-$AB8,0)</f>
        <v>25710436.070897929</v>
      </c>
      <c r="O8" s="166">
        <f>IFERROR(VLOOKUP($M8,'1 b felosztások'!$A:$U,'1 b felosztások'!D$2,0)*-$AB8,0)</f>
        <v>3939502.301185973</v>
      </c>
      <c r="P8" s="166">
        <f>IFERROR(VLOOKUP($M8,'1 b felosztások'!$A:$U,'1 b felosztások'!E$2,0)*-$AB8,0)</f>
        <v>829368.90551283641</v>
      </c>
      <c r="Q8" s="166">
        <f>IFERROR(VLOOKUP($M8,'1 b felosztások'!$A:$U,'1 b felosztások'!F$2,0)*-$AB8,0)</f>
        <v>7879004.602371946</v>
      </c>
      <c r="R8" s="166">
        <f>IFERROR(VLOOKUP($M8,'1 b felosztások'!$A:$U,'1 b felosztások'!G$2,0)*-$AB8,0)</f>
        <v>1658737.8110256728</v>
      </c>
      <c r="S8" s="166">
        <f>IFERROR(VLOOKUP($M8,'1 b felosztások'!$A:$U,'1 b felosztások'!H$2,0)*-$AB8,0)</f>
        <v>8190017.9419392589</v>
      </c>
      <c r="T8" s="166">
        <f>IFERROR(VLOOKUP($M8,'1 b felosztások'!$A:$U,'1 b felosztások'!I$2,0)*-$AB8,0)</f>
        <v>8190017.9419392589</v>
      </c>
      <c r="U8" s="166">
        <f>IFERROR(VLOOKUP($M8,'1 b felosztások'!$A:$U,'1 b felosztások'!J$2,0)*-$AB8,0)</f>
        <v>6634951.2441026913</v>
      </c>
      <c r="V8" s="166">
        <f>IFERROR(VLOOKUP($M8,'1 b felosztások'!$A:$U,'1 b felosztások'!K$2,0)*-$AB8,0)</f>
        <v>3939502.301185973</v>
      </c>
      <c r="W8" s="166">
        <f>IFERROR(VLOOKUP($M8,'1 b felosztások'!$A:$U,'1 b felosztások'!L$2,0)*-$AB8,0)</f>
        <v>3939502.301185973</v>
      </c>
      <c r="X8" s="166">
        <f>IFERROR(VLOOKUP($M8,'1 b felosztások'!$A:$U,'1 b felosztások'!M$2,0)*-$AB8,0)</f>
        <v>622026.67913462734</v>
      </c>
      <c r="Y8" s="166">
        <f>IFERROR(VLOOKUP($M8,'1 b felosztások'!$A:$U,'1 b felosztások'!N$2,0)*-$AB8,0)</f>
        <v>25503093.844519719</v>
      </c>
      <c r="Z8" s="166">
        <f>IFERROR(VLOOKUP($M8,'1 b felosztások'!$A:$U,'1 b felosztások'!O$2,0)*-$AB8,0)</f>
        <v>2073422.263782091</v>
      </c>
      <c r="AA8" s="166">
        <f>IFERROR(VLOOKUP($M8,'1 b felosztások'!$A:$U,'1 b felosztások'!P$2,0)*-$AB8,0)</f>
        <v>0</v>
      </c>
      <c r="AB8" s="194">
        <f>-AB7</f>
        <v>-99109584.208783954</v>
      </c>
      <c r="AC8" s="166"/>
      <c r="AD8" s="166"/>
      <c r="AE8" s="166"/>
      <c r="AF8" s="166"/>
      <c r="AG8" s="166"/>
      <c r="AH8" s="166"/>
      <c r="AI8" s="166"/>
      <c r="AJ8" s="166"/>
      <c r="AK8" s="166"/>
      <c r="AL8" s="166"/>
      <c r="AM8" s="166"/>
      <c r="AN8" s="191"/>
      <c r="AO8" s="191"/>
      <c r="AP8" s="191"/>
      <c r="AQ8" s="191"/>
      <c r="AR8" s="191"/>
      <c r="AS8" s="191"/>
      <c r="AT8" s="191"/>
      <c r="AU8" s="191"/>
      <c r="AV8" s="191"/>
      <c r="AW8" s="191"/>
      <c r="AX8" s="191"/>
      <c r="AY8" s="191"/>
      <c r="AZ8" s="188"/>
      <c r="BA8" s="186"/>
      <c r="BB8" s="186"/>
      <c r="BC8" s="186"/>
      <c r="BD8" s="186"/>
      <c r="BE8" s="186"/>
      <c r="BF8" s="186"/>
      <c r="BG8" s="186"/>
      <c r="BH8" s="186"/>
      <c r="BI8" s="183">
        <f t="shared" si="4"/>
        <v>99109584.208783939</v>
      </c>
      <c r="BJ8" s="183">
        <f t="shared" si="5"/>
        <v>-99109584.208783954</v>
      </c>
      <c r="BK8" s="183">
        <f t="shared" si="6"/>
        <v>0</v>
      </c>
      <c r="BL8" s="183">
        <f t="shared" si="7"/>
        <v>0</v>
      </c>
    </row>
    <row r="9" spans="1:64" s="187" customFormat="1" hidden="1" outlineLevel="2" x14ac:dyDescent="0.3">
      <c r="A9" s="185"/>
      <c r="B9" s="185" t="s">
        <v>2660</v>
      </c>
      <c r="C9" s="185" t="s">
        <v>82</v>
      </c>
      <c r="D9" s="185" t="s">
        <v>2919</v>
      </c>
      <c r="E9" s="185" t="s">
        <v>2660</v>
      </c>
      <c r="F9" s="180" t="s">
        <v>82</v>
      </c>
      <c r="G9" s="185">
        <v>349</v>
      </c>
      <c r="H9" s="185" t="str">
        <f>IFERROR(VLOOKUP(G9,'2022. tervsor'!C:D,2,0)," ")</f>
        <v>T Átoktatásra támogatás ÁTVÉTEL</v>
      </c>
      <c r="I9" s="166">
        <f>VLOOKUP($I$1,'3.a'!B:V,5,0)*'3.a'!$H$2</f>
        <v>9853504.1271735653</v>
      </c>
      <c r="J9" s="166">
        <f t="shared" si="0"/>
        <v>9853504.127173556</v>
      </c>
      <c r="K9" s="166">
        <f t="shared" si="1"/>
        <v>0</v>
      </c>
      <c r="L9" s="166">
        <f t="shared" si="2"/>
        <v>0</v>
      </c>
      <c r="M9" s="190" t="s">
        <v>1430</v>
      </c>
      <c r="N9" s="166">
        <f>IFERROR(VLOOKUP(N$1,'22.b3'!$D:$H,3,0),0)*'3.a'!$H$2</f>
        <v>0</v>
      </c>
      <c r="O9" s="166">
        <f>IFERROR(VLOOKUP(O$1,'22.b3'!$D:$H,3,0),0)*'3.a'!$H$2</f>
        <v>0</v>
      </c>
      <c r="P9" s="166">
        <f>IFERROR(VLOOKUP(P$1,'22.b3'!$D:$H,3,0),0)*'3.a'!$H$2</f>
        <v>0</v>
      </c>
      <c r="Q9" s="166">
        <f>IFERROR(VLOOKUP(Q$1,'22.b3'!$D:$H,3,0),0)*'3.a'!$H$2</f>
        <v>1420247.3438427798</v>
      </c>
      <c r="R9" s="166">
        <f>IFERROR(VLOOKUP(R$1,'22.b3'!$D:$H,3,0),0)*'3.a'!$H$2</f>
        <v>1125961.8581816633</v>
      </c>
      <c r="S9" s="166">
        <f>IFERROR(VLOOKUP(S$1,'22.b3'!$D:$H,3,0),0)*'3.a'!$H$2</f>
        <v>179130.29561981006</v>
      </c>
      <c r="T9" s="166">
        <f>IFERROR(VLOOKUP(T$1,'22.b3'!$D:$H,3,0),0)*'3.a'!$H$2</f>
        <v>76770.126694204315</v>
      </c>
      <c r="U9" s="166">
        <f>IFERROR(VLOOKUP(U$1,'22.b3'!$D:$H,3,0),0)*'3.a'!$H$2</f>
        <v>5604219.2486861479</v>
      </c>
      <c r="V9" s="166">
        <f>IFERROR(VLOOKUP(V$1,'22.b3'!$D:$H,3,0),0)*'3.a'!$H$2</f>
        <v>179130.29561981006</v>
      </c>
      <c r="W9" s="166">
        <f>IFERROR(VLOOKUP(W$1,'22.b3'!$D:$H,3,0),0)*'3.a'!$H$2</f>
        <v>0</v>
      </c>
      <c r="X9" s="166">
        <f>IFERROR(VLOOKUP(X$1,'22.b3'!$D:$H,3,0),0)*'3.a'!$H$2</f>
        <v>52127.258644110487</v>
      </c>
      <c r="Y9" s="166">
        <f>IFERROR(VLOOKUP(Y$1,'22.b3'!$D:$H,3,0),0)*'3.a'!$H$2</f>
        <v>0</v>
      </c>
      <c r="Z9" s="166">
        <f>IFERROR(VLOOKUP(Z$1,'22.b3'!$D:$H,3,0),0)*'3.a'!$H$2</f>
        <v>212844.28534063761</v>
      </c>
      <c r="AA9" s="166">
        <f>IFERROR(VLOOKUP(AA$1,'22.b3'!$D:$H,3,0),0)*'3.a'!$H$2</f>
        <v>422235.6968181238</v>
      </c>
      <c r="AB9" s="166">
        <f>IFERROR(VLOOKUP($I$1,'22.b3'!$C:$H,4,0),0)*'3.a'!$H$2</f>
        <v>580837.71772626997</v>
      </c>
      <c r="AC9" s="166"/>
      <c r="AD9" s="166"/>
      <c r="AE9" s="166"/>
      <c r="AF9" s="166"/>
      <c r="AG9" s="166"/>
      <c r="AH9" s="166"/>
      <c r="AI9" s="166"/>
      <c r="AJ9" s="166"/>
      <c r="AK9" s="166"/>
      <c r="AL9" s="166"/>
      <c r="AM9" s="166"/>
      <c r="AN9" s="191"/>
      <c r="AO9" s="191"/>
      <c r="AP9" s="191"/>
      <c r="AQ9" s="191"/>
      <c r="AR9" s="191"/>
      <c r="AS9" s="191"/>
      <c r="AT9" s="191"/>
      <c r="AU9" s="191"/>
      <c r="AV9" s="191"/>
      <c r="AW9" s="191"/>
      <c r="AX9" s="191"/>
      <c r="AY9" s="191"/>
      <c r="AZ9" s="188"/>
      <c r="BA9" s="186">
        <f>-I9</f>
        <v>-9853504.1271735653</v>
      </c>
      <c r="BB9" s="186"/>
      <c r="BC9" s="186"/>
      <c r="BD9" s="186"/>
      <c r="BE9" s="186"/>
      <c r="BF9" s="186"/>
      <c r="BG9" s="186"/>
      <c r="BH9" s="186"/>
      <c r="BI9" s="183">
        <f t="shared" si="4"/>
        <v>9272666.4094472863</v>
      </c>
      <c r="BJ9" s="183">
        <f t="shared" si="5"/>
        <v>580837.71772626997</v>
      </c>
      <c r="BK9" s="183">
        <f t="shared" si="6"/>
        <v>0</v>
      </c>
      <c r="BL9" s="183">
        <f t="shared" si="7"/>
        <v>-9853504.1271735653</v>
      </c>
    </row>
    <row r="10" spans="1:64" s="187" customFormat="1" hidden="1" outlineLevel="2" x14ac:dyDescent="0.3">
      <c r="A10" s="185"/>
      <c r="B10" s="185" t="s">
        <v>2660</v>
      </c>
      <c r="C10" s="185" t="s">
        <v>82</v>
      </c>
      <c r="D10" s="185" t="s">
        <v>2919</v>
      </c>
      <c r="E10" s="185" t="s">
        <v>2661</v>
      </c>
      <c r="F10" s="180" t="s">
        <v>82</v>
      </c>
      <c r="G10" s="185">
        <v>349</v>
      </c>
      <c r="H10" s="185" t="str">
        <f>IFERROR(VLOOKUP(G10,'2022. tervsor'!C:D,2,0)," ")</f>
        <v>T Átoktatásra támogatás ÁTVÉTEL</v>
      </c>
      <c r="I10" s="166">
        <v>0</v>
      </c>
      <c r="J10" s="166">
        <f t="shared" si="0"/>
        <v>0</v>
      </c>
      <c r="K10" s="166">
        <f t="shared" si="1"/>
        <v>0</v>
      </c>
      <c r="L10" s="166">
        <f t="shared" si="2"/>
        <v>0</v>
      </c>
      <c r="M10" s="193">
        <v>12</v>
      </c>
      <c r="N10" s="166">
        <f>IFERROR(VLOOKUP($M10,'1 b felosztások'!$A:$U,'1 b felosztások'!C$2,0)*-$AB10,0)</f>
        <v>0</v>
      </c>
      <c r="O10" s="166">
        <f>IFERROR(VLOOKUP($M10,'1 b felosztások'!$A:$U,'1 b felosztások'!D$2,0)*-$AB10,0)</f>
        <v>287741.42549084366</v>
      </c>
      <c r="P10" s="166">
        <f>IFERROR(VLOOKUP($M10,'1 b felosztások'!$A:$U,'1 b felosztások'!E$2,0)*-$AB10,0)</f>
        <v>0</v>
      </c>
      <c r="Q10" s="166">
        <f>IFERROR(VLOOKUP($M10,'1 b felosztások'!$A:$U,'1 b felosztások'!F$2,0)*-$AB10,0)</f>
        <v>0</v>
      </c>
      <c r="R10" s="166">
        <f>IFERROR(VLOOKUP($M10,'1 b felosztások'!$A:$U,'1 b felosztások'!G$2,0)*-$AB10,0)</f>
        <v>0</v>
      </c>
      <c r="S10" s="166">
        <f>IFERROR(VLOOKUP($M10,'1 b felosztások'!$A:$U,'1 b felosztások'!H$2,0)*-$AB10,0)</f>
        <v>0</v>
      </c>
      <c r="T10" s="166">
        <f>IFERROR(VLOOKUP($M10,'1 b felosztások'!$A:$U,'1 b felosztások'!I$2,0)*-$AB10,0)</f>
        <v>0</v>
      </c>
      <c r="U10" s="166">
        <f>IFERROR(VLOOKUP($M10,'1 b felosztások'!$A:$U,'1 b felosztások'!J$2,0)*-$AB10,0)</f>
        <v>0</v>
      </c>
      <c r="V10" s="166">
        <f>IFERROR(VLOOKUP($M10,'1 b felosztások'!$A:$U,'1 b felosztások'!K$2,0)*-$AB10,0)</f>
        <v>0</v>
      </c>
      <c r="W10" s="166">
        <f>IFERROR(VLOOKUP($M10,'1 b felosztások'!$A:$U,'1 b felosztások'!L$2,0)*-$AB10,0)</f>
        <v>0</v>
      </c>
      <c r="X10" s="166">
        <f>IFERROR(VLOOKUP($M10,'1 b felosztások'!$A:$U,'1 b felosztások'!M$2,0)*-$AB10,0)</f>
        <v>293096.29223542631</v>
      </c>
      <c r="Y10" s="166">
        <f>IFERROR(VLOOKUP($M10,'1 b felosztások'!$A:$U,'1 b felosztások'!N$2,0)*-$AB10,0)</f>
        <v>0</v>
      </c>
      <c r="Z10" s="166">
        <f>IFERROR(VLOOKUP($M10,'1 b felosztások'!$A:$U,'1 b felosztások'!O$2,0)*-$AB10,0)</f>
        <v>0</v>
      </c>
      <c r="AA10" s="166">
        <f>IFERROR(VLOOKUP($M10,'1 b felosztások'!$A:$U,'1 b felosztások'!P$2,0)*-$AB10,0)</f>
        <v>0</v>
      </c>
      <c r="AB10" s="194">
        <f>-AB9</f>
        <v>-580837.71772626997</v>
      </c>
      <c r="AC10" s="166"/>
      <c r="AD10" s="166"/>
      <c r="AE10" s="166"/>
      <c r="AF10" s="166"/>
      <c r="AG10" s="166"/>
      <c r="AH10" s="166"/>
      <c r="AI10" s="166"/>
      <c r="AJ10" s="166"/>
      <c r="AK10" s="166"/>
      <c r="AL10" s="166"/>
      <c r="AM10" s="166"/>
      <c r="AN10" s="191"/>
      <c r="AO10" s="191"/>
      <c r="AP10" s="191"/>
      <c r="AQ10" s="191"/>
      <c r="AR10" s="191"/>
      <c r="AS10" s="191"/>
      <c r="AT10" s="191"/>
      <c r="AU10" s="191"/>
      <c r="AV10" s="191"/>
      <c r="AW10" s="191"/>
      <c r="AX10" s="191"/>
      <c r="AY10" s="191"/>
      <c r="AZ10" s="188"/>
      <c r="BA10" s="186"/>
      <c r="BB10" s="186"/>
      <c r="BC10" s="186"/>
      <c r="BD10" s="186"/>
      <c r="BE10" s="186"/>
      <c r="BF10" s="186"/>
      <c r="BG10" s="186"/>
      <c r="BH10" s="186"/>
      <c r="BI10" s="183">
        <f t="shared" si="4"/>
        <v>580837.71772626997</v>
      </c>
      <c r="BJ10" s="183">
        <f t="shared" si="5"/>
        <v>-580837.71772626997</v>
      </c>
      <c r="BK10" s="183">
        <f t="shared" si="6"/>
        <v>0</v>
      </c>
      <c r="BL10" s="183">
        <f t="shared" si="7"/>
        <v>0</v>
      </c>
    </row>
    <row r="11" spans="1:64" s="184" customFormat="1" hidden="1" outlineLevel="1" collapsed="1" x14ac:dyDescent="0.3">
      <c r="A11" s="180">
        <v>4</v>
      </c>
      <c r="B11" s="180" t="s">
        <v>20</v>
      </c>
      <c r="C11" s="180" t="s">
        <v>82</v>
      </c>
      <c r="D11" s="180"/>
      <c r="E11" s="180" t="s">
        <v>20</v>
      </c>
      <c r="F11" s="180" t="s">
        <v>2791</v>
      </c>
      <c r="G11" s="180"/>
      <c r="H11" s="180" t="s">
        <v>2707</v>
      </c>
      <c r="I11" s="181">
        <f>IFERROR(VLOOKUP($A11,'Bevétel 2a SZH 2022'!$B:$M,MATCH($I$1,'Bevétel 2a SZH 2022'!$B$1:$M$1,0),0), )</f>
        <v>59167227.113110729</v>
      </c>
      <c r="J11" s="181">
        <f t="shared" si="0"/>
        <v>59167227.113110714</v>
      </c>
      <c r="K11" s="166">
        <f t="shared" ref="K11:K17" si="8">+I11-J11</f>
        <v>0</v>
      </c>
      <c r="L11" s="166">
        <f t="shared" si="2"/>
        <v>59167227.113110714</v>
      </c>
      <c r="M11" s="182"/>
      <c r="N11" s="181">
        <f>SUM(N14:N17)</f>
        <v>13489854.173719266</v>
      </c>
      <c r="O11" s="181">
        <f>SUM(O14:O17)</f>
        <v>2112605.3418527283</v>
      </c>
      <c r="P11" s="181">
        <f t="shared" ref="P11:Y11" si="9">SUM(P14:P17)</f>
        <v>855591.98662747489</v>
      </c>
      <c r="Q11" s="181">
        <f t="shared" si="9"/>
        <v>4331865.3833081983</v>
      </c>
      <c r="R11" s="181">
        <f t="shared" si="9"/>
        <v>2156187.4244080656</v>
      </c>
      <c r="S11" s="181">
        <f t="shared" si="9"/>
        <v>2737705.409806354</v>
      </c>
      <c r="T11" s="181">
        <f t="shared" si="9"/>
        <v>2424820.7912872238</v>
      </c>
      <c r="U11" s="181">
        <f t="shared" si="9"/>
        <v>14190088.39770326</v>
      </c>
      <c r="V11" s="181">
        <f t="shared" si="9"/>
        <v>2629342.5281948885</v>
      </c>
      <c r="W11" s="181">
        <f t="shared" si="9"/>
        <v>3008577.9388079289</v>
      </c>
      <c r="X11" s="181">
        <f t="shared" si="9"/>
        <v>139013.55434141494</v>
      </c>
      <c r="Y11" s="181">
        <f t="shared" si="9"/>
        <v>10212311.502180019</v>
      </c>
      <c r="Z11" s="181">
        <f>SUM(Z14:Z17)</f>
        <v>879262.68087390321</v>
      </c>
      <c r="AA11" s="181">
        <f>SUM(AA14:AA17)</f>
        <v>0</v>
      </c>
      <c r="AB11" s="181">
        <f>SUM(AB14:AB17)</f>
        <v>0</v>
      </c>
      <c r="AC11" s="181"/>
      <c r="AD11" s="181"/>
      <c r="AE11" s="181"/>
      <c r="AF11" s="181"/>
      <c r="AG11" s="181"/>
      <c r="AH11" s="181"/>
      <c r="AI11" s="181"/>
      <c r="AJ11" s="181"/>
      <c r="AK11" s="181"/>
      <c r="AL11" s="181"/>
      <c r="AM11" s="181"/>
      <c r="AN11" s="181"/>
      <c r="AO11" s="181"/>
      <c r="AP11" s="181"/>
      <c r="AQ11" s="181"/>
      <c r="AR11" s="181"/>
      <c r="AS11" s="181"/>
      <c r="AT11" s="181"/>
      <c r="AU11" s="181"/>
      <c r="AV11" s="181"/>
      <c r="AW11" s="181"/>
      <c r="AX11" s="181"/>
      <c r="AY11" s="181"/>
      <c r="AZ11" s="181"/>
      <c r="BA11" s="181"/>
      <c r="BB11" s="181"/>
      <c r="BC11" s="181"/>
      <c r="BD11" s="181"/>
      <c r="BE11" s="181"/>
      <c r="BF11" s="181"/>
      <c r="BG11" s="181"/>
      <c r="BH11" s="181"/>
      <c r="BI11" s="183">
        <f t="shared" si="4"/>
        <v>59167227.113110714</v>
      </c>
      <c r="BJ11" s="183">
        <f t="shared" si="5"/>
        <v>0</v>
      </c>
      <c r="BK11" s="183">
        <f t="shared" si="6"/>
        <v>0</v>
      </c>
      <c r="BL11" s="183">
        <f t="shared" si="7"/>
        <v>0</v>
      </c>
    </row>
    <row r="12" spans="1:64" s="187" customFormat="1" hidden="1" outlineLevel="2" x14ac:dyDescent="0.3">
      <c r="A12" s="185"/>
      <c r="B12" s="185" t="s">
        <v>2968</v>
      </c>
      <c r="C12" s="185" t="s">
        <v>82</v>
      </c>
      <c r="D12" s="189" t="s">
        <v>2920</v>
      </c>
      <c r="E12" s="185" t="s">
        <v>2666</v>
      </c>
      <c r="F12" s="180" t="s">
        <v>2792</v>
      </c>
      <c r="G12" s="185">
        <v>255</v>
      </c>
      <c r="H12" s="185" t="str">
        <f>IFERROR(VLOOKUP(G12,'2022. tervsor'!C:D,2,0)," ")</f>
        <v>Ell.díjak - Neptun - Önktg. Költségtérítés</v>
      </c>
      <c r="I12" s="166">
        <f>VLOOKUP($I$1,'3.a'!B:V,9,0)</f>
        <v>63565000.000002176</v>
      </c>
      <c r="J12" s="166">
        <f t="shared" si="0"/>
        <v>63565000.000002176</v>
      </c>
      <c r="K12" s="166">
        <f t="shared" si="8"/>
        <v>0</v>
      </c>
      <c r="L12" s="166">
        <f t="shared" si="2"/>
        <v>63565000.000002176</v>
      </c>
      <c r="M12" s="182"/>
      <c r="N12" s="166"/>
      <c r="O12" s="166"/>
      <c r="P12" s="166"/>
      <c r="Q12" s="166"/>
      <c r="R12" s="166"/>
      <c r="S12" s="166"/>
      <c r="T12" s="166"/>
      <c r="U12" s="166"/>
      <c r="V12" s="166"/>
      <c r="W12" s="166"/>
      <c r="X12" s="166"/>
      <c r="Y12" s="166"/>
      <c r="Z12" s="166"/>
      <c r="AA12" s="166"/>
      <c r="AB12" s="166"/>
      <c r="AC12" s="166"/>
      <c r="AD12" s="166"/>
      <c r="AE12" s="166"/>
      <c r="AF12" s="166"/>
      <c r="AG12" s="166"/>
      <c r="AH12" s="166"/>
      <c r="AI12" s="166"/>
      <c r="AJ12" s="166"/>
      <c r="AK12" s="166"/>
      <c r="AL12" s="166">
        <f>+I12</f>
        <v>63565000.000002176</v>
      </c>
      <c r="AM12" s="166"/>
      <c r="AN12" s="166"/>
      <c r="AO12" s="166"/>
      <c r="AP12" s="166"/>
      <c r="AQ12" s="166"/>
      <c r="AR12" s="166"/>
      <c r="AS12" s="166"/>
      <c r="AT12" s="166"/>
      <c r="AU12" s="166"/>
      <c r="AV12" s="166"/>
      <c r="AW12" s="166"/>
      <c r="AX12" s="166"/>
      <c r="AY12" s="166"/>
      <c r="AZ12" s="188"/>
      <c r="BA12" s="186"/>
      <c r="BB12" s="186"/>
      <c r="BC12" s="186"/>
      <c r="BD12" s="186"/>
      <c r="BE12" s="186"/>
      <c r="BF12" s="186"/>
      <c r="BG12" s="186"/>
      <c r="BH12" s="186"/>
      <c r="BI12" s="183">
        <f t="shared" si="4"/>
        <v>0</v>
      </c>
      <c r="BJ12" s="183">
        <f t="shared" si="5"/>
        <v>0</v>
      </c>
      <c r="BK12" s="183">
        <f t="shared" si="6"/>
        <v>63565000.000002176</v>
      </c>
      <c r="BL12" s="183">
        <f t="shared" si="7"/>
        <v>0</v>
      </c>
    </row>
    <row r="13" spans="1:64" s="187" customFormat="1" hidden="1" outlineLevel="2" x14ac:dyDescent="0.3">
      <c r="A13" s="185"/>
      <c r="B13" s="185" t="s">
        <v>791</v>
      </c>
      <c r="C13" s="185" t="s">
        <v>82</v>
      </c>
      <c r="D13" s="189" t="s">
        <v>2920</v>
      </c>
      <c r="E13" s="185" t="s">
        <v>791</v>
      </c>
      <c r="F13" s="180" t="s">
        <v>2792</v>
      </c>
      <c r="G13" s="185">
        <v>294</v>
      </c>
      <c r="H13" s="185" t="str">
        <f>IFERROR(VLOOKUP(G13,'2022. tervsor'!C:D,2,0)," ")</f>
        <v>SB Átoktatásra bevétel ÁTADÁS</v>
      </c>
      <c r="I13" s="166">
        <f>-VLOOKUP($I$1,'3.a'!B:V,10,0)</f>
        <v>-9687299.0856844168</v>
      </c>
      <c r="J13" s="166">
        <f t="shared" si="0"/>
        <v>-9687299.0856844168</v>
      </c>
      <c r="K13" s="166">
        <f t="shared" si="8"/>
        <v>0</v>
      </c>
      <c r="L13" s="166">
        <f t="shared" si="2"/>
        <v>0</v>
      </c>
      <c r="M13" s="182"/>
      <c r="N13" s="166"/>
      <c r="O13" s="166"/>
      <c r="P13" s="166"/>
      <c r="Q13" s="166"/>
      <c r="R13" s="166"/>
      <c r="S13" s="166"/>
      <c r="T13" s="166"/>
      <c r="U13" s="166"/>
      <c r="V13" s="166"/>
      <c r="W13" s="166"/>
      <c r="X13" s="166"/>
      <c r="Y13" s="166"/>
      <c r="Z13" s="166"/>
      <c r="AA13" s="166"/>
      <c r="AB13" s="166"/>
      <c r="AC13" s="166"/>
      <c r="AD13" s="166"/>
      <c r="AE13" s="166"/>
      <c r="AF13" s="166"/>
      <c r="AG13" s="166"/>
      <c r="AH13" s="166"/>
      <c r="AI13" s="166"/>
      <c r="AJ13" s="166"/>
      <c r="AK13" s="166"/>
      <c r="AL13" s="166">
        <f>+I13</f>
        <v>-9687299.0856844168</v>
      </c>
      <c r="AM13" s="166"/>
      <c r="AN13" s="166"/>
      <c r="AO13" s="166"/>
      <c r="AP13" s="166"/>
      <c r="AQ13" s="166"/>
      <c r="AR13" s="166"/>
      <c r="AS13" s="166"/>
      <c r="AT13" s="166"/>
      <c r="AU13" s="166"/>
      <c r="AV13" s="166"/>
      <c r="AW13" s="166"/>
      <c r="AX13" s="166"/>
      <c r="AY13" s="166"/>
      <c r="AZ13" s="195">
        <f>-I13</f>
        <v>9687299.0856844168</v>
      </c>
      <c r="BA13" s="186"/>
      <c r="BB13" s="186"/>
      <c r="BC13" s="186"/>
      <c r="BD13" s="186"/>
      <c r="BE13" s="186"/>
      <c r="BF13" s="186"/>
      <c r="BG13" s="186"/>
      <c r="BH13" s="186"/>
      <c r="BI13" s="183">
        <f t="shared" si="4"/>
        <v>0</v>
      </c>
      <c r="BJ13" s="183">
        <f t="shared" si="5"/>
        <v>0</v>
      </c>
      <c r="BK13" s="183">
        <f t="shared" si="6"/>
        <v>-9687299.0856844168</v>
      </c>
      <c r="BL13" s="183">
        <f t="shared" si="7"/>
        <v>9687299.0856844168</v>
      </c>
    </row>
    <row r="14" spans="1:64" s="187" customFormat="1" hidden="1" outlineLevel="2" x14ac:dyDescent="0.3">
      <c r="A14" s="185"/>
      <c r="B14" s="189" t="s">
        <v>2962</v>
      </c>
      <c r="C14" s="189" t="s">
        <v>82</v>
      </c>
      <c r="D14" s="189"/>
      <c r="E14" s="185" t="s">
        <v>2668</v>
      </c>
      <c r="F14" s="180" t="s">
        <v>82</v>
      </c>
      <c r="G14" s="185">
        <v>286</v>
      </c>
      <c r="H14" s="185" t="str">
        <f>IFERROR(VLOOKUP(G14,'2022. tervsor'!C:D,2,0)," ")</f>
        <v>SB Képzési finanszírozás átadás</v>
      </c>
      <c r="I14" s="166">
        <f>+I12+I13</f>
        <v>53877700.914317757</v>
      </c>
      <c r="J14" s="166">
        <f t="shared" si="0"/>
        <v>0</v>
      </c>
      <c r="K14" s="166">
        <f t="shared" si="8"/>
        <v>53877700.914317757</v>
      </c>
      <c r="L14" s="166">
        <f t="shared" si="2"/>
        <v>0</v>
      </c>
      <c r="M14" s="190" t="s">
        <v>1429</v>
      </c>
      <c r="N14" s="166">
        <f>IFERROR(VLOOKUP(N$1,'22.b2'!$D:$H,2,0),0)</f>
        <v>7631959.404864056</v>
      </c>
      <c r="O14" s="166">
        <f>IFERROR(VLOOKUP(O$1,'22.b2'!$D:$H,2,0),0)</f>
        <v>1232186.1643571001</v>
      </c>
      <c r="P14" s="166">
        <f>IFERROR(VLOOKUP(P$1,'22.b2'!$D:$H,2,0),0)</f>
        <v>670240.58083892171</v>
      </c>
      <c r="Q14" s="166">
        <f>IFERROR(VLOOKUP(Q$1,'22.b2'!$D:$H,2,0),0)</f>
        <v>1978317.907934254</v>
      </c>
      <c r="R14" s="166">
        <f>IFERROR(VLOOKUP(R$1,'22.b2'!$D:$H,2,0),0)</f>
        <v>1673367.7933566354</v>
      </c>
      <c r="S14" s="166">
        <f>IFERROR(VLOOKUP(S$1,'22.b2'!$D:$H,2,0),0)</f>
        <v>907360.27764439094</v>
      </c>
      <c r="T14" s="166">
        <f>IFERROR(VLOOKUP(T$1,'22.b2'!$D:$H,2,0),0)</f>
        <v>531913.6270672133</v>
      </c>
      <c r="U14" s="166">
        <f>IFERROR(VLOOKUP(U$1,'22.b2'!$D:$H,2,0),0)</f>
        <v>8297140.1139270067</v>
      </c>
      <c r="V14" s="166">
        <f>IFERROR(VLOOKUP(V$1,'22.b2'!$D:$H,2,0),0)</f>
        <v>1748923.3506992606</v>
      </c>
      <c r="W14" s="166">
        <f>IFERROR(VLOOKUP(W$1,'22.b2'!$D:$H,2,0),0)</f>
        <v>2128158.7613123013</v>
      </c>
      <c r="X14" s="166">
        <f>IFERROR(VLOOKUP(X$1,'22.b2'!$D:$H,2,0),0)</f>
        <v>0</v>
      </c>
      <c r="Y14" s="166">
        <f>IFERROR(VLOOKUP(Y$1,'22.b2'!$D:$H,2,0),0)</f>
        <v>4512755.7741820076</v>
      </c>
      <c r="Z14" s="166">
        <f>IFERROR(VLOOKUP(Z$1,'22.b2'!$D:$H,2,0),0)</f>
        <v>415884.16640252003</v>
      </c>
      <c r="AA14" s="166">
        <f>IFERROR(VLOOKUP(AA$1,'22.b2'!$D:$H,2,0),0)</f>
        <v>0</v>
      </c>
      <c r="AB14" s="166">
        <f>IFERROR(VLOOKUP($I$1,'22.b2'!$C:$H,3,0),0)</f>
        <v>22149492.991732113</v>
      </c>
      <c r="AC14" s="166"/>
      <c r="AD14" s="166"/>
      <c r="AE14" s="166"/>
      <c r="AF14" s="166"/>
      <c r="AG14" s="166"/>
      <c r="AH14" s="166"/>
      <c r="AI14" s="166"/>
      <c r="AJ14" s="166"/>
      <c r="AK14" s="166"/>
      <c r="AL14" s="166">
        <f>-I14</f>
        <v>-53877700.914317757</v>
      </c>
      <c r="AM14" s="166"/>
      <c r="AN14" s="191"/>
      <c r="AO14" s="191"/>
      <c r="AP14" s="191"/>
      <c r="AQ14" s="191"/>
      <c r="AR14" s="191"/>
      <c r="AS14" s="191"/>
      <c r="AT14" s="191"/>
      <c r="AU14" s="191"/>
      <c r="AV14" s="191"/>
      <c r="AW14" s="191"/>
      <c r="AX14" s="191"/>
      <c r="AY14" s="191"/>
      <c r="AZ14" s="195"/>
      <c r="BA14" s="186"/>
      <c r="BB14" s="186"/>
      <c r="BC14" s="186"/>
      <c r="BD14" s="186"/>
      <c r="BE14" s="186"/>
      <c r="BF14" s="186"/>
      <c r="BG14" s="186"/>
      <c r="BH14" s="186"/>
      <c r="BI14" s="183">
        <f t="shared" si="4"/>
        <v>31728207.922585666</v>
      </c>
      <c r="BJ14" s="183">
        <f t="shared" si="5"/>
        <v>22149492.991732113</v>
      </c>
      <c r="BK14" s="183">
        <f t="shared" si="6"/>
        <v>-53877700.914317757</v>
      </c>
      <c r="BL14" s="183">
        <f t="shared" si="7"/>
        <v>0</v>
      </c>
    </row>
    <row r="15" spans="1:64" s="187" customFormat="1" hidden="1" outlineLevel="2" x14ac:dyDescent="0.3">
      <c r="A15" s="185"/>
      <c r="B15" s="189" t="s">
        <v>2962</v>
      </c>
      <c r="C15" s="189" t="s">
        <v>82</v>
      </c>
      <c r="D15" s="189"/>
      <c r="E15" s="192" t="s">
        <v>2667</v>
      </c>
      <c r="F15" s="180" t="s">
        <v>82</v>
      </c>
      <c r="G15" s="185">
        <v>286</v>
      </c>
      <c r="H15" s="185" t="str">
        <f>IFERROR(VLOOKUP(G15,'2022. tervsor'!C:D,2,0)," ")</f>
        <v>SB Képzési finanszírozás átadás</v>
      </c>
      <c r="I15" s="166">
        <v>0</v>
      </c>
      <c r="J15" s="166">
        <f t="shared" si="0"/>
        <v>0</v>
      </c>
      <c r="K15" s="166">
        <f t="shared" si="8"/>
        <v>0</v>
      </c>
      <c r="L15" s="166">
        <f t="shared" si="2"/>
        <v>0</v>
      </c>
      <c r="M15" s="193">
        <v>3</v>
      </c>
      <c r="N15" s="166">
        <f>IFERROR(VLOOKUP($M15,'1 b felosztások'!$A:$U,'1 b felosztások'!C$2,0)*-$AB15,0)</f>
        <v>5745893.5794451507</v>
      </c>
      <c r="O15" s="166">
        <f>IFERROR(VLOOKUP($M15,'1 b felosztások'!$A:$U,'1 b felosztások'!D$2,0)*-$AB15,0)</f>
        <v>880419.1774956279</v>
      </c>
      <c r="P15" s="166">
        <f>IFERROR(VLOOKUP($M15,'1 b felosztások'!$A:$U,'1 b felosztások'!E$2,0)*-$AB15,0)</f>
        <v>185351.40578855324</v>
      </c>
      <c r="Q15" s="166">
        <f>IFERROR(VLOOKUP($M15,'1 b felosztások'!$A:$U,'1 b felosztások'!F$2,0)*-$AB15,0)</f>
        <v>1760838.3549912558</v>
      </c>
      <c r="R15" s="166">
        <f>IFERROR(VLOOKUP($M15,'1 b felosztások'!$A:$U,'1 b felosztások'!G$2,0)*-$AB15,0)</f>
        <v>370702.81157710648</v>
      </c>
      <c r="S15" s="166">
        <f>IFERROR(VLOOKUP($M15,'1 b felosztások'!$A:$U,'1 b felosztások'!H$2,0)*-$AB15,0)</f>
        <v>1830345.1321619633</v>
      </c>
      <c r="T15" s="166">
        <f>IFERROR(VLOOKUP($M15,'1 b felosztások'!$A:$U,'1 b felosztások'!I$2,0)*-$AB15,0)</f>
        <v>1830345.1321619633</v>
      </c>
      <c r="U15" s="166">
        <f>IFERROR(VLOOKUP($M15,'1 b felosztások'!$A:$U,'1 b felosztások'!J$2,0)*-$AB15,0)</f>
        <v>1482811.2463084259</v>
      </c>
      <c r="V15" s="166">
        <f>IFERROR(VLOOKUP($M15,'1 b felosztások'!$A:$U,'1 b felosztások'!K$2,0)*-$AB15,0)</f>
        <v>880419.1774956279</v>
      </c>
      <c r="W15" s="166">
        <f>IFERROR(VLOOKUP($M15,'1 b felosztások'!$A:$U,'1 b felosztások'!L$2,0)*-$AB15,0)</f>
        <v>880419.1774956279</v>
      </c>
      <c r="X15" s="166">
        <f>IFERROR(VLOOKUP($M15,'1 b felosztások'!$A:$U,'1 b felosztások'!M$2,0)*-$AB15,0)</f>
        <v>139013.55434141494</v>
      </c>
      <c r="Y15" s="166">
        <f>IFERROR(VLOOKUP($M15,'1 b felosztások'!$A:$U,'1 b felosztások'!N$2,0)*-$AB15,0)</f>
        <v>5699555.7279980117</v>
      </c>
      <c r="Z15" s="166">
        <f>IFERROR(VLOOKUP($M15,'1 b felosztások'!$A:$U,'1 b felosztások'!O$2,0)*-$AB15,0)</f>
        <v>463378.51447138313</v>
      </c>
      <c r="AA15" s="166">
        <f>IFERROR(VLOOKUP($M15,'1 b felosztások'!$A:$U,'1 b felosztások'!P$2,0)*-$AB15,0)</f>
        <v>0</v>
      </c>
      <c r="AB15" s="194">
        <f>-AB14</f>
        <v>-22149492.991732113</v>
      </c>
      <c r="AC15" s="166"/>
      <c r="AD15" s="166"/>
      <c r="AE15" s="166"/>
      <c r="AF15" s="166"/>
      <c r="AG15" s="166"/>
      <c r="AH15" s="166"/>
      <c r="AI15" s="166"/>
      <c r="AJ15" s="166"/>
      <c r="AK15" s="166"/>
      <c r="AL15" s="166"/>
      <c r="AM15" s="166"/>
      <c r="AN15" s="191"/>
      <c r="AO15" s="191"/>
      <c r="AP15" s="191"/>
      <c r="AQ15" s="191"/>
      <c r="AR15" s="191"/>
      <c r="AS15" s="191"/>
      <c r="AT15" s="191"/>
      <c r="AU15" s="191"/>
      <c r="AV15" s="191"/>
      <c r="AW15" s="191"/>
      <c r="AX15" s="191"/>
      <c r="AY15" s="191"/>
      <c r="AZ15" s="195"/>
      <c r="BA15" s="186"/>
      <c r="BB15" s="186"/>
      <c r="BC15" s="186"/>
      <c r="BD15" s="186"/>
      <c r="BE15" s="186"/>
      <c r="BF15" s="186"/>
      <c r="BG15" s="186"/>
      <c r="BH15" s="186"/>
      <c r="BI15" s="183">
        <f t="shared" si="4"/>
        <v>22149492.991732113</v>
      </c>
      <c r="BJ15" s="183">
        <f t="shared" si="5"/>
        <v>-22149492.991732113</v>
      </c>
      <c r="BK15" s="183">
        <f t="shared" si="6"/>
        <v>0</v>
      </c>
      <c r="BL15" s="183">
        <f t="shared" si="7"/>
        <v>0</v>
      </c>
    </row>
    <row r="16" spans="1:64" s="187" customFormat="1" hidden="1" outlineLevel="2" x14ac:dyDescent="0.3">
      <c r="A16" s="185"/>
      <c r="B16" s="185" t="s">
        <v>2663</v>
      </c>
      <c r="C16" s="185" t="s">
        <v>82</v>
      </c>
      <c r="D16" s="185" t="s">
        <v>2921</v>
      </c>
      <c r="E16" s="185" t="s">
        <v>2663</v>
      </c>
      <c r="F16" s="180" t="s">
        <v>82</v>
      </c>
      <c r="G16" s="185">
        <v>301</v>
      </c>
      <c r="H16" s="185" t="str">
        <f>IFERROR(VLOOKUP(G16,'2022. tervsor'!C:D,2,0)," ")</f>
        <v>SB Átoktatásra bevétel ÁTVÉTEL</v>
      </c>
      <c r="I16" s="166">
        <f>VLOOKUP($I$1,'3.a'!B:V,11,0)</f>
        <v>5289526.1987929475</v>
      </c>
      <c r="J16" s="166">
        <f t="shared" si="0"/>
        <v>5289526.1987929465</v>
      </c>
      <c r="K16" s="166">
        <f t="shared" si="8"/>
        <v>0</v>
      </c>
      <c r="L16" s="166">
        <f t="shared" si="2"/>
        <v>0</v>
      </c>
      <c r="M16" s="190" t="s">
        <v>1430</v>
      </c>
      <c r="N16" s="166">
        <f>IFERROR(VLOOKUP(N$1,'22.b3'!$D:$H,2,0),0)</f>
        <v>112001.18941005845</v>
      </c>
      <c r="O16" s="166">
        <f>IFERROR(VLOOKUP(O$1,'22.b3'!$D:$H,2,0),0)</f>
        <v>0</v>
      </c>
      <c r="P16" s="166">
        <f>IFERROR(VLOOKUP(P$1,'22.b3'!$D:$H,2,0),0)</f>
        <v>0</v>
      </c>
      <c r="Q16" s="166">
        <f>IFERROR(VLOOKUP(Q$1,'22.b3'!$D:$H,2,0),0)</f>
        <v>592709.12038268894</v>
      </c>
      <c r="R16" s="166">
        <f>IFERROR(VLOOKUP(R$1,'22.b3'!$D:$H,2,0),0)</f>
        <v>112116.81947432355</v>
      </c>
      <c r="S16" s="166">
        <f>IFERROR(VLOOKUP(S$1,'22.b3'!$D:$H,2,0),0)</f>
        <v>0</v>
      </c>
      <c r="T16" s="166">
        <f>IFERROR(VLOOKUP(T$1,'22.b3'!$D:$H,2,0),0)</f>
        <v>62562.032058046934</v>
      </c>
      <c r="U16" s="166">
        <f>IFERROR(VLOOKUP(U$1,'22.b3'!$D:$H,2,0),0)</f>
        <v>4410137.037467829</v>
      </c>
      <c r="V16" s="166">
        <f>IFERROR(VLOOKUP(V$1,'22.b3'!$D:$H,2,0),0)</f>
        <v>0</v>
      </c>
      <c r="W16" s="166">
        <f>IFERROR(VLOOKUP(W$1,'22.b3'!$D:$H,2,0),0)</f>
        <v>0</v>
      </c>
      <c r="X16" s="166">
        <f>IFERROR(VLOOKUP(X$1,'22.b3'!$D:$H,2,0),0)</f>
        <v>0</v>
      </c>
      <c r="Y16" s="166">
        <f>IFERROR(VLOOKUP(Y$1,'22.b3'!$D:$H,2,0),0)</f>
        <v>0</v>
      </c>
      <c r="Z16" s="166">
        <f>IFERROR(VLOOKUP(Z$1,'22.b3'!$D:$H,2,0),0)</f>
        <v>0</v>
      </c>
      <c r="AA16" s="166">
        <f>IFERROR(VLOOKUP(AA$1,'22.b3'!$D:$H,2,0),0)</f>
        <v>0</v>
      </c>
      <c r="AB16" s="166">
        <f>IFERROR(VLOOKUP($I$1,'22.b3'!$C:$H,3,0),0)</f>
        <v>0</v>
      </c>
      <c r="AC16" s="166"/>
      <c r="AD16" s="166"/>
      <c r="AE16" s="166"/>
      <c r="AF16" s="166"/>
      <c r="AG16" s="166"/>
      <c r="AH16" s="166"/>
      <c r="AI16" s="166"/>
      <c r="AJ16" s="166"/>
      <c r="AK16" s="166"/>
      <c r="AL16" s="166"/>
      <c r="AM16" s="166"/>
      <c r="AN16" s="191"/>
      <c r="AO16" s="191"/>
      <c r="AP16" s="191"/>
      <c r="AQ16" s="191"/>
      <c r="AR16" s="191"/>
      <c r="AS16" s="191"/>
      <c r="AT16" s="191"/>
      <c r="AU16" s="191"/>
      <c r="AV16" s="191"/>
      <c r="AW16" s="191"/>
      <c r="AX16" s="191"/>
      <c r="AY16" s="191"/>
      <c r="AZ16" s="195">
        <f>-I16</f>
        <v>-5289526.1987929475</v>
      </c>
      <c r="BA16" s="186"/>
      <c r="BB16" s="186"/>
      <c r="BC16" s="186"/>
      <c r="BD16" s="186"/>
      <c r="BE16" s="186"/>
      <c r="BF16" s="186"/>
      <c r="BG16" s="186"/>
      <c r="BH16" s="186"/>
      <c r="BI16" s="183">
        <f t="shared" si="4"/>
        <v>5289526.1987929465</v>
      </c>
      <c r="BJ16" s="183">
        <f t="shared" si="5"/>
        <v>0</v>
      </c>
      <c r="BK16" s="183">
        <f t="shared" si="6"/>
        <v>0</v>
      </c>
      <c r="BL16" s="183">
        <f t="shared" si="7"/>
        <v>-5289526.1987929475</v>
      </c>
    </row>
    <row r="17" spans="1:64" s="187" customFormat="1" hidden="1" outlineLevel="2" x14ac:dyDescent="0.3">
      <c r="A17" s="185"/>
      <c r="B17" s="185" t="s">
        <v>2663</v>
      </c>
      <c r="C17" s="185" t="s">
        <v>82</v>
      </c>
      <c r="D17" s="185" t="s">
        <v>2921</v>
      </c>
      <c r="E17" s="185" t="s">
        <v>2664</v>
      </c>
      <c r="F17" s="180" t="s">
        <v>82</v>
      </c>
      <c r="G17" s="185">
        <v>301</v>
      </c>
      <c r="H17" s="185" t="str">
        <f>IFERROR(VLOOKUP(G17,'2022. tervsor'!C:D,2,0)," ")</f>
        <v>SB Átoktatásra bevétel ÁTVÉTEL</v>
      </c>
      <c r="I17" s="166">
        <v>0</v>
      </c>
      <c r="J17" s="166">
        <f t="shared" si="0"/>
        <v>0</v>
      </c>
      <c r="K17" s="166">
        <f t="shared" si="8"/>
        <v>0</v>
      </c>
      <c r="L17" s="166">
        <f t="shared" si="2"/>
        <v>0</v>
      </c>
      <c r="M17" s="193">
        <v>3</v>
      </c>
      <c r="N17" s="166">
        <f>IFERROR(VLOOKUP($M17,'1 b felosztások'!$A:$U,'1 b felosztások'!C$2,0)*-$AB17,0)</f>
        <v>0</v>
      </c>
      <c r="O17" s="166">
        <f>IFERROR(VLOOKUP($M17,'1 b felosztások'!$A:$U,'1 b felosztások'!D$2,0)*-$AB17,0)</f>
        <v>0</v>
      </c>
      <c r="P17" s="166">
        <f>IFERROR(VLOOKUP($M17,'1 b felosztások'!$A:$U,'1 b felosztások'!E$2,0)*-$AB17,0)</f>
        <v>0</v>
      </c>
      <c r="Q17" s="166">
        <f>IFERROR(VLOOKUP($M17,'1 b felosztások'!$A:$U,'1 b felosztások'!F$2,0)*-$AB17,0)</f>
        <v>0</v>
      </c>
      <c r="R17" s="166">
        <f>IFERROR(VLOOKUP($M17,'1 b felosztások'!$A:$U,'1 b felosztások'!G$2,0)*-$AB17,0)</f>
        <v>0</v>
      </c>
      <c r="S17" s="166">
        <f>IFERROR(VLOOKUP($M17,'1 b felosztások'!$A:$U,'1 b felosztások'!H$2,0)*-$AB17,0)</f>
        <v>0</v>
      </c>
      <c r="T17" s="166">
        <f>IFERROR(VLOOKUP($M17,'1 b felosztások'!$A:$U,'1 b felosztások'!I$2,0)*-$AB17,0)</f>
        <v>0</v>
      </c>
      <c r="U17" s="166">
        <f>IFERROR(VLOOKUP($M17,'1 b felosztások'!$A:$U,'1 b felosztások'!J$2,0)*-$AB17,0)</f>
        <v>0</v>
      </c>
      <c r="V17" s="166">
        <f>IFERROR(VLOOKUP($M17,'1 b felosztások'!$A:$U,'1 b felosztások'!K$2,0)*-$AB17,0)</f>
        <v>0</v>
      </c>
      <c r="W17" s="166">
        <f>IFERROR(VLOOKUP($M17,'1 b felosztások'!$A:$U,'1 b felosztások'!L$2,0)*-$AB17,0)</f>
        <v>0</v>
      </c>
      <c r="X17" s="166">
        <f>IFERROR(VLOOKUP($M17,'1 b felosztások'!$A:$U,'1 b felosztások'!M$2,0)*-$AB17,0)</f>
        <v>0</v>
      </c>
      <c r="Y17" s="166">
        <f>IFERROR(VLOOKUP($M17,'1 b felosztások'!$A:$U,'1 b felosztások'!N$2,0)*-$AB17,0)</f>
        <v>0</v>
      </c>
      <c r="Z17" s="166">
        <f>IFERROR(VLOOKUP($M17,'1 b felosztások'!$A:$U,'1 b felosztások'!O$2,0)*-$AB17,0)</f>
        <v>0</v>
      </c>
      <c r="AA17" s="166">
        <f>IFERROR(VLOOKUP($M17,'1 b felosztások'!$A:$U,'1 b felosztások'!P$2,0)*-$AB17,0)</f>
        <v>0</v>
      </c>
      <c r="AB17" s="166">
        <f>-AB16</f>
        <v>0</v>
      </c>
      <c r="AC17" s="166"/>
      <c r="AD17" s="166"/>
      <c r="AE17" s="166"/>
      <c r="AF17" s="166"/>
      <c r="AG17" s="166"/>
      <c r="AH17" s="166"/>
      <c r="AI17" s="166"/>
      <c r="AJ17" s="166"/>
      <c r="AK17" s="166"/>
      <c r="AL17" s="166"/>
      <c r="AM17" s="166"/>
      <c r="AN17" s="191"/>
      <c r="AO17" s="191"/>
      <c r="AP17" s="191"/>
      <c r="AQ17" s="191"/>
      <c r="AR17" s="191"/>
      <c r="AS17" s="191"/>
      <c r="AT17" s="191"/>
      <c r="AU17" s="191"/>
      <c r="AV17" s="191"/>
      <c r="AW17" s="191"/>
      <c r="AX17" s="191"/>
      <c r="AY17" s="191"/>
      <c r="AZ17" s="195"/>
      <c r="BA17" s="186"/>
      <c r="BB17" s="186"/>
      <c r="BC17" s="186"/>
      <c r="BD17" s="186"/>
      <c r="BE17" s="186"/>
      <c r="BF17" s="186"/>
      <c r="BG17" s="186"/>
      <c r="BH17" s="186"/>
      <c r="BI17" s="183">
        <f t="shared" si="4"/>
        <v>0</v>
      </c>
      <c r="BJ17" s="183">
        <f t="shared" si="5"/>
        <v>0</v>
      </c>
      <c r="BK17" s="183">
        <f t="shared" si="6"/>
        <v>0</v>
      </c>
      <c r="BL17" s="183">
        <f t="shared" si="7"/>
        <v>0</v>
      </c>
    </row>
    <row r="18" spans="1:64" s="184" customFormat="1" hidden="1" outlineLevel="1" collapsed="1" x14ac:dyDescent="0.3">
      <c r="A18" s="180">
        <v>5</v>
      </c>
      <c r="B18" s="180" t="s">
        <v>22</v>
      </c>
      <c r="C18" s="180" t="s">
        <v>82</v>
      </c>
      <c r="D18" s="180" t="s">
        <v>2922</v>
      </c>
      <c r="E18" s="180" t="s">
        <v>22</v>
      </c>
      <c r="F18" s="180" t="s">
        <v>2791</v>
      </c>
      <c r="G18" s="180"/>
      <c r="H18" s="180" t="s">
        <v>2707</v>
      </c>
      <c r="I18" s="181">
        <f>IFERROR(VLOOKUP($A18,'Bevétel 2a SZH 2022'!$B:$M,MATCH($I$1,'Bevétel 2a SZH 2022'!$B$1:$M$1,0),0), )</f>
        <v>11236728.428310072</v>
      </c>
      <c r="J18" s="181">
        <f t="shared" si="0"/>
        <v>11236728</v>
      </c>
      <c r="K18" s="181">
        <f>+I18-J18</f>
        <v>0.42831007204949856</v>
      </c>
      <c r="L18" s="166">
        <f t="shared" si="2"/>
        <v>11236728</v>
      </c>
      <c r="M18" s="182"/>
      <c r="N18" s="181">
        <f>SUM(N19:N71)</f>
        <v>0</v>
      </c>
      <c r="O18" s="181">
        <f>SUM(O19:O71)</f>
        <v>0</v>
      </c>
      <c r="P18" s="181">
        <f t="shared" ref="P18:Z18" si="10">SUM(P19:P71)</f>
        <v>0</v>
      </c>
      <c r="Q18" s="181">
        <f t="shared" si="10"/>
        <v>0</v>
      </c>
      <c r="R18" s="181">
        <f t="shared" si="10"/>
        <v>0</v>
      </c>
      <c r="S18" s="181">
        <f t="shared" si="10"/>
        <v>0</v>
      </c>
      <c r="T18" s="181">
        <f t="shared" si="10"/>
        <v>0</v>
      </c>
      <c r="U18" s="181">
        <f t="shared" si="10"/>
        <v>0</v>
      </c>
      <c r="V18" s="181">
        <f t="shared" si="10"/>
        <v>0</v>
      </c>
      <c r="W18" s="181">
        <f t="shared" si="10"/>
        <v>0</v>
      </c>
      <c r="X18" s="181">
        <f t="shared" si="10"/>
        <v>0</v>
      </c>
      <c r="Y18" s="181">
        <f t="shared" si="10"/>
        <v>0</v>
      </c>
      <c r="Z18" s="181">
        <f t="shared" si="10"/>
        <v>0</v>
      </c>
      <c r="AA18" s="181">
        <f t="shared" ref="AA18:AM18" si="11">SUM(AA19:AA71)</f>
        <v>0</v>
      </c>
      <c r="AB18" s="181">
        <f t="shared" si="11"/>
        <v>0</v>
      </c>
      <c r="AC18" s="181">
        <f t="shared" si="11"/>
        <v>0</v>
      </c>
      <c r="AD18" s="181">
        <f t="shared" si="11"/>
        <v>7000000</v>
      </c>
      <c r="AE18" s="181">
        <f t="shared" si="11"/>
        <v>0</v>
      </c>
      <c r="AF18" s="181">
        <f>SUM(AF19:AF71)</f>
        <v>0</v>
      </c>
      <c r="AG18" s="181">
        <f>SUM(AG19:AG71)</f>
        <v>0</v>
      </c>
      <c r="AH18" s="181">
        <f t="shared" si="11"/>
        <v>0</v>
      </c>
      <c r="AI18" s="181">
        <f t="shared" si="11"/>
        <v>0</v>
      </c>
      <c r="AJ18" s="181">
        <f t="shared" si="11"/>
        <v>0</v>
      </c>
      <c r="AK18" s="181">
        <f t="shared" si="11"/>
        <v>0</v>
      </c>
      <c r="AL18" s="181">
        <f t="shared" si="11"/>
        <v>0</v>
      </c>
      <c r="AM18" s="181">
        <f t="shared" si="11"/>
        <v>4236728</v>
      </c>
      <c r="AN18" s="181"/>
      <c r="AO18" s="181"/>
      <c r="AP18" s="181"/>
      <c r="AQ18" s="181"/>
      <c r="AR18" s="181"/>
      <c r="AS18" s="181"/>
      <c r="AT18" s="181"/>
      <c r="AU18" s="181"/>
      <c r="AV18" s="181"/>
      <c r="AW18" s="181"/>
      <c r="AX18" s="181"/>
      <c r="AY18" s="181"/>
      <c r="AZ18" s="181"/>
      <c r="BA18" s="181"/>
      <c r="BB18" s="181"/>
      <c r="BC18" s="181"/>
      <c r="BD18" s="181"/>
      <c r="BE18" s="181"/>
      <c r="BF18" s="181"/>
      <c r="BG18" s="181"/>
      <c r="BH18" s="181"/>
      <c r="BI18" s="183">
        <f t="shared" si="4"/>
        <v>0</v>
      </c>
      <c r="BJ18" s="183">
        <f t="shared" si="5"/>
        <v>0</v>
      </c>
      <c r="BK18" s="183">
        <f t="shared" si="6"/>
        <v>11236728</v>
      </c>
      <c r="BL18" s="183">
        <f t="shared" si="7"/>
        <v>0</v>
      </c>
    </row>
    <row r="19" spans="1:64" s="184" customFormat="1" hidden="1" outlineLevel="2" x14ac:dyDescent="0.3">
      <c r="A19" s="180"/>
      <c r="B19" s="180"/>
      <c r="C19" s="180"/>
      <c r="D19" s="180"/>
      <c r="E19" s="180" t="s">
        <v>22</v>
      </c>
      <c r="F19" s="180" t="s">
        <v>82</v>
      </c>
      <c r="G19" s="180"/>
      <c r="H19" s="180" t="s">
        <v>2708</v>
      </c>
      <c r="I19" s="196">
        <v>0</v>
      </c>
      <c r="J19" s="181">
        <f t="shared" si="0"/>
        <v>0</v>
      </c>
      <c r="K19" s="181">
        <f>+I19-J19</f>
        <v>0</v>
      </c>
      <c r="L19" s="166">
        <f t="shared" si="2"/>
        <v>0</v>
      </c>
      <c r="M19" s="190"/>
      <c r="N19" s="166"/>
      <c r="O19" s="166"/>
      <c r="P19" s="166"/>
      <c r="Q19" s="166"/>
      <c r="R19" s="166"/>
      <c r="S19" s="166"/>
      <c r="T19" s="166"/>
      <c r="U19" s="166"/>
      <c r="V19" s="166"/>
      <c r="W19" s="166"/>
      <c r="X19" s="166"/>
      <c r="Y19" s="166"/>
      <c r="Z19" s="166"/>
      <c r="AA19" s="166"/>
      <c r="AB19" s="166"/>
      <c r="AC19" s="181"/>
      <c r="AD19" s="181"/>
      <c r="AE19" s="181"/>
      <c r="AF19" s="181"/>
      <c r="AG19" s="181"/>
      <c r="AH19" s="181"/>
      <c r="AI19" s="181"/>
      <c r="AJ19" s="181"/>
      <c r="AK19" s="181"/>
      <c r="AL19" s="181"/>
      <c r="AM19" s="181"/>
      <c r="AN19" s="181"/>
      <c r="AO19" s="181"/>
      <c r="AP19" s="181"/>
      <c r="AQ19" s="181"/>
      <c r="AR19" s="181"/>
      <c r="AS19" s="181"/>
      <c r="AT19" s="181"/>
      <c r="AU19" s="181"/>
      <c r="AV19" s="181"/>
      <c r="AW19" s="181"/>
      <c r="AX19" s="181"/>
      <c r="AY19" s="181"/>
      <c r="AZ19" s="183"/>
      <c r="BA19" s="183"/>
      <c r="BB19" s="183"/>
      <c r="BC19" s="183"/>
      <c r="BD19" s="183"/>
      <c r="BE19" s="183"/>
      <c r="BF19" s="183"/>
      <c r="BG19" s="183"/>
      <c r="BH19" s="183"/>
      <c r="BI19" s="183">
        <f t="shared" si="4"/>
        <v>0</v>
      </c>
      <c r="BJ19" s="183">
        <f t="shared" si="5"/>
        <v>0</v>
      </c>
      <c r="BK19" s="183">
        <f t="shared" si="6"/>
        <v>0</v>
      </c>
      <c r="BL19" s="183">
        <f t="shared" si="7"/>
        <v>0</v>
      </c>
    </row>
    <row r="20" spans="1:64" s="187" customFormat="1" hidden="1" outlineLevel="2" x14ac:dyDescent="0.3">
      <c r="A20" s="185"/>
      <c r="B20" s="185"/>
      <c r="C20" s="185"/>
      <c r="D20" s="185"/>
      <c r="E20" s="185" t="s">
        <v>22</v>
      </c>
      <c r="F20" s="180" t="s">
        <v>82</v>
      </c>
      <c r="G20" s="185">
        <v>233</v>
      </c>
      <c r="H20" s="185" t="str">
        <f>IFERROR(VLOOKUP(G20,'2022. tervsor'!C:D,2,0)," ")</f>
        <v>Vásárolt. saját előállítású  jegyzet. tankönyv értékesít.</v>
      </c>
      <c r="I20" s="166">
        <f>+J20</f>
        <v>0</v>
      </c>
      <c r="J20" s="166">
        <f t="shared" si="0"/>
        <v>0</v>
      </c>
      <c r="K20" s="166">
        <f t="shared" ref="K20:K89" si="12">+I20-J20</f>
        <v>0</v>
      </c>
      <c r="L20" s="166">
        <f t="shared" si="2"/>
        <v>0</v>
      </c>
      <c r="M20" s="182"/>
      <c r="N20" s="166"/>
      <c r="O20" s="166"/>
      <c r="P20" s="166"/>
      <c r="Q20" s="166"/>
      <c r="R20" s="166"/>
      <c r="S20" s="166"/>
      <c r="T20" s="166"/>
      <c r="U20" s="166"/>
      <c r="V20" s="166"/>
      <c r="W20" s="166"/>
      <c r="X20" s="166"/>
      <c r="Y20" s="166"/>
      <c r="Z20" s="166"/>
      <c r="AA20" s="166"/>
      <c r="AB20" s="166"/>
      <c r="AC20" s="166"/>
      <c r="AD20" s="166"/>
      <c r="AE20" s="166"/>
      <c r="AF20" s="166"/>
      <c r="AG20" s="166"/>
      <c r="AH20" s="166"/>
      <c r="AI20" s="166"/>
      <c r="AJ20" s="166"/>
      <c r="AK20" s="166"/>
      <c r="AL20" s="166"/>
      <c r="AM20" s="166"/>
      <c r="AN20" s="166"/>
      <c r="AO20" s="166"/>
      <c r="AP20" s="166"/>
      <c r="AQ20" s="166"/>
      <c r="AR20" s="166"/>
      <c r="AS20" s="166"/>
      <c r="AT20" s="166"/>
      <c r="AU20" s="166"/>
      <c r="AV20" s="166"/>
      <c r="AW20" s="166"/>
      <c r="AX20" s="166"/>
      <c r="AY20" s="166"/>
      <c r="AZ20" s="186"/>
      <c r="BA20" s="186"/>
      <c r="BB20" s="186"/>
      <c r="BC20" s="186"/>
      <c r="BD20" s="186"/>
      <c r="BE20" s="186"/>
      <c r="BF20" s="186"/>
      <c r="BG20" s="186"/>
      <c r="BH20" s="186"/>
      <c r="BI20" s="183">
        <f t="shared" si="4"/>
        <v>0</v>
      </c>
      <c r="BJ20" s="183">
        <f t="shared" si="5"/>
        <v>0</v>
      </c>
      <c r="BK20" s="183">
        <f t="shared" si="6"/>
        <v>0</v>
      </c>
      <c r="BL20" s="183">
        <f t="shared" si="7"/>
        <v>0</v>
      </c>
    </row>
    <row r="21" spans="1:64" s="187" customFormat="1" hidden="1" outlineLevel="2" x14ac:dyDescent="0.3">
      <c r="A21" s="185"/>
      <c r="B21" s="185"/>
      <c r="C21" s="185"/>
      <c r="D21" s="185"/>
      <c r="E21" s="185" t="s">
        <v>22</v>
      </c>
      <c r="F21" s="180" t="s">
        <v>82</v>
      </c>
      <c r="G21" s="185">
        <v>234</v>
      </c>
      <c r="H21" s="185" t="str">
        <f>IFERROR(VLOOKUP(G21,'2022. tervsor'!C:D,2,0)," ")</f>
        <v>Egyéb áru és készletértékesítés</v>
      </c>
      <c r="I21" s="166">
        <f t="shared" ref="I21:I71" si="13">+J21</f>
        <v>0</v>
      </c>
      <c r="J21" s="166">
        <f t="shared" si="0"/>
        <v>0</v>
      </c>
      <c r="K21" s="166">
        <f t="shared" si="12"/>
        <v>0</v>
      </c>
      <c r="L21" s="166">
        <f t="shared" si="2"/>
        <v>0</v>
      </c>
      <c r="M21" s="182"/>
      <c r="N21" s="166"/>
      <c r="O21" s="166"/>
      <c r="P21" s="166"/>
      <c r="Q21" s="166"/>
      <c r="R21" s="166"/>
      <c r="S21" s="166"/>
      <c r="T21" s="166"/>
      <c r="U21" s="166"/>
      <c r="V21" s="166"/>
      <c r="W21" s="166"/>
      <c r="X21" s="166"/>
      <c r="Y21" s="166"/>
      <c r="Z21" s="166"/>
      <c r="AA21" s="166"/>
      <c r="AB21" s="166"/>
      <c r="AC21" s="166"/>
      <c r="AD21" s="166"/>
      <c r="AE21" s="166"/>
      <c r="AF21" s="166"/>
      <c r="AG21" s="166"/>
      <c r="AH21" s="166"/>
      <c r="AI21" s="166"/>
      <c r="AJ21" s="166"/>
      <c r="AK21" s="166"/>
      <c r="AL21" s="166"/>
      <c r="AM21" s="166"/>
      <c r="AN21" s="166"/>
      <c r="AO21" s="166"/>
      <c r="AP21" s="166"/>
      <c r="AQ21" s="166"/>
      <c r="AR21" s="166"/>
      <c r="AS21" s="166"/>
      <c r="AT21" s="166"/>
      <c r="AU21" s="166"/>
      <c r="AV21" s="166"/>
      <c r="AW21" s="166"/>
      <c r="AX21" s="166"/>
      <c r="AY21" s="166"/>
      <c r="AZ21" s="186"/>
      <c r="BA21" s="186"/>
      <c r="BB21" s="186"/>
      <c r="BC21" s="186"/>
      <c r="BD21" s="186"/>
      <c r="BE21" s="186"/>
      <c r="BF21" s="186"/>
      <c r="BG21" s="186"/>
      <c r="BH21" s="186"/>
      <c r="BI21" s="183">
        <f t="shared" si="4"/>
        <v>0</v>
      </c>
      <c r="BJ21" s="183">
        <f t="shared" si="5"/>
        <v>0</v>
      </c>
      <c r="BK21" s="183">
        <f t="shared" si="6"/>
        <v>0</v>
      </c>
      <c r="BL21" s="183">
        <f t="shared" si="7"/>
        <v>0</v>
      </c>
    </row>
    <row r="22" spans="1:64" s="187" customFormat="1" hidden="1" outlineLevel="2" x14ac:dyDescent="0.3">
      <c r="A22" s="185"/>
      <c r="B22" s="185"/>
      <c r="C22" s="185"/>
      <c r="D22" s="185"/>
      <c r="E22" s="185" t="s">
        <v>22</v>
      </c>
      <c r="F22" s="180" t="s">
        <v>82</v>
      </c>
      <c r="G22" s="185">
        <v>235</v>
      </c>
      <c r="H22" s="185" t="str">
        <f>IFERROR(VLOOKUP(G22,'2022. tervsor'!C:D,2,0)," ")</f>
        <v>Gyakorló kert bevételei</v>
      </c>
      <c r="I22" s="166">
        <f t="shared" si="13"/>
        <v>0</v>
      </c>
      <c r="J22" s="166">
        <f t="shared" si="0"/>
        <v>0</v>
      </c>
      <c r="K22" s="166">
        <f t="shared" si="12"/>
        <v>0</v>
      </c>
      <c r="L22" s="166">
        <f t="shared" si="2"/>
        <v>0</v>
      </c>
      <c r="M22" s="182"/>
      <c r="N22" s="166"/>
      <c r="O22" s="166"/>
      <c r="P22" s="166"/>
      <c r="Q22" s="166"/>
      <c r="R22" s="166"/>
      <c r="S22" s="166"/>
      <c r="T22" s="166"/>
      <c r="U22" s="166"/>
      <c r="V22" s="166"/>
      <c r="W22" s="166"/>
      <c r="X22" s="166"/>
      <c r="Y22" s="166"/>
      <c r="Z22" s="166"/>
      <c r="AA22" s="166"/>
      <c r="AB22" s="166"/>
      <c r="AC22" s="166"/>
      <c r="AD22" s="166"/>
      <c r="AE22" s="166"/>
      <c r="AF22" s="166"/>
      <c r="AG22" s="166"/>
      <c r="AH22" s="166"/>
      <c r="AI22" s="166"/>
      <c r="AJ22" s="166"/>
      <c r="AK22" s="166"/>
      <c r="AL22" s="166"/>
      <c r="AM22" s="166"/>
      <c r="AN22" s="166"/>
      <c r="AO22" s="166"/>
      <c r="AP22" s="166"/>
      <c r="AQ22" s="166"/>
      <c r="AR22" s="166"/>
      <c r="AS22" s="166"/>
      <c r="AT22" s="166"/>
      <c r="AU22" s="166"/>
      <c r="AV22" s="166"/>
      <c r="AW22" s="166"/>
      <c r="AX22" s="166"/>
      <c r="AY22" s="166"/>
      <c r="AZ22" s="186"/>
      <c r="BA22" s="186"/>
      <c r="BB22" s="186"/>
      <c r="BC22" s="186"/>
      <c r="BD22" s="186"/>
      <c r="BE22" s="186"/>
      <c r="BF22" s="186"/>
      <c r="BG22" s="186"/>
      <c r="BH22" s="186"/>
      <c r="BI22" s="183">
        <f t="shared" si="4"/>
        <v>0</v>
      </c>
      <c r="BJ22" s="183">
        <f t="shared" si="5"/>
        <v>0</v>
      </c>
      <c r="BK22" s="183">
        <f t="shared" si="6"/>
        <v>0</v>
      </c>
      <c r="BL22" s="183">
        <f t="shared" si="7"/>
        <v>0</v>
      </c>
    </row>
    <row r="23" spans="1:64" s="187" customFormat="1" hidden="1" outlineLevel="2" x14ac:dyDescent="0.3">
      <c r="A23" s="185"/>
      <c r="B23" s="185"/>
      <c r="C23" s="185"/>
      <c r="D23" s="185"/>
      <c r="E23" s="185" t="s">
        <v>22</v>
      </c>
      <c r="F23" s="180" t="s">
        <v>82</v>
      </c>
      <c r="G23" s="185">
        <v>236</v>
      </c>
      <c r="H23" s="185" t="str">
        <f>IFERROR(VLOOKUP(G23,'2022. tervsor'!C:D,2,0)," ")</f>
        <v>ÁRU-ÉS KÉSZLET ÉRTÉKESÍTÉS ELLENÉRTÉKE</v>
      </c>
      <c r="I23" s="166">
        <f t="shared" si="13"/>
        <v>0</v>
      </c>
      <c r="J23" s="166">
        <f t="shared" si="0"/>
        <v>0</v>
      </c>
      <c r="K23" s="166">
        <f t="shared" si="12"/>
        <v>0</v>
      </c>
      <c r="L23" s="166">
        <f t="shared" si="2"/>
        <v>0</v>
      </c>
      <c r="M23" s="182"/>
      <c r="N23" s="166"/>
      <c r="O23" s="166"/>
      <c r="P23" s="166"/>
      <c r="Q23" s="166"/>
      <c r="R23" s="166"/>
      <c r="S23" s="166"/>
      <c r="T23" s="166"/>
      <c r="U23" s="166"/>
      <c r="V23" s="166"/>
      <c r="W23" s="166"/>
      <c r="X23" s="166"/>
      <c r="Y23" s="166"/>
      <c r="Z23" s="166"/>
      <c r="AA23" s="166"/>
      <c r="AB23" s="166"/>
      <c r="AC23" s="166"/>
      <c r="AD23" s="166"/>
      <c r="AE23" s="166"/>
      <c r="AF23" s="166"/>
      <c r="AG23" s="166"/>
      <c r="AH23" s="166"/>
      <c r="AI23" s="166"/>
      <c r="AJ23" s="166"/>
      <c r="AK23" s="166"/>
      <c r="AL23" s="166"/>
      <c r="AM23" s="166"/>
      <c r="AN23" s="166"/>
      <c r="AO23" s="166"/>
      <c r="AP23" s="166"/>
      <c r="AQ23" s="166"/>
      <c r="AR23" s="166"/>
      <c r="AS23" s="166"/>
      <c r="AT23" s="166"/>
      <c r="AU23" s="166"/>
      <c r="AV23" s="166"/>
      <c r="AW23" s="166"/>
      <c r="AX23" s="166"/>
      <c r="AY23" s="166"/>
      <c r="AZ23" s="186"/>
      <c r="BA23" s="186"/>
      <c r="BB23" s="186"/>
      <c r="BC23" s="186"/>
      <c r="BD23" s="186"/>
      <c r="BE23" s="186"/>
      <c r="BF23" s="186"/>
      <c r="BG23" s="186"/>
      <c r="BH23" s="186"/>
      <c r="BI23" s="183">
        <f t="shared" si="4"/>
        <v>0</v>
      </c>
      <c r="BJ23" s="183">
        <f t="shared" si="5"/>
        <v>0</v>
      </c>
      <c r="BK23" s="183">
        <f t="shared" si="6"/>
        <v>0</v>
      </c>
      <c r="BL23" s="183">
        <f t="shared" si="7"/>
        <v>0</v>
      </c>
    </row>
    <row r="24" spans="1:64" s="187" customFormat="1" hidden="1" outlineLevel="2" x14ac:dyDescent="0.3">
      <c r="A24" s="185"/>
      <c r="B24" s="185"/>
      <c r="C24" s="185"/>
      <c r="D24" s="185"/>
      <c r="E24" s="185" t="s">
        <v>22</v>
      </c>
      <c r="F24" s="180" t="s">
        <v>82</v>
      </c>
      <c r="G24" s="185">
        <v>237</v>
      </c>
      <c r="H24" s="185" t="str">
        <f>IFERROR(VLOOKUP(G24,'2022. tervsor'!C:D,2,0)," ")</f>
        <v>Oktatási bevételek (tanfolyamok stb.)</v>
      </c>
      <c r="I24" s="166">
        <f t="shared" si="13"/>
        <v>0</v>
      </c>
      <c r="J24" s="166">
        <f t="shared" si="0"/>
        <v>0</v>
      </c>
      <c r="K24" s="166">
        <f t="shared" si="12"/>
        <v>0</v>
      </c>
      <c r="L24" s="166">
        <f t="shared" si="2"/>
        <v>0</v>
      </c>
      <c r="M24" s="182"/>
      <c r="N24" s="166"/>
      <c r="O24" s="166"/>
      <c r="P24" s="166"/>
      <c r="Q24" s="166"/>
      <c r="R24" s="166"/>
      <c r="S24" s="166"/>
      <c r="T24" s="166"/>
      <c r="U24" s="166"/>
      <c r="V24" s="166"/>
      <c r="W24" s="166"/>
      <c r="X24" s="166"/>
      <c r="Y24" s="166"/>
      <c r="Z24" s="166"/>
      <c r="AA24" s="166"/>
      <c r="AB24" s="166"/>
      <c r="AC24" s="166"/>
      <c r="AD24" s="166"/>
      <c r="AE24" s="166"/>
      <c r="AF24" s="166"/>
      <c r="AG24" s="166"/>
      <c r="AH24" s="166"/>
      <c r="AI24" s="166"/>
      <c r="AJ24" s="166"/>
      <c r="AK24" s="166"/>
      <c r="AL24" s="166"/>
      <c r="AM24" s="166"/>
      <c r="AN24" s="166"/>
      <c r="AO24" s="166"/>
      <c r="AP24" s="166"/>
      <c r="AQ24" s="166"/>
      <c r="AR24" s="166"/>
      <c r="AS24" s="166"/>
      <c r="AT24" s="166"/>
      <c r="AU24" s="166"/>
      <c r="AV24" s="166"/>
      <c r="AW24" s="166"/>
      <c r="AX24" s="166"/>
      <c r="AY24" s="166"/>
      <c r="AZ24" s="186"/>
      <c r="BA24" s="186"/>
      <c r="BB24" s="186"/>
      <c r="BC24" s="186"/>
      <c r="BD24" s="186"/>
      <c r="BE24" s="186"/>
      <c r="BF24" s="186"/>
      <c r="BG24" s="186"/>
      <c r="BH24" s="186"/>
      <c r="BI24" s="183">
        <f t="shared" si="4"/>
        <v>0</v>
      </c>
      <c r="BJ24" s="183">
        <f t="shared" si="5"/>
        <v>0</v>
      </c>
      <c r="BK24" s="183">
        <f t="shared" si="6"/>
        <v>0</v>
      </c>
      <c r="BL24" s="183">
        <f t="shared" si="7"/>
        <v>0</v>
      </c>
    </row>
    <row r="25" spans="1:64" s="187" customFormat="1" hidden="1" outlineLevel="2" x14ac:dyDescent="0.3">
      <c r="A25" s="185"/>
      <c r="B25" s="185"/>
      <c r="C25" s="185"/>
      <c r="D25" s="185"/>
      <c r="E25" s="185" t="s">
        <v>22</v>
      </c>
      <c r="F25" s="180" t="s">
        <v>82</v>
      </c>
      <c r="G25" s="185">
        <v>238</v>
      </c>
      <c r="H25" s="185" t="str">
        <f>IFERROR(VLOOKUP(G25,'2022. tervsor'!C:D,2,0)," ")</f>
        <v>K + F tevékenység bevételei</v>
      </c>
      <c r="I25" s="166">
        <f t="shared" si="13"/>
        <v>0</v>
      </c>
      <c r="J25" s="166">
        <f t="shared" si="0"/>
        <v>0</v>
      </c>
      <c r="K25" s="166">
        <f t="shared" si="12"/>
        <v>0</v>
      </c>
      <c r="L25" s="166">
        <f t="shared" si="2"/>
        <v>0</v>
      </c>
      <c r="M25" s="182"/>
      <c r="N25" s="166"/>
      <c r="O25" s="166"/>
      <c r="P25" s="166"/>
      <c r="Q25" s="166"/>
      <c r="R25" s="166"/>
      <c r="S25" s="166"/>
      <c r="T25" s="166"/>
      <c r="U25" s="166"/>
      <c r="V25" s="166"/>
      <c r="W25" s="166"/>
      <c r="X25" s="166"/>
      <c r="Y25" s="166"/>
      <c r="Z25" s="166"/>
      <c r="AA25" s="166"/>
      <c r="AB25" s="166"/>
      <c r="AC25" s="166"/>
      <c r="AD25" s="166"/>
      <c r="AE25" s="166"/>
      <c r="AF25" s="166"/>
      <c r="AG25" s="166"/>
      <c r="AH25" s="166"/>
      <c r="AI25" s="166"/>
      <c r="AJ25" s="166"/>
      <c r="AK25" s="166"/>
      <c r="AL25" s="166"/>
      <c r="AM25" s="166"/>
      <c r="AN25" s="166"/>
      <c r="AO25" s="166"/>
      <c r="AP25" s="166"/>
      <c r="AQ25" s="166"/>
      <c r="AR25" s="166"/>
      <c r="AS25" s="166"/>
      <c r="AT25" s="166"/>
      <c r="AU25" s="166"/>
      <c r="AV25" s="166"/>
      <c r="AW25" s="166"/>
      <c r="AX25" s="166"/>
      <c r="AY25" s="166"/>
      <c r="AZ25" s="186"/>
      <c r="BA25" s="186"/>
      <c r="BB25" s="186"/>
      <c r="BC25" s="186"/>
      <c r="BD25" s="186"/>
      <c r="BE25" s="186"/>
      <c r="BF25" s="186"/>
      <c r="BG25" s="186"/>
      <c r="BH25" s="186"/>
      <c r="BI25" s="183">
        <f t="shared" si="4"/>
        <v>0</v>
      </c>
      <c r="BJ25" s="183">
        <f t="shared" si="5"/>
        <v>0</v>
      </c>
      <c r="BK25" s="183">
        <f t="shared" si="6"/>
        <v>0</v>
      </c>
      <c r="BL25" s="183">
        <f t="shared" si="7"/>
        <v>0</v>
      </c>
    </row>
    <row r="26" spans="1:64" s="187" customFormat="1" hidden="1" outlineLevel="2" x14ac:dyDescent="0.3">
      <c r="A26" s="185"/>
      <c r="B26" s="185"/>
      <c r="C26" s="185"/>
      <c r="D26" s="185"/>
      <c r="E26" s="185" t="s">
        <v>22</v>
      </c>
      <c r="F26" s="180" t="s">
        <v>82</v>
      </c>
      <c r="G26" s="185">
        <v>239</v>
      </c>
      <c r="H26" s="185" t="str">
        <f>IFERROR(VLOOKUP(G26,'2022. tervsor'!C:D,2,0)," ")</f>
        <v>Tárgyi eszköz bérbeadásából származó bevétel</v>
      </c>
      <c r="I26" s="166">
        <f>2668435+1568293</f>
        <v>4236728</v>
      </c>
      <c r="J26" s="166">
        <f t="shared" si="0"/>
        <v>4236728</v>
      </c>
      <c r="K26" s="166">
        <f t="shared" si="12"/>
        <v>0</v>
      </c>
      <c r="L26" s="166">
        <f t="shared" si="2"/>
        <v>4236728</v>
      </c>
      <c r="M26" s="182"/>
      <c r="N26" s="166"/>
      <c r="O26" s="166"/>
      <c r="P26" s="166"/>
      <c r="Q26" s="166"/>
      <c r="R26" s="166"/>
      <c r="S26" s="166"/>
      <c r="T26" s="166"/>
      <c r="U26" s="166"/>
      <c r="V26" s="166"/>
      <c r="W26" s="166"/>
      <c r="X26" s="166"/>
      <c r="Y26" s="166"/>
      <c r="Z26" s="166"/>
      <c r="AA26" s="166"/>
      <c r="AB26" s="166"/>
      <c r="AC26" s="166"/>
      <c r="AD26" s="166"/>
      <c r="AE26" s="166"/>
      <c r="AF26" s="166"/>
      <c r="AG26" s="166"/>
      <c r="AH26" s="166"/>
      <c r="AI26" s="166"/>
      <c r="AJ26" s="166"/>
      <c r="AK26" s="166"/>
      <c r="AL26" s="166"/>
      <c r="AM26" s="166">
        <v>4236728</v>
      </c>
      <c r="AN26" s="166"/>
      <c r="AO26" s="166"/>
      <c r="AP26" s="166"/>
      <c r="AQ26" s="166"/>
      <c r="AR26" s="166"/>
      <c r="AS26" s="166"/>
      <c r="AT26" s="166"/>
      <c r="AU26" s="166"/>
      <c r="AV26" s="166"/>
      <c r="AW26" s="166"/>
      <c r="AX26" s="166"/>
      <c r="AY26" s="166"/>
      <c r="AZ26" s="186"/>
      <c r="BA26" s="186"/>
      <c r="BB26" s="186"/>
      <c r="BC26" s="186"/>
      <c r="BD26" s="186"/>
      <c r="BE26" s="186"/>
      <c r="BF26" s="186"/>
      <c r="BG26" s="186"/>
      <c r="BH26" s="186"/>
      <c r="BI26" s="183">
        <f t="shared" si="4"/>
        <v>0</v>
      </c>
      <c r="BJ26" s="183">
        <f t="shared" si="5"/>
        <v>0</v>
      </c>
      <c r="BK26" s="183">
        <f t="shared" si="6"/>
        <v>4236728</v>
      </c>
      <c r="BL26" s="183">
        <f t="shared" si="7"/>
        <v>0</v>
      </c>
    </row>
    <row r="27" spans="1:64" s="187" customFormat="1" hidden="1" outlineLevel="2" x14ac:dyDescent="0.3">
      <c r="A27" s="185"/>
      <c r="B27" s="185"/>
      <c r="C27" s="185"/>
      <c r="D27" s="185"/>
      <c r="E27" s="185" t="s">
        <v>22</v>
      </c>
      <c r="F27" s="180" t="s">
        <v>82</v>
      </c>
      <c r="G27" s="185">
        <v>240</v>
      </c>
      <c r="H27" s="185" t="str">
        <f>IFERROR(VLOOKUP(G27,'2022. tervsor'!C:D,2,0)," ")</f>
        <v>Bérleti és lízing díjbevételek</v>
      </c>
      <c r="I27" s="166">
        <f t="shared" si="13"/>
        <v>0</v>
      </c>
      <c r="J27" s="166">
        <f t="shared" si="0"/>
        <v>0</v>
      </c>
      <c r="K27" s="166">
        <f t="shared" si="12"/>
        <v>0</v>
      </c>
      <c r="L27" s="166">
        <f t="shared" si="2"/>
        <v>0</v>
      </c>
      <c r="M27" s="182"/>
      <c r="N27" s="166"/>
      <c r="O27" s="166"/>
      <c r="P27" s="166"/>
      <c r="Q27" s="166"/>
      <c r="R27" s="166"/>
      <c r="S27" s="166"/>
      <c r="T27" s="166"/>
      <c r="U27" s="166"/>
      <c r="V27" s="166"/>
      <c r="W27" s="166"/>
      <c r="X27" s="166"/>
      <c r="Y27" s="166"/>
      <c r="Z27" s="166"/>
      <c r="AA27" s="166"/>
      <c r="AB27" s="166"/>
      <c r="AC27" s="166"/>
      <c r="AD27" s="166"/>
      <c r="AE27" s="166"/>
      <c r="AF27" s="166"/>
      <c r="AG27" s="166"/>
      <c r="AH27" s="166"/>
      <c r="AI27" s="166"/>
      <c r="AJ27" s="166"/>
      <c r="AK27" s="166"/>
      <c r="AL27" s="166"/>
      <c r="AM27" s="166"/>
      <c r="AN27" s="166"/>
      <c r="AO27" s="166"/>
      <c r="AP27" s="166"/>
      <c r="AQ27" s="166"/>
      <c r="AR27" s="166"/>
      <c r="AS27" s="166"/>
      <c r="AT27" s="166"/>
      <c r="AU27" s="166"/>
      <c r="AV27" s="166"/>
      <c r="AW27" s="166"/>
      <c r="AX27" s="166"/>
      <c r="AY27" s="166"/>
      <c r="AZ27" s="186"/>
      <c r="BA27" s="186"/>
      <c r="BB27" s="186"/>
      <c r="BC27" s="186"/>
      <c r="BD27" s="186"/>
      <c r="BE27" s="186"/>
      <c r="BF27" s="186"/>
      <c r="BG27" s="186"/>
      <c r="BH27" s="186"/>
      <c r="BI27" s="183">
        <f t="shared" si="4"/>
        <v>0</v>
      </c>
      <c r="BJ27" s="183">
        <f t="shared" si="5"/>
        <v>0</v>
      </c>
      <c r="BK27" s="183">
        <f t="shared" si="6"/>
        <v>0</v>
      </c>
      <c r="BL27" s="183">
        <f t="shared" si="7"/>
        <v>0</v>
      </c>
    </row>
    <row r="28" spans="1:64" s="187" customFormat="1" hidden="1" outlineLevel="2" x14ac:dyDescent="0.3">
      <c r="A28" s="185"/>
      <c r="B28" s="185"/>
      <c r="C28" s="185"/>
      <c r="D28" s="185"/>
      <c r="E28" s="185" t="s">
        <v>22</v>
      </c>
      <c r="F28" s="180" t="s">
        <v>82</v>
      </c>
      <c r="G28" s="185">
        <v>241</v>
      </c>
      <c r="H28" s="185" t="str">
        <f>IFERROR(VLOOKUP(G28,'2022. tervsor'!C:D,2,0)," ")</f>
        <v>Parkolási díjbevétel</v>
      </c>
      <c r="I28" s="166">
        <f t="shared" si="13"/>
        <v>0</v>
      </c>
      <c r="J28" s="166">
        <f t="shared" si="0"/>
        <v>0</v>
      </c>
      <c r="K28" s="166">
        <f t="shared" si="12"/>
        <v>0</v>
      </c>
      <c r="L28" s="166">
        <f t="shared" si="2"/>
        <v>0</v>
      </c>
      <c r="M28" s="182"/>
      <c r="N28" s="166"/>
      <c r="O28" s="166"/>
      <c r="P28" s="166"/>
      <c r="Q28" s="166"/>
      <c r="R28" s="166"/>
      <c r="S28" s="166"/>
      <c r="T28" s="166"/>
      <c r="U28" s="166"/>
      <c r="V28" s="166"/>
      <c r="W28" s="166"/>
      <c r="X28" s="166"/>
      <c r="Y28" s="166"/>
      <c r="Z28" s="166"/>
      <c r="AA28" s="166"/>
      <c r="AB28" s="166"/>
      <c r="AC28" s="166"/>
      <c r="AD28" s="166"/>
      <c r="AE28" s="166"/>
      <c r="AF28" s="166"/>
      <c r="AG28" s="166"/>
      <c r="AH28" s="166"/>
      <c r="AI28" s="166"/>
      <c r="AJ28" s="166"/>
      <c r="AK28" s="166"/>
      <c r="AL28" s="166"/>
      <c r="AM28" s="166"/>
      <c r="AN28" s="166"/>
      <c r="AO28" s="166"/>
      <c r="AP28" s="166"/>
      <c r="AQ28" s="166"/>
      <c r="AR28" s="166"/>
      <c r="AS28" s="166"/>
      <c r="AT28" s="166"/>
      <c r="AU28" s="166"/>
      <c r="AV28" s="166"/>
      <c r="AW28" s="166"/>
      <c r="AX28" s="166"/>
      <c r="AY28" s="166"/>
      <c r="AZ28" s="186"/>
      <c r="BA28" s="186"/>
      <c r="BB28" s="186"/>
      <c r="BC28" s="186"/>
      <c r="BD28" s="186"/>
      <c r="BE28" s="186"/>
      <c r="BF28" s="186"/>
      <c r="BG28" s="186"/>
      <c r="BH28" s="186"/>
      <c r="BI28" s="183">
        <f t="shared" si="4"/>
        <v>0</v>
      </c>
      <c r="BJ28" s="183">
        <f t="shared" si="5"/>
        <v>0</v>
      </c>
      <c r="BK28" s="183">
        <f t="shared" si="6"/>
        <v>0</v>
      </c>
      <c r="BL28" s="183">
        <f t="shared" si="7"/>
        <v>0</v>
      </c>
    </row>
    <row r="29" spans="1:64" s="187" customFormat="1" hidden="1" outlineLevel="2" x14ac:dyDescent="0.3">
      <c r="A29" s="185"/>
      <c r="B29" s="185"/>
      <c r="C29" s="185"/>
      <c r="D29" s="185"/>
      <c r="E29" s="185" t="s">
        <v>22</v>
      </c>
      <c r="F29" s="180" t="s">
        <v>82</v>
      </c>
      <c r="G29" s="185">
        <v>242</v>
      </c>
      <c r="H29" s="185" t="str">
        <f>IFERROR(VLOOKUP(G29,'2022. tervsor'!C:D,2,0)," ")</f>
        <v>Vendéglátók által üzem0101tett étterem. büfé bérleti díja</v>
      </c>
      <c r="I29" s="166">
        <f t="shared" si="13"/>
        <v>0</v>
      </c>
      <c r="J29" s="166">
        <f t="shared" si="0"/>
        <v>0</v>
      </c>
      <c r="K29" s="166">
        <f t="shared" si="12"/>
        <v>0</v>
      </c>
      <c r="L29" s="166">
        <f t="shared" si="2"/>
        <v>0</v>
      </c>
      <c r="M29" s="182"/>
      <c r="N29" s="166"/>
      <c r="O29" s="166"/>
      <c r="P29" s="166"/>
      <c r="Q29" s="166"/>
      <c r="R29" s="166"/>
      <c r="S29" s="166"/>
      <c r="T29" s="166"/>
      <c r="U29" s="166"/>
      <c r="V29" s="166"/>
      <c r="W29" s="166"/>
      <c r="X29" s="166"/>
      <c r="Y29" s="166"/>
      <c r="Z29" s="166"/>
      <c r="AA29" s="166"/>
      <c r="AB29" s="166"/>
      <c r="AC29" s="166"/>
      <c r="AD29" s="166"/>
      <c r="AE29" s="166"/>
      <c r="AF29" s="166"/>
      <c r="AG29" s="166"/>
      <c r="AH29" s="166"/>
      <c r="AI29" s="166"/>
      <c r="AJ29" s="166"/>
      <c r="AK29" s="166"/>
      <c r="AL29" s="166"/>
      <c r="AM29" s="166"/>
      <c r="AN29" s="166"/>
      <c r="AO29" s="166"/>
      <c r="AP29" s="166"/>
      <c r="AQ29" s="166"/>
      <c r="AR29" s="166"/>
      <c r="AS29" s="166"/>
      <c r="AT29" s="166"/>
      <c r="AU29" s="166"/>
      <c r="AV29" s="166"/>
      <c r="AW29" s="166"/>
      <c r="AX29" s="166"/>
      <c r="AY29" s="166"/>
      <c r="AZ29" s="186"/>
      <c r="BA29" s="186"/>
      <c r="BB29" s="186"/>
      <c r="BC29" s="186"/>
      <c r="BD29" s="186"/>
      <c r="BE29" s="186"/>
      <c r="BF29" s="186"/>
      <c r="BG29" s="186"/>
      <c r="BH29" s="186"/>
      <c r="BI29" s="183">
        <f t="shared" si="4"/>
        <v>0</v>
      </c>
      <c r="BJ29" s="183">
        <f t="shared" si="5"/>
        <v>0</v>
      </c>
      <c r="BK29" s="183">
        <f t="shared" si="6"/>
        <v>0</v>
      </c>
      <c r="BL29" s="183">
        <f t="shared" si="7"/>
        <v>0</v>
      </c>
    </row>
    <row r="30" spans="1:64" s="187" customFormat="1" hidden="1" outlineLevel="2" x14ac:dyDescent="0.3">
      <c r="A30" s="185"/>
      <c r="B30" s="185"/>
      <c r="C30" s="185"/>
      <c r="D30" s="185"/>
      <c r="E30" s="185" t="s">
        <v>22</v>
      </c>
      <c r="F30" s="180" t="s">
        <v>82</v>
      </c>
      <c r="G30" s="185">
        <v>243</v>
      </c>
      <c r="H30" s="185" t="str">
        <f>IFERROR(VLOOKUP(G30,'2022. tervsor'!C:D,2,0)," ")</f>
        <v>Kollégiumhasznosítással kapcs.bevételek (5% ÁFA)</v>
      </c>
      <c r="I30" s="166">
        <f t="shared" si="13"/>
        <v>0</v>
      </c>
      <c r="J30" s="166">
        <f t="shared" si="0"/>
        <v>0</v>
      </c>
      <c r="K30" s="166">
        <f t="shared" si="12"/>
        <v>0</v>
      </c>
      <c r="L30" s="166">
        <f t="shared" si="2"/>
        <v>0</v>
      </c>
      <c r="M30" s="182"/>
      <c r="N30" s="166"/>
      <c r="O30" s="166"/>
      <c r="P30" s="166"/>
      <c r="Q30" s="166"/>
      <c r="R30" s="166"/>
      <c r="S30" s="166"/>
      <c r="T30" s="166"/>
      <c r="U30" s="166"/>
      <c r="V30" s="166"/>
      <c r="W30" s="166"/>
      <c r="X30" s="166"/>
      <c r="Y30" s="166"/>
      <c r="Z30" s="166"/>
      <c r="AA30" s="166"/>
      <c r="AB30" s="166"/>
      <c r="AC30" s="166"/>
      <c r="AD30" s="166"/>
      <c r="AE30" s="166"/>
      <c r="AF30" s="166"/>
      <c r="AG30" s="166"/>
      <c r="AH30" s="166"/>
      <c r="AI30" s="166"/>
      <c r="AJ30" s="166"/>
      <c r="AK30" s="166"/>
      <c r="AL30" s="166"/>
      <c r="AM30" s="166"/>
      <c r="AN30" s="166"/>
      <c r="AO30" s="166"/>
      <c r="AP30" s="166"/>
      <c r="AQ30" s="166"/>
      <c r="AR30" s="166"/>
      <c r="AS30" s="166"/>
      <c r="AT30" s="166"/>
      <c r="AU30" s="166"/>
      <c r="AV30" s="166"/>
      <c r="AW30" s="166"/>
      <c r="AX30" s="166"/>
      <c r="AY30" s="166"/>
      <c r="AZ30" s="186"/>
      <c r="BA30" s="186"/>
      <c r="BB30" s="186"/>
      <c r="BC30" s="186"/>
      <c r="BD30" s="186"/>
      <c r="BE30" s="186"/>
      <c r="BF30" s="186"/>
      <c r="BG30" s="186"/>
      <c r="BH30" s="186"/>
      <c r="BI30" s="183">
        <f t="shared" si="4"/>
        <v>0</v>
      </c>
      <c r="BJ30" s="183">
        <f t="shared" si="5"/>
        <v>0</v>
      </c>
      <c r="BK30" s="183">
        <f t="shared" si="6"/>
        <v>0</v>
      </c>
      <c r="BL30" s="183">
        <f t="shared" si="7"/>
        <v>0</v>
      </c>
    </row>
    <row r="31" spans="1:64" s="187" customFormat="1" hidden="1" outlineLevel="2" x14ac:dyDescent="0.3">
      <c r="A31" s="185"/>
      <c r="B31" s="185"/>
      <c r="C31" s="185"/>
      <c r="D31" s="185"/>
      <c r="E31" s="185" t="s">
        <v>22</v>
      </c>
      <c r="F31" s="180" t="s">
        <v>82</v>
      </c>
      <c r="G31" s="185">
        <v>244</v>
      </c>
      <c r="H31" s="185" t="str">
        <f>IFERROR(VLOOKUP(G31,'2022. tervsor'!C:D,2,0)," ")</f>
        <v>Egyéb szolgáltatások bevételei</v>
      </c>
      <c r="I31" s="166">
        <f t="shared" si="13"/>
        <v>0</v>
      </c>
      <c r="J31" s="166">
        <f t="shared" si="0"/>
        <v>0</v>
      </c>
      <c r="K31" s="166">
        <f t="shared" si="12"/>
        <v>0</v>
      </c>
      <c r="L31" s="166">
        <f t="shared" si="2"/>
        <v>0</v>
      </c>
      <c r="M31" s="182"/>
      <c r="N31" s="166"/>
      <c r="O31" s="166"/>
      <c r="P31" s="166"/>
      <c r="Q31" s="166"/>
      <c r="R31" s="166"/>
      <c r="S31" s="166"/>
      <c r="T31" s="166"/>
      <c r="U31" s="166"/>
      <c r="V31" s="166"/>
      <c r="W31" s="166"/>
      <c r="X31" s="166"/>
      <c r="Y31" s="166"/>
      <c r="Z31" s="166"/>
      <c r="AA31" s="166"/>
      <c r="AB31" s="166"/>
      <c r="AC31" s="166"/>
      <c r="AD31" s="166"/>
      <c r="AE31" s="166"/>
      <c r="AF31" s="166"/>
      <c r="AG31" s="166"/>
      <c r="AH31" s="166"/>
      <c r="AI31" s="166"/>
      <c r="AJ31" s="166"/>
      <c r="AK31" s="166"/>
      <c r="AL31" s="166"/>
      <c r="AM31" s="166"/>
      <c r="AN31" s="166"/>
      <c r="AO31" s="166"/>
      <c r="AP31" s="166"/>
      <c r="AQ31" s="166"/>
      <c r="AR31" s="166"/>
      <c r="AS31" s="166"/>
      <c r="AT31" s="166"/>
      <c r="AU31" s="166"/>
      <c r="AV31" s="166"/>
      <c r="AW31" s="166"/>
      <c r="AX31" s="166"/>
      <c r="AY31" s="166"/>
      <c r="AZ31" s="186"/>
      <c r="BA31" s="186"/>
      <c r="BB31" s="186"/>
      <c r="BC31" s="186"/>
      <c r="BD31" s="186"/>
      <c r="BE31" s="186"/>
      <c r="BF31" s="186"/>
      <c r="BG31" s="186"/>
      <c r="BH31" s="186"/>
      <c r="BI31" s="183">
        <f t="shared" si="4"/>
        <v>0</v>
      </c>
      <c r="BJ31" s="183">
        <f t="shared" si="5"/>
        <v>0</v>
      </c>
      <c r="BK31" s="183">
        <f t="shared" si="6"/>
        <v>0</v>
      </c>
      <c r="BL31" s="183">
        <f t="shared" si="7"/>
        <v>0</v>
      </c>
    </row>
    <row r="32" spans="1:64" s="187" customFormat="1" hidden="1" outlineLevel="2" x14ac:dyDescent="0.3">
      <c r="A32" s="185"/>
      <c r="B32" s="185"/>
      <c r="C32" s="185"/>
      <c r="D32" s="185"/>
      <c r="E32" s="185" t="s">
        <v>22</v>
      </c>
      <c r="F32" s="180" t="s">
        <v>82</v>
      </c>
      <c r="G32" s="185">
        <v>245</v>
      </c>
      <c r="H32" s="185" t="str">
        <f>IFERROR(VLOOKUP(G32,'2022. tervsor'!C:D,2,0)," ")</f>
        <v>Étkezési térítési díj (alkalmazotti)</v>
      </c>
      <c r="I32" s="166">
        <f t="shared" si="13"/>
        <v>0</v>
      </c>
      <c r="J32" s="166">
        <f t="shared" si="0"/>
        <v>0</v>
      </c>
      <c r="K32" s="166">
        <f t="shared" si="12"/>
        <v>0</v>
      </c>
      <c r="L32" s="166">
        <f t="shared" si="2"/>
        <v>0</v>
      </c>
      <c r="M32" s="182"/>
      <c r="N32" s="166"/>
      <c r="O32" s="166"/>
      <c r="P32" s="166"/>
      <c r="Q32" s="166"/>
      <c r="R32" s="166"/>
      <c r="S32" s="166"/>
      <c r="T32" s="166"/>
      <c r="U32" s="166"/>
      <c r="V32" s="166"/>
      <c r="W32" s="166"/>
      <c r="X32" s="166"/>
      <c r="Y32" s="166"/>
      <c r="Z32" s="166"/>
      <c r="AA32" s="166"/>
      <c r="AB32" s="166"/>
      <c r="AC32" s="166"/>
      <c r="AD32" s="166"/>
      <c r="AE32" s="166"/>
      <c r="AF32" s="166"/>
      <c r="AG32" s="166"/>
      <c r="AH32" s="166"/>
      <c r="AI32" s="166"/>
      <c r="AJ32" s="166"/>
      <c r="AK32" s="166"/>
      <c r="AL32" s="166"/>
      <c r="AM32" s="166"/>
      <c r="AN32" s="166"/>
      <c r="AO32" s="166"/>
      <c r="AP32" s="166"/>
      <c r="AQ32" s="166"/>
      <c r="AR32" s="166"/>
      <c r="AS32" s="166"/>
      <c r="AT32" s="166"/>
      <c r="AU32" s="166"/>
      <c r="AV32" s="166"/>
      <c r="AW32" s="166"/>
      <c r="AX32" s="166"/>
      <c r="AY32" s="166"/>
      <c r="AZ32" s="186"/>
      <c r="BA32" s="186"/>
      <c r="BB32" s="186"/>
      <c r="BC32" s="186"/>
      <c r="BD32" s="186"/>
      <c r="BE32" s="186"/>
      <c r="BF32" s="186"/>
      <c r="BG32" s="186"/>
      <c r="BH32" s="186"/>
      <c r="BI32" s="183">
        <f t="shared" si="4"/>
        <v>0</v>
      </c>
      <c r="BJ32" s="183">
        <f t="shared" si="5"/>
        <v>0</v>
      </c>
      <c r="BK32" s="183">
        <f t="shared" si="6"/>
        <v>0</v>
      </c>
      <c r="BL32" s="183">
        <f t="shared" si="7"/>
        <v>0</v>
      </c>
    </row>
    <row r="33" spans="1:64" s="187" customFormat="1" hidden="1" outlineLevel="2" x14ac:dyDescent="0.3">
      <c r="A33" s="185"/>
      <c r="B33" s="185"/>
      <c r="C33" s="185"/>
      <c r="D33" s="185"/>
      <c r="E33" s="185" t="s">
        <v>22</v>
      </c>
      <c r="F33" s="180" t="s">
        <v>82</v>
      </c>
      <c r="G33" s="185">
        <v>246</v>
      </c>
      <c r="H33" s="185" t="str">
        <f>IFERROR(VLOOKUP(G33,'2022. tervsor'!C:D,2,0)," ")</f>
        <v>Lakbér</v>
      </c>
      <c r="I33" s="166">
        <f t="shared" si="13"/>
        <v>0</v>
      </c>
      <c r="J33" s="166">
        <f t="shared" si="0"/>
        <v>0</v>
      </c>
      <c r="K33" s="166">
        <f t="shared" si="12"/>
        <v>0</v>
      </c>
      <c r="L33" s="166">
        <f t="shared" si="2"/>
        <v>0</v>
      </c>
      <c r="M33" s="182"/>
      <c r="N33" s="166"/>
      <c r="O33" s="166"/>
      <c r="P33" s="166"/>
      <c r="Q33" s="166"/>
      <c r="R33" s="166"/>
      <c r="S33" s="166"/>
      <c r="T33" s="166"/>
      <c r="U33" s="166"/>
      <c r="V33" s="166"/>
      <c r="W33" s="166"/>
      <c r="X33" s="166"/>
      <c r="Y33" s="166"/>
      <c r="Z33" s="166"/>
      <c r="AA33" s="166"/>
      <c r="AB33" s="166"/>
      <c r="AC33" s="166"/>
      <c r="AD33" s="166"/>
      <c r="AE33" s="166"/>
      <c r="AF33" s="166"/>
      <c r="AG33" s="166"/>
      <c r="AH33" s="166"/>
      <c r="AI33" s="166"/>
      <c r="AJ33" s="166"/>
      <c r="AK33" s="166"/>
      <c r="AL33" s="166"/>
      <c r="AM33" s="166"/>
      <c r="AN33" s="166"/>
      <c r="AO33" s="166"/>
      <c r="AP33" s="166"/>
      <c r="AQ33" s="166"/>
      <c r="AR33" s="166"/>
      <c r="AS33" s="166"/>
      <c r="AT33" s="166"/>
      <c r="AU33" s="166"/>
      <c r="AV33" s="166"/>
      <c r="AW33" s="166"/>
      <c r="AX33" s="166"/>
      <c r="AY33" s="166"/>
      <c r="AZ33" s="186"/>
      <c r="BA33" s="186"/>
      <c r="BB33" s="186"/>
      <c r="BC33" s="186"/>
      <c r="BD33" s="186"/>
      <c r="BE33" s="186"/>
      <c r="BF33" s="186"/>
      <c r="BG33" s="186"/>
      <c r="BH33" s="186"/>
      <c r="BI33" s="183">
        <f t="shared" si="4"/>
        <v>0</v>
      </c>
      <c r="BJ33" s="183">
        <f t="shared" si="5"/>
        <v>0</v>
      </c>
      <c r="BK33" s="183">
        <f t="shared" si="6"/>
        <v>0</v>
      </c>
      <c r="BL33" s="183">
        <f t="shared" si="7"/>
        <v>0</v>
      </c>
    </row>
    <row r="34" spans="1:64" s="187" customFormat="1" hidden="1" outlineLevel="2" x14ac:dyDescent="0.3">
      <c r="A34" s="185"/>
      <c r="B34" s="185"/>
      <c r="C34" s="185"/>
      <c r="D34" s="185"/>
      <c r="E34" s="185" t="s">
        <v>22</v>
      </c>
      <c r="F34" s="180" t="s">
        <v>82</v>
      </c>
      <c r="G34" s="185">
        <v>247</v>
      </c>
      <c r="H34" s="185" t="str">
        <f>IFERROR(VLOOKUP(G34,'2022. tervsor'!C:D,2,0)," ")</f>
        <v>Üdülési díj</v>
      </c>
      <c r="I34" s="166">
        <f t="shared" si="13"/>
        <v>0</v>
      </c>
      <c r="J34" s="166">
        <f t="shared" si="0"/>
        <v>0</v>
      </c>
      <c r="K34" s="166">
        <f t="shared" si="12"/>
        <v>0</v>
      </c>
      <c r="L34" s="166">
        <f t="shared" si="2"/>
        <v>0</v>
      </c>
      <c r="M34" s="182"/>
      <c r="N34" s="166"/>
      <c r="O34" s="166"/>
      <c r="P34" s="166"/>
      <c r="Q34" s="166"/>
      <c r="R34" s="166"/>
      <c r="S34" s="166"/>
      <c r="T34" s="166"/>
      <c r="U34" s="166"/>
      <c r="V34" s="166"/>
      <c r="W34" s="166"/>
      <c r="X34" s="166"/>
      <c r="Y34" s="166"/>
      <c r="Z34" s="166"/>
      <c r="AA34" s="166"/>
      <c r="AB34" s="166"/>
      <c r="AC34" s="166"/>
      <c r="AD34" s="166"/>
      <c r="AE34" s="166"/>
      <c r="AF34" s="166"/>
      <c r="AG34" s="166"/>
      <c r="AH34" s="166"/>
      <c r="AI34" s="166"/>
      <c r="AJ34" s="166"/>
      <c r="AK34" s="166"/>
      <c r="AL34" s="166"/>
      <c r="AM34" s="166"/>
      <c r="AN34" s="166"/>
      <c r="AO34" s="166"/>
      <c r="AP34" s="166"/>
      <c r="AQ34" s="166"/>
      <c r="AR34" s="166"/>
      <c r="AS34" s="166"/>
      <c r="AT34" s="166"/>
      <c r="AU34" s="166"/>
      <c r="AV34" s="166"/>
      <c r="AW34" s="166"/>
      <c r="AX34" s="166"/>
      <c r="AY34" s="166"/>
      <c r="AZ34" s="186"/>
      <c r="BA34" s="186"/>
      <c r="BB34" s="186"/>
      <c r="BC34" s="186"/>
      <c r="BD34" s="186"/>
      <c r="BE34" s="186"/>
      <c r="BF34" s="186"/>
      <c r="BG34" s="186"/>
      <c r="BH34" s="186"/>
      <c r="BI34" s="183">
        <f t="shared" si="4"/>
        <v>0</v>
      </c>
      <c r="BJ34" s="183">
        <f t="shared" si="5"/>
        <v>0</v>
      </c>
      <c r="BK34" s="183">
        <f t="shared" si="6"/>
        <v>0</v>
      </c>
      <c r="BL34" s="183">
        <f t="shared" si="7"/>
        <v>0</v>
      </c>
    </row>
    <row r="35" spans="1:64" s="187" customFormat="1" hidden="1" outlineLevel="2" x14ac:dyDescent="0.3">
      <c r="A35" s="185"/>
      <c r="B35" s="185"/>
      <c r="C35" s="185"/>
      <c r="D35" s="185"/>
      <c r="E35" s="185" t="s">
        <v>22</v>
      </c>
      <c r="F35" s="180" t="s">
        <v>82</v>
      </c>
      <c r="G35" s="185">
        <v>248</v>
      </c>
      <c r="H35" s="185" t="str">
        <f>IFERROR(VLOOKUP(G35,'2022. tervsor'!C:D,2,0)," ")</f>
        <v>SZOLGÁLTATÁSOK ELLENÉRTÉKE</v>
      </c>
      <c r="I35" s="166">
        <f t="shared" si="13"/>
        <v>0</v>
      </c>
      <c r="J35" s="166">
        <f t="shared" si="0"/>
        <v>0</v>
      </c>
      <c r="K35" s="166">
        <f t="shared" si="12"/>
        <v>0</v>
      </c>
      <c r="L35" s="166">
        <f t="shared" si="2"/>
        <v>0</v>
      </c>
      <c r="M35" s="182"/>
      <c r="N35" s="166"/>
      <c r="O35" s="166"/>
      <c r="P35" s="166"/>
      <c r="Q35" s="166"/>
      <c r="R35" s="166"/>
      <c r="S35" s="166"/>
      <c r="T35" s="166"/>
      <c r="U35" s="166"/>
      <c r="V35" s="166"/>
      <c r="W35" s="166"/>
      <c r="X35" s="166"/>
      <c r="Y35" s="166"/>
      <c r="Z35" s="166"/>
      <c r="AA35" s="166"/>
      <c r="AB35" s="166"/>
      <c r="AC35" s="166"/>
      <c r="AD35" s="166"/>
      <c r="AE35" s="166"/>
      <c r="AF35" s="166"/>
      <c r="AG35" s="166"/>
      <c r="AH35" s="166"/>
      <c r="AI35" s="166"/>
      <c r="AJ35" s="166"/>
      <c r="AK35" s="166"/>
      <c r="AL35" s="166"/>
      <c r="AM35" s="166"/>
      <c r="AN35" s="166"/>
      <c r="AO35" s="166"/>
      <c r="AP35" s="166"/>
      <c r="AQ35" s="166"/>
      <c r="AR35" s="166"/>
      <c r="AS35" s="166"/>
      <c r="AT35" s="166"/>
      <c r="AU35" s="166"/>
      <c r="AV35" s="166"/>
      <c r="AW35" s="166"/>
      <c r="AX35" s="166"/>
      <c r="AY35" s="166"/>
      <c r="AZ35" s="186"/>
      <c r="BA35" s="186"/>
      <c r="BB35" s="186"/>
      <c r="BC35" s="186"/>
      <c r="BD35" s="186"/>
      <c r="BE35" s="186"/>
      <c r="BF35" s="186"/>
      <c r="BG35" s="186"/>
      <c r="BH35" s="186"/>
      <c r="BI35" s="183">
        <f t="shared" si="4"/>
        <v>0</v>
      </c>
      <c r="BJ35" s="183">
        <f t="shared" si="5"/>
        <v>0</v>
      </c>
      <c r="BK35" s="183">
        <f t="shared" si="6"/>
        <v>0</v>
      </c>
      <c r="BL35" s="183">
        <f t="shared" si="7"/>
        <v>0</v>
      </c>
    </row>
    <row r="36" spans="1:64" s="187" customFormat="1" hidden="1" outlineLevel="2" x14ac:dyDescent="0.3">
      <c r="A36" s="185"/>
      <c r="B36" s="185"/>
      <c r="C36" s="185"/>
      <c r="D36" s="185"/>
      <c r="E36" s="185" t="s">
        <v>22</v>
      </c>
      <c r="F36" s="180" t="s">
        <v>82</v>
      </c>
      <c r="G36" s="185">
        <v>249</v>
      </c>
      <c r="H36" s="185" t="str">
        <f>IFERROR(VLOOKUP(G36,'2022. tervsor'!C:D,2,0)," ")</f>
        <v>Közvetített szolgáltatások ellenértéke ÁH-n belül</v>
      </c>
      <c r="I36" s="166">
        <f t="shared" si="13"/>
        <v>0</v>
      </c>
      <c r="J36" s="166">
        <f t="shared" ref="J36:J67" si="14">SUM(N36:AM36)</f>
        <v>0</v>
      </c>
      <c r="K36" s="166">
        <f t="shared" si="12"/>
        <v>0</v>
      </c>
      <c r="L36" s="166">
        <f t="shared" ref="L36:L67" si="15">SUM(N36:BH36)</f>
        <v>0</v>
      </c>
      <c r="M36" s="182"/>
      <c r="N36" s="166"/>
      <c r="O36" s="166"/>
      <c r="P36" s="166"/>
      <c r="Q36" s="166"/>
      <c r="R36" s="166"/>
      <c r="S36" s="166"/>
      <c r="T36" s="166"/>
      <c r="U36" s="166"/>
      <c r="V36" s="166"/>
      <c r="W36" s="166"/>
      <c r="X36" s="166"/>
      <c r="Y36" s="166"/>
      <c r="Z36" s="166"/>
      <c r="AA36" s="166"/>
      <c r="AB36" s="166"/>
      <c r="AC36" s="166"/>
      <c r="AD36" s="166"/>
      <c r="AE36" s="166"/>
      <c r="AF36" s="166"/>
      <c r="AG36" s="166"/>
      <c r="AH36" s="166"/>
      <c r="AI36" s="166"/>
      <c r="AJ36" s="166"/>
      <c r="AK36" s="166"/>
      <c r="AL36" s="166"/>
      <c r="AM36" s="166"/>
      <c r="AN36" s="166"/>
      <c r="AO36" s="166"/>
      <c r="AP36" s="166"/>
      <c r="AQ36" s="166"/>
      <c r="AR36" s="166"/>
      <c r="AS36" s="166"/>
      <c r="AT36" s="166"/>
      <c r="AU36" s="166"/>
      <c r="AV36" s="166"/>
      <c r="AW36" s="166"/>
      <c r="AX36" s="166"/>
      <c r="AY36" s="166"/>
      <c r="AZ36" s="186"/>
      <c r="BA36" s="186"/>
      <c r="BB36" s="186"/>
      <c r="BC36" s="186"/>
      <c r="BD36" s="186"/>
      <c r="BE36" s="186"/>
      <c r="BF36" s="186"/>
      <c r="BG36" s="186"/>
      <c r="BH36" s="186"/>
      <c r="BI36" s="183">
        <f t="shared" ref="BI36:BI67" si="16">+SUM(N36:AA36)</f>
        <v>0</v>
      </c>
      <c r="BJ36" s="183">
        <f t="shared" ref="BJ36:BJ67" si="17">+AB36</f>
        <v>0</v>
      </c>
      <c r="BK36" s="183">
        <f t="shared" ref="BK36:BK67" si="18">+SUM(AC36:AM36)</f>
        <v>0</v>
      </c>
      <c r="BL36" s="183">
        <f t="shared" ref="BL36:BL67" si="19">+SUM(AN36:BH36)</f>
        <v>0</v>
      </c>
    </row>
    <row r="37" spans="1:64" s="187" customFormat="1" hidden="1" outlineLevel="2" x14ac:dyDescent="0.3">
      <c r="A37" s="185"/>
      <c r="B37" s="185"/>
      <c r="C37" s="185"/>
      <c r="D37" s="185"/>
      <c r="E37" s="185" t="s">
        <v>22</v>
      </c>
      <c r="F37" s="180" t="s">
        <v>82</v>
      </c>
      <c r="G37" s="185">
        <v>250</v>
      </c>
      <c r="H37" s="185" t="str">
        <f>IFERROR(VLOOKUP(G37,'2022. tervsor'!C:D,2,0)," ")</f>
        <v>Közvetített szolgáltatások ellenértéke ÁH-n kívül (Áfa mentes)</v>
      </c>
      <c r="I37" s="166">
        <f t="shared" si="13"/>
        <v>0</v>
      </c>
      <c r="J37" s="166">
        <f t="shared" si="14"/>
        <v>0</v>
      </c>
      <c r="K37" s="166">
        <f t="shared" si="12"/>
        <v>0</v>
      </c>
      <c r="L37" s="166">
        <f t="shared" si="15"/>
        <v>0</v>
      </c>
      <c r="M37" s="182"/>
      <c r="N37" s="166"/>
      <c r="O37" s="166"/>
      <c r="P37" s="166"/>
      <c r="Q37" s="166"/>
      <c r="R37" s="166"/>
      <c r="S37" s="166"/>
      <c r="T37" s="166"/>
      <c r="U37" s="166"/>
      <c r="V37" s="166"/>
      <c r="W37" s="166"/>
      <c r="X37" s="166"/>
      <c r="Y37" s="166"/>
      <c r="Z37" s="166"/>
      <c r="AA37" s="166"/>
      <c r="AB37" s="166"/>
      <c r="AC37" s="166"/>
      <c r="AD37" s="166"/>
      <c r="AE37" s="166"/>
      <c r="AF37" s="166"/>
      <c r="AG37" s="166"/>
      <c r="AH37" s="166"/>
      <c r="AI37" s="166"/>
      <c r="AJ37" s="166"/>
      <c r="AK37" s="166"/>
      <c r="AL37" s="166"/>
      <c r="AM37" s="166"/>
      <c r="AN37" s="166"/>
      <c r="AO37" s="166"/>
      <c r="AP37" s="166"/>
      <c r="AQ37" s="166"/>
      <c r="AR37" s="166"/>
      <c r="AS37" s="166"/>
      <c r="AT37" s="166"/>
      <c r="AU37" s="166"/>
      <c r="AV37" s="166"/>
      <c r="AW37" s="166"/>
      <c r="AX37" s="166"/>
      <c r="AY37" s="166"/>
      <c r="AZ37" s="186"/>
      <c r="BA37" s="186"/>
      <c r="BB37" s="186"/>
      <c r="BC37" s="186"/>
      <c r="BD37" s="186"/>
      <c r="BE37" s="186"/>
      <c r="BF37" s="186"/>
      <c r="BG37" s="186"/>
      <c r="BH37" s="186"/>
      <c r="BI37" s="183">
        <f t="shared" si="16"/>
        <v>0</v>
      </c>
      <c r="BJ37" s="183">
        <f t="shared" si="17"/>
        <v>0</v>
      </c>
      <c r="BK37" s="183">
        <f t="shared" si="18"/>
        <v>0</v>
      </c>
      <c r="BL37" s="183">
        <f t="shared" si="19"/>
        <v>0</v>
      </c>
    </row>
    <row r="38" spans="1:64" s="187" customFormat="1" hidden="1" outlineLevel="2" x14ac:dyDescent="0.3">
      <c r="A38" s="185"/>
      <c r="B38" s="185"/>
      <c r="C38" s="185"/>
      <c r="D38" s="185"/>
      <c r="E38" s="185" t="s">
        <v>22</v>
      </c>
      <c r="F38" s="180" t="s">
        <v>82</v>
      </c>
      <c r="G38" s="185">
        <v>251</v>
      </c>
      <c r="H38" s="185" t="str">
        <f>IFERROR(VLOOKUP(G38,'2022. tervsor'!C:D,2,0)," ")</f>
        <v>KÖZVETÍTETT SZOLGÁLTATÁSOK BEVÉTELE</v>
      </c>
      <c r="I38" s="166">
        <f t="shared" si="13"/>
        <v>0</v>
      </c>
      <c r="J38" s="166">
        <f t="shared" si="14"/>
        <v>0</v>
      </c>
      <c r="K38" s="166">
        <f t="shared" si="12"/>
        <v>0</v>
      </c>
      <c r="L38" s="166">
        <f t="shared" si="15"/>
        <v>0</v>
      </c>
      <c r="M38" s="182"/>
      <c r="N38" s="166"/>
      <c r="O38" s="166"/>
      <c r="P38" s="166"/>
      <c r="Q38" s="166"/>
      <c r="R38" s="166"/>
      <c r="S38" s="166"/>
      <c r="T38" s="166"/>
      <c r="U38" s="166"/>
      <c r="V38" s="166"/>
      <c r="W38" s="166"/>
      <c r="X38" s="166"/>
      <c r="Y38" s="166"/>
      <c r="Z38" s="166"/>
      <c r="AA38" s="166"/>
      <c r="AB38" s="166"/>
      <c r="AC38" s="166"/>
      <c r="AD38" s="166"/>
      <c r="AE38" s="166"/>
      <c r="AF38" s="166"/>
      <c r="AG38" s="166"/>
      <c r="AH38" s="166"/>
      <c r="AI38" s="166"/>
      <c r="AJ38" s="166"/>
      <c r="AK38" s="166"/>
      <c r="AL38" s="166"/>
      <c r="AM38" s="166"/>
      <c r="AN38" s="166"/>
      <c r="AO38" s="166"/>
      <c r="AP38" s="166"/>
      <c r="AQ38" s="166"/>
      <c r="AR38" s="166"/>
      <c r="AS38" s="166"/>
      <c r="AT38" s="166"/>
      <c r="AU38" s="166"/>
      <c r="AV38" s="166"/>
      <c r="AW38" s="166"/>
      <c r="AX38" s="166"/>
      <c r="AY38" s="166"/>
      <c r="AZ38" s="186"/>
      <c r="BA38" s="186"/>
      <c r="BB38" s="186"/>
      <c r="BC38" s="186"/>
      <c r="BD38" s="186"/>
      <c r="BE38" s="186"/>
      <c r="BF38" s="186"/>
      <c r="BG38" s="186"/>
      <c r="BH38" s="186"/>
      <c r="BI38" s="183">
        <f t="shared" si="16"/>
        <v>0</v>
      </c>
      <c r="BJ38" s="183">
        <f t="shared" si="17"/>
        <v>0</v>
      </c>
      <c r="BK38" s="183">
        <f t="shared" si="18"/>
        <v>0</v>
      </c>
      <c r="BL38" s="183">
        <f t="shared" si="19"/>
        <v>0</v>
      </c>
    </row>
    <row r="39" spans="1:64" s="187" customFormat="1" hidden="1" outlineLevel="2" x14ac:dyDescent="0.3">
      <c r="A39" s="185"/>
      <c r="B39" s="185"/>
      <c r="C39" s="185"/>
      <c r="D39" s="185"/>
      <c r="E39" s="185" t="s">
        <v>22</v>
      </c>
      <c r="F39" s="180" t="s">
        <v>82</v>
      </c>
      <c r="G39" s="185">
        <v>252</v>
      </c>
      <c r="H39" s="185" t="str">
        <f>IFERROR(VLOOKUP(G39,'2022. tervsor'!C:D,2,0)," ")</f>
        <v>Ell.díjak - Köznevelési ell. - Óvodai ellátottak térítési díja</v>
      </c>
      <c r="I39" s="166">
        <f t="shared" si="13"/>
        <v>0</v>
      </c>
      <c r="J39" s="166">
        <f t="shared" si="14"/>
        <v>0</v>
      </c>
      <c r="K39" s="166">
        <f t="shared" si="12"/>
        <v>0</v>
      </c>
      <c r="L39" s="166">
        <f t="shared" si="15"/>
        <v>0</v>
      </c>
      <c r="M39" s="182"/>
      <c r="N39" s="166"/>
      <c r="O39" s="166"/>
      <c r="P39" s="166"/>
      <c r="Q39" s="166"/>
      <c r="R39" s="166"/>
      <c r="S39" s="166"/>
      <c r="T39" s="166"/>
      <c r="U39" s="166"/>
      <c r="V39" s="166"/>
      <c r="W39" s="166"/>
      <c r="X39" s="166"/>
      <c r="Y39" s="166"/>
      <c r="Z39" s="166"/>
      <c r="AA39" s="166"/>
      <c r="AB39" s="166"/>
      <c r="AC39" s="166"/>
      <c r="AD39" s="166"/>
      <c r="AE39" s="166"/>
      <c r="AF39" s="166"/>
      <c r="AG39" s="166"/>
      <c r="AH39" s="166"/>
      <c r="AI39" s="166"/>
      <c r="AJ39" s="166"/>
      <c r="AK39" s="166"/>
      <c r="AL39" s="166"/>
      <c r="AM39" s="166"/>
      <c r="AN39" s="166"/>
      <c r="AO39" s="166"/>
      <c r="AP39" s="166"/>
      <c r="AQ39" s="166"/>
      <c r="AR39" s="166"/>
      <c r="AS39" s="166"/>
      <c r="AT39" s="166"/>
      <c r="AU39" s="166"/>
      <c r="AV39" s="166"/>
      <c r="AW39" s="166"/>
      <c r="AX39" s="166"/>
      <c r="AY39" s="166"/>
      <c r="AZ39" s="186"/>
      <c r="BA39" s="186"/>
      <c r="BB39" s="186"/>
      <c r="BC39" s="186"/>
      <c r="BD39" s="186"/>
      <c r="BE39" s="186"/>
      <c r="BF39" s="186"/>
      <c r="BG39" s="186"/>
      <c r="BH39" s="186"/>
      <c r="BI39" s="183">
        <f t="shared" si="16"/>
        <v>0</v>
      </c>
      <c r="BJ39" s="183">
        <f t="shared" si="17"/>
        <v>0</v>
      </c>
      <c r="BK39" s="183">
        <f t="shared" si="18"/>
        <v>0</v>
      </c>
      <c r="BL39" s="183">
        <f t="shared" si="19"/>
        <v>0</v>
      </c>
    </row>
    <row r="40" spans="1:64" s="187" customFormat="1" hidden="1" outlineLevel="2" x14ac:dyDescent="0.3">
      <c r="A40" s="185"/>
      <c r="B40" s="185"/>
      <c r="C40" s="185"/>
      <c r="D40" s="185"/>
      <c r="E40" s="185" t="s">
        <v>22</v>
      </c>
      <c r="F40" s="180" t="s">
        <v>82</v>
      </c>
      <c r="G40" s="185">
        <v>253</v>
      </c>
      <c r="H40" s="185" t="str">
        <f>IFERROR(VLOOKUP(G40,'2022. tervsor'!C:D,2,0)," ")</f>
        <v>Ell.díjak - Köznevelési ell. - Általános iskolások étkezési díja</v>
      </c>
      <c r="I40" s="166">
        <f t="shared" si="13"/>
        <v>0</v>
      </c>
      <c r="J40" s="166">
        <f t="shared" si="14"/>
        <v>0</v>
      </c>
      <c r="K40" s="166">
        <f t="shared" si="12"/>
        <v>0</v>
      </c>
      <c r="L40" s="166">
        <f t="shared" si="15"/>
        <v>0</v>
      </c>
      <c r="M40" s="182"/>
      <c r="N40" s="166"/>
      <c r="O40" s="166"/>
      <c r="P40" s="166"/>
      <c r="Q40" s="166"/>
      <c r="R40" s="166"/>
      <c r="S40" s="166"/>
      <c r="T40" s="166"/>
      <c r="U40" s="166"/>
      <c r="V40" s="166"/>
      <c r="W40" s="166"/>
      <c r="X40" s="166"/>
      <c r="Y40" s="166"/>
      <c r="Z40" s="166"/>
      <c r="AA40" s="166"/>
      <c r="AB40" s="166"/>
      <c r="AC40" s="166"/>
      <c r="AD40" s="166"/>
      <c r="AE40" s="166"/>
      <c r="AF40" s="166"/>
      <c r="AG40" s="166"/>
      <c r="AH40" s="166"/>
      <c r="AI40" s="166"/>
      <c r="AJ40" s="166"/>
      <c r="AK40" s="166"/>
      <c r="AL40" s="166"/>
      <c r="AM40" s="166"/>
      <c r="AN40" s="166"/>
      <c r="AO40" s="166"/>
      <c r="AP40" s="166"/>
      <c r="AQ40" s="166"/>
      <c r="AR40" s="166"/>
      <c r="AS40" s="166"/>
      <c r="AT40" s="166"/>
      <c r="AU40" s="166"/>
      <c r="AV40" s="166"/>
      <c r="AW40" s="166"/>
      <c r="AX40" s="166"/>
      <c r="AY40" s="166"/>
      <c r="AZ40" s="186"/>
      <c r="BA40" s="186"/>
      <c r="BB40" s="186"/>
      <c r="BC40" s="186"/>
      <c r="BD40" s="186"/>
      <c r="BE40" s="186"/>
      <c r="BF40" s="186"/>
      <c r="BG40" s="186"/>
      <c r="BH40" s="186"/>
      <c r="BI40" s="183">
        <f t="shared" si="16"/>
        <v>0</v>
      </c>
      <c r="BJ40" s="183">
        <f t="shared" si="17"/>
        <v>0</v>
      </c>
      <c r="BK40" s="183">
        <f t="shared" si="18"/>
        <v>0</v>
      </c>
      <c r="BL40" s="183">
        <f t="shared" si="19"/>
        <v>0</v>
      </c>
    </row>
    <row r="41" spans="1:64" s="187" customFormat="1" hidden="1" outlineLevel="2" x14ac:dyDescent="0.3">
      <c r="A41" s="185"/>
      <c r="B41" s="185"/>
      <c r="C41" s="185"/>
      <c r="D41" s="185"/>
      <c r="E41" s="185" t="s">
        <v>22</v>
      </c>
      <c r="F41" s="180" t="s">
        <v>82</v>
      </c>
      <c r="G41" s="185">
        <v>254</v>
      </c>
      <c r="H41" s="185" t="str">
        <f>IFERROR(VLOOKUP(G41,'2022. tervsor'!C:D,2,0)," ")</f>
        <v>Ell.díjak - Köznevelési ell. - Középiskolások étkezési díja</v>
      </c>
      <c r="I41" s="166">
        <f t="shared" si="13"/>
        <v>0</v>
      </c>
      <c r="J41" s="166">
        <f t="shared" si="14"/>
        <v>0</v>
      </c>
      <c r="K41" s="166">
        <f t="shared" si="12"/>
        <v>0</v>
      </c>
      <c r="L41" s="166">
        <f t="shared" si="15"/>
        <v>0</v>
      </c>
      <c r="M41" s="182"/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  <c r="Y41" s="166"/>
      <c r="Z41" s="166"/>
      <c r="AA41" s="166"/>
      <c r="AB41" s="166"/>
      <c r="AC41" s="166"/>
      <c r="AD41" s="166"/>
      <c r="AE41" s="166"/>
      <c r="AF41" s="166"/>
      <c r="AG41" s="166"/>
      <c r="AH41" s="166"/>
      <c r="AI41" s="166"/>
      <c r="AJ41" s="166"/>
      <c r="AK41" s="166"/>
      <c r="AL41" s="166"/>
      <c r="AM41" s="166"/>
      <c r="AN41" s="166"/>
      <c r="AO41" s="166"/>
      <c r="AP41" s="166"/>
      <c r="AQ41" s="166"/>
      <c r="AR41" s="166"/>
      <c r="AS41" s="166"/>
      <c r="AT41" s="166"/>
      <c r="AU41" s="166"/>
      <c r="AV41" s="166"/>
      <c r="AW41" s="166"/>
      <c r="AX41" s="166"/>
      <c r="AY41" s="166"/>
      <c r="AZ41" s="186"/>
      <c r="BA41" s="186"/>
      <c r="BB41" s="186"/>
      <c r="BC41" s="186"/>
      <c r="BD41" s="186"/>
      <c r="BE41" s="186"/>
      <c r="BF41" s="186"/>
      <c r="BG41" s="186"/>
      <c r="BH41" s="186"/>
      <c r="BI41" s="183">
        <f t="shared" si="16"/>
        <v>0</v>
      </c>
      <c r="BJ41" s="183">
        <f t="shared" si="17"/>
        <v>0</v>
      </c>
      <c r="BK41" s="183">
        <f t="shared" si="18"/>
        <v>0</v>
      </c>
      <c r="BL41" s="183">
        <f t="shared" si="19"/>
        <v>0</v>
      </c>
    </row>
    <row r="42" spans="1:64" s="187" customFormat="1" hidden="1" outlineLevel="2" x14ac:dyDescent="0.3">
      <c r="A42" s="185"/>
      <c r="B42" s="185"/>
      <c r="C42" s="185"/>
      <c r="D42" s="185"/>
      <c r="E42" s="185" t="s">
        <v>22</v>
      </c>
      <c r="F42" s="180" t="s">
        <v>82</v>
      </c>
      <c r="G42" s="185">
        <v>255</v>
      </c>
      <c r="H42" s="185" t="str">
        <f>IFERROR(VLOOKUP(G42,'2022. tervsor'!C:D,2,0)," ")</f>
        <v>Ell.díjak - Neptun - Önktg. Költségtérítés</v>
      </c>
      <c r="I42" s="166">
        <v>5400000</v>
      </c>
      <c r="J42" s="166">
        <f t="shared" si="14"/>
        <v>5400000</v>
      </c>
      <c r="K42" s="166">
        <f t="shared" si="12"/>
        <v>0</v>
      </c>
      <c r="L42" s="166">
        <f t="shared" si="15"/>
        <v>5400000</v>
      </c>
      <c r="M42" s="182"/>
      <c r="N42" s="166"/>
      <c r="O42" s="166"/>
      <c r="P42" s="166"/>
      <c r="Q42" s="166"/>
      <c r="R42" s="166"/>
      <c r="S42" s="166"/>
      <c r="T42" s="166"/>
      <c r="U42" s="166"/>
      <c r="V42" s="166"/>
      <c r="W42" s="166"/>
      <c r="X42" s="166"/>
      <c r="Y42" s="166"/>
      <c r="Z42" s="166"/>
      <c r="AA42" s="166"/>
      <c r="AB42" s="166"/>
      <c r="AC42" s="166"/>
      <c r="AD42" s="166">
        <v>5400000</v>
      </c>
      <c r="AE42" s="166"/>
      <c r="AF42" s="166"/>
      <c r="AG42" s="166"/>
      <c r="AH42" s="166"/>
      <c r="AI42" s="166"/>
      <c r="AJ42" s="166"/>
      <c r="AK42" s="166"/>
      <c r="AL42" s="166"/>
      <c r="AM42" s="166"/>
      <c r="AN42" s="166"/>
      <c r="AO42" s="166"/>
      <c r="AP42" s="166"/>
      <c r="AQ42" s="166"/>
      <c r="AR42" s="166"/>
      <c r="AS42" s="166"/>
      <c r="AT42" s="166"/>
      <c r="AU42" s="166"/>
      <c r="AV42" s="166"/>
      <c r="AW42" s="166"/>
      <c r="AX42" s="166"/>
      <c r="AY42" s="166"/>
      <c r="AZ42" s="186"/>
      <c r="BA42" s="186"/>
      <c r="BB42" s="186"/>
      <c r="BC42" s="186"/>
      <c r="BD42" s="186"/>
      <c r="BE42" s="186"/>
      <c r="BF42" s="186"/>
      <c r="BG42" s="186"/>
      <c r="BH42" s="186"/>
      <c r="BI42" s="183">
        <f t="shared" si="16"/>
        <v>0</v>
      </c>
      <c r="BJ42" s="183">
        <f t="shared" si="17"/>
        <v>0</v>
      </c>
      <c r="BK42" s="183">
        <f t="shared" si="18"/>
        <v>5400000</v>
      </c>
      <c r="BL42" s="183">
        <f t="shared" si="19"/>
        <v>0</v>
      </c>
    </row>
    <row r="43" spans="1:64" s="187" customFormat="1" hidden="1" outlineLevel="2" x14ac:dyDescent="0.3">
      <c r="A43" s="185"/>
      <c r="B43" s="185"/>
      <c r="C43" s="185"/>
      <c r="D43" s="185"/>
      <c r="E43" s="185" t="s">
        <v>22</v>
      </c>
      <c r="F43" s="180" t="s">
        <v>82</v>
      </c>
      <c r="G43" s="185">
        <v>256</v>
      </c>
      <c r="H43" s="185" t="str">
        <f>IFERROR(VLOOKUP(G43,'2022. tervsor'!C:D,2,0)," ")</f>
        <v>Ell.díjak-Neptun-Egyéb szolg.d.- Felv.iratk.díjak (regiszt.) KTGTÉR</v>
      </c>
      <c r="I43" s="166">
        <f t="shared" si="13"/>
        <v>0</v>
      </c>
      <c r="J43" s="166">
        <f t="shared" si="14"/>
        <v>0</v>
      </c>
      <c r="K43" s="166">
        <f t="shared" si="12"/>
        <v>0</v>
      </c>
      <c r="L43" s="166">
        <f t="shared" si="15"/>
        <v>0</v>
      </c>
      <c r="M43" s="182"/>
      <c r="N43" s="166"/>
      <c r="O43" s="166"/>
      <c r="P43" s="166"/>
      <c r="Q43" s="166"/>
      <c r="R43" s="166"/>
      <c r="S43" s="166"/>
      <c r="T43" s="166"/>
      <c r="U43" s="166"/>
      <c r="V43" s="166"/>
      <c r="W43" s="166"/>
      <c r="X43" s="166"/>
      <c r="Y43" s="166"/>
      <c r="Z43" s="166"/>
      <c r="AA43" s="166"/>
      <c r="AB43" s="166"/>
      <c r="AC43" s="166"/>
      <c r="AD43" s="166"/>
      <c r="AE43" s="166"/>
      <c r="AF43" s="166"/>
      <c r="AG43" s="166"/>
      <c r="AH43" s="166"/>
      <c r="AI43" s="166"/>
      <c r="AJ43" s="166"/>
      <c r="AK43" s="166"/>
      <c r="AL43" s="166"/>
      <c r="AM43" s="166"/>
      <c r="AN43" s="166"/>
      <c r="AO43" s="166"/>
      <c r="AP43" s="166"/>
      <c r="AQ43" s="166"/>
      <c r="AR43" s="166"/>
      <c r="AS43" s="166"/>
      <c r="AT43" s="166"/>
      <c r="AU43" s="166"/>
      <c r="AV43" s="166"/>
      <c r="AW43" s="166"/>
      <c r="AX43" s="166"/>
      <c r="AY43" s="166"/>
      <c r="AZ43" s="186"/>
      <c r="BA43" s="186"/>
      <c r="BB43" s="186"/>
      <c r="BC43" s="186"/>
      <c r="BD43" s="186"/>
      <c r="BE43" s="186"/>
      <c r="BF43" s="186"/>
      <c r="BG43" s="186"/>
      <c r="BH43" s="186"/>
      <c r="BI43" s="183">
        <f t="shared" si="16"/>
        <v>0</v>
      </c>
      <c r="BJ43" s="183">
        <f t="shared" si="17"/>
        <v>0</v>
      </c>
      <c r="BK43" s="183">
        <f t="shared" si="18"/>
        <v>0</v>
      </c>
      <c r="BL43" s="183">
        <f t="shared" si="19"/>
        <v>0</v>
      </c>
    </row>
    <row r="44" spans="1:64" s="187" customFormat="1" hidden="1" outlineLevel="2" x14ac:dyDescent="0.3">
      <c r="A44" s="185"/>
      <c r="B44" s="185"/>
      <c r="C44" s="185"/>
      <c r="D44" s="185"/>
      <c r="E44" s="185" t="s">
        <v>22</v>
      </c>
      <c r="F44" s="180" t="s">
        <v>82</v>
      </c>
      <c r="G44" s="185">
        <v>257</v>
      </c>
      <c r="H44" s="185" t="str">
        <f>IFERROR(VLOOKUP(G44,'2022. tervsor'!C:D,2,0)," ")</f>
        <v>Ell.díjak-Neptun-Egyéb szolg.d.-Tantárgyi vizsgaismétlési díj (UV díj)</v>
      </c>
      <c r="I44" s="166">
        <v>450000</v>
      </c>
      <c r="J44" s="166">
        <f t="shared" si="14"/>
        <v>450000</v>
      </c>
      <c r="K44" s="166">
        <f t="shared" si="12"/>
        <v>0</v>
      </c>
      <c r="L44" s="166">
        <f t="shared" si="15"/>
        <v>450000</v>
      </c>
      <c r="M44" s="182"/>
      <c r="N44" s="166"/>
      <c r="O44" s="166"/>
      <c r="P44" s="166"/>
      <c r="Q44" s="166"/>
      <c r="R44" s="166"/>
      <c r="S44" s="166"/>
      <c r="T44" s="166"/>
      <c r="U44" s="166"/>
      <c r="V44" s="166"/>
      <c r="W44" s="166"/>
      <c r="X44" s="166"/>
      <c r="Y44" s="166"/>
      <c r="Z44" s="166"/>
      <c r="AA44" s="166"/>
      <c r="AB44" s="166"/>
      <c r="AC44" s="166"/>
      <c r="AD44" s="166">
        <v>450000</v>
      </c>
      <c r="AE44" s="166"/>
      <c r="AF44" s="166"/>
      <c r="AG44" s="166"/>
      <c r="AH44" s="166"/>
      <c r="AI44" s="166"/>
      <c r="AJ44" s="166"/>
      <c r="AK44" s="166"/>
      <c r="AL44" s="166"/>
      <c r="AM44" s="166"/>
      <c r="AN44" s="166"/>
      <c r="AO44" s="166"/>
      <c r="AP44" s="166"/>
      <c r="AQ44" s="166"/>
      <c r="AR44" s="166"/>
      <c r="AS44" s="166"/>
      <c r="AT44" s="166"/>
      <c r="AU44" s="166"/>
      <c r="AV44" s="166"/>
      <c r="AW44" s="166"/>
      <c r="AX44" s="166"/>
      <c r="AY44" s="166"/>
      <c r="AZ44" s="186"/>
      <c r="BA44" s="186"/>
      <c r="BB44" s="186"/>
      <c r="BC44" s="186"/>
      <c r="BD44" s="186"/>
      <c r="BE44" s="186"/>
      <c r="BF44" s="186"/>
      <c r="BG44" s="186"/>
      <c r="BH44" s="186"/>
      <c r="BI44" s="183">
        <f t="shared" si="16"/>
        <v>0</v>
      </c>
      <c r="BJ44" s="183">
        <f t="shared" si="17"/>
        <v>0</v>
      </c>
      <c r="BK44" s="183">
        <f t="shared" si="18"/>
        <v>450000</v>
      </c>
      <c r="BL44" s="183">
        <f t="shared" si="19"/>
        <v>0</v>
      </c>
    </row>
    <row r="45" spans="1:64" s="187" customFormat="1" hidden="1" outlineLevel="2" x14ac:dyDescent="0.3">
      <c r="A45" s="185"/>
      <c r="B45" s="185"/>
      <c r="C45" s="185"/>
      <c r="D45" s="185"/>
      <c r="E45" s="185" t="s">
        <v>22</v>
      </c>
      <c r="F45" s="180" t="s">
        <v>82</v>
      </c>
      <c r="G45" s="185">
        <v>258</v>
      </c>
      <c r="H45" s="185" t="str">
        <f>IFERROR(VLOOKUP(G45,'2022. tervsor'!C:D,2,0)," ")</f>
        <v>Ell.díjak-Neptun-Egyéb szolg.d. - Tantárgyismétlési díj</v>
      </c>
      <c r="I45" s="166">
        <v>120000</v>
      </c>
      <c r="J45" s="166">
        <f t="shared" si="14"/>
        <v>120000</v>
      </c>
      <c r="K45" s="166">
        <f t="shared" si="12"/>
        <v>0</v>
      </c>
      <c r="L45" s="166">
        <f t="shared" si="15"/>
        <v>120000</v>
      </c>
      <c r="M45" s="182"/>
      <c r="N45" s="166"/>
      <c r="O45" s="166"/>
      <c r="P45" s="166"/>
      <c r="Q45" s="166"/>
      <c r="R45" s="166"/>
      <c r="S45" s="166"/>
      <c r="T45" s="166"/>
      <c r="U45" s="166"/>
      <c r="V45" s="166"/>
      <c r="W45" s="166"/>
      <c r="X45" s="166"/>
      <c r="Y45" s="166"/>
      <c r="Z45" s="166"/>
      <c r="AA45" s="166"/>
      <c r="AB45" s="166"/>
      <c r="AC45" s="166"/>
      <c r="AD45" s="166">
        <v>120000</v>
      </c>
      <c r="AE45" s="166"/>
      <c r="AF45" s="166"/>
      <c r="AG45" s="166"/>
      <c r="AH45" s="166"/>
      <c r="AI45" s="166"/>
      <c r="AJ45" s="166"/>
      <c r="AK45" s="166"/>
      <c r="AL45" s="166"/>
      <c r="AM45" s="166"/>
      <c r="AN45" s="166"/>
      <c r="AO45" s="166"/>
      <c r="AP45" s="166"/>
      <c r="AQ45" s="166"/>
      <c r="AR45" s="166"/>
      <c r="AS45" s="166"/>
      <c r="AT45" s="166"/>
      <c r="AU45" s="166"/>
      <c r="AV45" s="166"/>
      <c r="AW45" s="166"/>
      <c r="AX45" s="166"/>
      <c r="AY45" s="166"/>
      <c r="AZ45" s="186"/>
      <c r="BA45" s="186"/>
      <c r="BB45" s="186"/>
      <c r="BC45" s="186"/>
      <c r="BD45" s="186"/>
      <c r="BE45" s="186"/>
      <c r="BF45" s="186"/>
      <c r="BG45" s="186"/>
      <c r="BH45" s="186"/>
      <c r="BI45" s="183">
        <f t="shared" si="16"/>
        <v>0</v>
      </c>
      <c r="BJ45" s="183">
        <f t="shared" si="17"/>
        <v>0</v>
      </c>
      <c r="BK45" s="183">
        <f t="shared" si="18"/>
        <v>120000</v>
      </c>
      <c r="BL45" s="183">
        <f t="shared" si="19"/>
        <v>0</v>
      </c>
    </row>
    <row r="46" spans="1:64" s="187" customFormat="1" hidden="1" outlineLevel="2" x14ac:dyDescent="0.3">
      <c r="A46" s="185"/>
      <c r="B46" s="185"/>
      <c r="C46" s="185"/>
      <c r="D46" s="185"/>
      <c r="E46" s="185" t="s">
        <v>22</v>
      </c>
      <c r="F46" s="180" t="s">
        <v>82</v>
      </c>
      <c r="G46" s="185">
        <v>259</v>
      </c>
      <c r="H46" s="185" t="str">
        <f>IFERROR(VLOOKUP(G46,'2022. tervsor'!C:D,2,0)," ")</f>
        <v>Ell.díjak-Neptun-Egyéb szolg.d.-Oklevél, diplomakiállítási díj</v>
      </c>
      <c r="I46" s="166">
        <f t="shared" si="13"/>
        <v>0</v>
      </c>
      <c r="J46" s="166">
        <f t="shared" si="14"/>
        <v>0</v>
      </c>
      <c r="K46" s="166">
        <f t="shared" si="12"/>
        <v>0</v>
      </c>
      <c r="L46" s="166">
        <f t="shared" si="15"/>
        <v>0</v>
      </c>
      <c r="M46" s="182"/>
      <c r="N46" s="166"/>
      <c r="O46" s="166"/>
      <c r="P46" s="166"/>
      <c r="Q46" s="166"/>
      <c r="R46" s="166"/>
      <c r="S46" s="166"/>
      <c r="T46" s="166"/>
      <c r="U46" s="166"/>
      <c r="V46" s="166"/>
      <c r="W46" s="166"/>
      <c r="X46" s="166"/>
      <c r="Y46" s="166"/>
      <c r="Z46" s="166"/>
      <c r="AA46" s="166"/>
      <c r="AB46" s="166"/>
      <c r="AC46" s="166"/>
      <c r="AD46" s="166"/>
      <c r="AE46" s="166"/>
      <c r="AF46" s="166"/>
      <c r="AG46" s="166"/>
      <c r="AH46" s="166"/>
      <c r="AI46" s="166"/>
      <c r="AJ46" s="166"/>
      <c r="AK46" s="166"/>
      <c r="AL46" s="166"/>
      <c r="AM46" s="166"/>
      <c r="AN46" s="166"/>
      <c r="AO46" s="166"/>
      <c r="AP46" s="166"/>
      <c r="AQ46" s="166"/>
      <c r="AR46" s="166"/>
      <c r="AS46" s="166"/>
      <c r="AT46" s="166"/>
      <c r="AU46" s="166"/>
      <c r="AV46" s="166"/>
      <c r="AW46" s="166"/>
      <c r="AX46" s="166"/>
      <c r="AY46" s="166"/>
      <c r="AZ46" s="186"/>
      <c r="BA46" s="186"/>
      <c r="BB46" s="186"/>
      <c r="BC46" s="186"/>
      <c r="BD46" s="186"/>
      <c r="BE46" s="186"/>
      <c r="BF46" s="186"/>
      <c r="BG46" s="186"/>
      <c r="BH46" s="186"/>
      <c r="BI46" s="183">
        <f t="shared" si="16"/>
        <v>0</v>
      </c>
      <c r="BJ46" s="183">
        <f t="shared" si="17"/>
        <v>0</v>
      </c>
      <c r="BK46" s="183">
        <f t="shared" si="18"/>
        <v>0</v>
      </c>
      <c r="BL46" s="183">
        <f t="shared" si="19"/>
        <v>0</v>
      </c>
    </row>
    <row r="47" spans="1:64" s="187" customFormat="1" hidden="1" outlineLevel="2" x14ac:dyDescent="0.3">
      <c r="A47" s="185"/>
      <c r="B47" s="185"/>
      <c r="C47" s="185"/>
      <c r="D47" s="185"/>
      <c r="E47" s="185" t="s">
        <v>22</v>
      </c>
      <c r="F47" s="180" t="s">
        <v>82</v>
      </c>
      <c r="G47" s="185">
        <v>260</v>
      </c>
      <c r="H47" s="185" t="str">
        <f>IFERROR(VLOOKUP(G47,'2022. tervsor'!C:D,2,0)," ")</f>
        <v>Ell.díjak-Neptun-Egyéb szolg.d.-Kredittúllépés, kreditkihagyási díj</v>
      </c>
      <c r="I47" s="166">
        <f t="shared" si="13"/>
        <v>0</v>
      </c>
      <c r="J47" s="166">
        <f t="shared" si="14"/>
        <v>0</v>
      </c>
      <c r="K47" s="166">
        <f t="shared" si="12"/>
        <v>0</v>
      </c>
      <c r="L47" s="166">
        <f t="shared" si="15"/>
        <v>0</v>
      </c>
      <c r="M47" s="182"/>
      <c r="N47" s="166"/>
      <c r="O47" s="166"/>
      <c r="P47" s="166"/>
      <c r="Q47" s="166"/>
      <c r="R47" s="166"/>
      <c r="S47" s="166"/>
      <c r="T47" s="166"/>
      <c r="U47" s="166"/>
      <c r="V47" s="166"/>
      <c r="W47" s="166"/>
      <c r="X47" s="166"/>
      <c r="Y47" s="166"/>
      <c r="Z47" s="166"/>
      <c r="AA47" s="166"/>
      <c r="AB47" s="166"/>
      <c r="AC47" s="166"/>
      <c r="AD47" s="166"/>
      <c r="AE47" s="166"/>
      <c r="AF47" s="166"/>
      <c r="AG47" s="166"/>
      <c r="AH47" s="166"/>
      <c r="AI47" s="166"/>
      <c r="AJ47" s="166"/>
      <c r="AK47" s="166"/>
      <c r="AL47" s="166"/>
      <c r="AM47" s="166"/>
      <c r="AN47" s="166"/>
      <c r="AO47" s="166"/>
      <c r="AP47" s="166"/>
      <c r="AQ47" s="166"/>
      <c r="AR47" s="166"/>
      <c r="AS47" s="166"/>
      <c r="AT47" s="166"/>
      <c r="AU47" s="166"/>
      <c r="AV47" s="166"/>
      <c r="AW47" s="166"/>
      <c r="AX47" s="166"/>
      <c r="AY47" s="166"/>
      <c r="AZ47" s="186"/>
      <c r="BA47" s="186"/>
      <c r="BB47" s="186"/>
      <c r="BC47" s="186"/>
      <c r="BD47" s="186"/>
      <c r="BE47" s="186"/>
      <c r="BF47" s="186"/>
      <c r="BG47" s="186"/>
      <c r="BH47" s="186"/>
      <c r="BI47" s="183">
        <f t="shared" si="16"/>
        <v>0</v>
      </c>
      <c r="BJ47" s="183">
        <f t="shared" si="17"/>
        <v>0</v>
      </c>
      <c r="BK47" s="183">
        <f t="shared" si="18"/>
        <v>0</v>
      </c>
      <c r="BL47" s="183">
        <f t="shared" si="19"/>
        <v>0</v>
      </c>
    </row>
    <row r="48" spans="1:64" s="187" customFormat="1" hidden="1" outlineLevel="2" x14ac:dyDescent="0.3">
      <c r="A48" s="185"/>
      <c r="B48" s="185"/>
      <c r="C48" s="185"/>
      <c r="D48" s="185"/>
      <c r="E48" s="185" t="s">
        <v>22</v>
      </c>
      <c r="F48" s="180" t="s">
        <v>82</v>
      </c>
      <c r="G48" s="185">
        <v>261</v>
      </c>
      <c r="H48" s="185" t="str">
        <f>IFERROR(VLOOKUP(G48,'2022. tervsor'!C:D,2,0)," ")</f>
        <v>Ell.díjak-Neptun-Egyéb szolg.d. - Nyelvvizsga díj</v>
      </c>
      <c r="I48" s="166">
        <f t="shared" si="13"/>
        <v>0</v>
      </c>
      <c r="J48" s="166">
        <f t="shared" si="14"/>
        <v>0</v>
      </c>
      <c r="K48" s="166">
        <f t="shared" si="12"/>
        <v>0</v>
      </c>
      <c r="L48" s="166">
        <f t="shared" si="15"/>
        <v>0</v>
      </c>
      <c r="M48" s="182"/>
      <c r="N48" s="166"/>
      <c r="O48" s="166"/>
      <c r="P48" s="166"/>
      <c r="Q48" s="166"/>
      <c r="R48" s="166"/>
      <c r="S48" s="166"/>
      <c r="T48" s="166"/>
      <c r="U48" s="166"/>
      <c r="V48" s="166"/>
      <c r="W48" s="166"/>
      <c r="X48" s="166"/>
      <c r="Y48" s="166"/>
      <c r="Z48" s="166"/>
      <c r="AA48" s="166"/>
      <c r="AB48" s="166"/>
      <c r="AC48" s="166"/>
      <c r="AD48" s="166"/>
      <c r="AE48" s="166"/>
      <c r="AF48" s="166"/>
      <c r="AG48" s="166"/>
      <c r="AH48" s="166"/>
      <c r="AI48" s="166"/>
      <c r="AJ48" s="166"/>
      <c r="AK48" s="166"/>
      <c r="AL48" s="166"/>
      <c r="AM48" s="166"/>
      <c r="AN48" s="166"/>
      <c r="AO48" s="166"/>
      <c r="AP48" s="166"/>
      <c r="AQ48" s="166"/>
      <c r="AR48" s="166"/>
      <c r="AS48" s="166"/>
      <c r="AT48" s="166"/>
      <c r="AU48" s="166"/>
      <c r="AV48" s="166"/>
      <c r="AW48" s="166"/>
      <c r="AX48" s="166"/>
      <c r="AY48" s="166"/>
      <c r="AZ48" s="186"/>
      <c r="BA48" s="186"/>
      <c r="BB48" s="186"/>
      <c r="BC48" s="186"/>
      <c r="BD48" s="186"/>
      <c r="BE48" s="186"/>
      <c r="BF48" s="186"/>
      <c r="BG48" s="186"/>
      <c r="BH48" s="186"/>
      <c r="BI48" s="183">
        <f t="shared" si="16"/>
        <v>0</v>
      </c>
      <c r="BJ48" s="183">
        <f t="shared" si="17"/>
        <v>0</v>
      </c>
      <c r="BK48" s="183">
        <f t="shared" si="18"/>
        <v>0</v>
      </c>
      <c r="BL48" s="183">
        <f t="shared" si="19"/>
        <v>0</v>
      </c>
    </row>
    <row r="49" spans="1:64" s="187" customFormat="1" hidden="1" outlineLevel="2" x14ac:dyDescent="0.3">
      <c r="A49" s="185"/>
      <c r="B49" s="185"/>
      <c r="C49" s="185"/>
      <c r="D49" s="185"/>
      <c r="E49" s="185" t="s">
        <v>22</v>
      </c>
      <c r="F49" s="180" t="s">
        <v>82</v>
      </c>
      <c r="G49" s="185">
        <v>262</v>
      </c>
      <c r="H49" s="185" t="str">
        <f>IFERROR(VLOOKUP(G49,'2022. tervsor'!C:D,2,0)," ")</f>
        <v>Ell.díjak-Neptun-Egyéb szolg.d. - Utólagos kurzusfelvétel. leadás</v>
      </c>
      <c r="I49" s="166">
        <f t="shared" si="13"/>
        <v>0</v>
      </c>
      <c r="J49" s="166">
        <f t="shared" si="14"/>
        <v>0</v>
      </c>
      <c r="K49" s="166">
        <f t="shared" si="12"/>
        <v>0</v>
      </c>
      <c r="L49" s="166">
        <f t="shared" si="15"/>
        <v>0</v>
      </c>
      <c r="M49" s="182"/>
      <c r="N49" s="166"/>
      <c r="O49" s="166"/>
      <c r="P49" s="166"/>
      <c r="Q49" s="166"/>
      <c r="R49" s="166"/>
      <c r="S49" s="166"/>
      <c r="T49" s="166"/>
      <c r="U49" s="166"/>
      <c r="V49" s="166"/>
      <c r="W49" s="166"/>
      <c r="X49" s="166"/>
      <c r="Y49" s="166"/>
      <c r="Z49" s="166"/>
      <c r="AA49" s="166"/>
      <c r="AB49" s="166"/>
      <c r="AC49" s="166"/>
      <c r="AD49" s="166"/>
      <c r="AE49" s="166"/>
      <c r="AF49" s="166"/>
      <c r="AG49" s="166"/>
      <c r="AH49" s="166"/>
      <c r="AI49" s="166"/>
      <c r="AJ49" s="166"/>
      <c r="AK49" s="166"/>
      <c r="AL49" s="166"/>
      <c r="AM49" s="166"/>
      <c r="AN49" s="166"/>
      <c r="AO49" s="166"/>
      <c r="AP49" s="166"/>
      <c r="AQ49" s="166"/>
      <c r="AR49" s="166"/>
      <c r="AS49" s="166"/>
      <c r="AT49" s="166"/>
      <c r="AU49" s="166"/>
      <c r="AV49" s="166"/>
      <c r="AW49" s="166"/>
      <c r="AX49" s="166"/>
      <c r="AY49" s="166"/>
      <c r="AZ49" s="186"/>
      <c r="BA49" s="186"/>
      <c r="BB49" s="186"/>
      <c r="BC49" s="186"/>
      <c r="BD49" s="186"/>
      <c r="BE49" s="186"/>
      <c r="BF49" s="186"/>
      <c r="BG49" s="186"/>
      <c r="BH49" s="186"/>
      <c r="BI49" s="183">
        <f t="shared" si="16"/>
        <v>0</v>
      </c>
      <c r="BJ49" s="183">
        <f t="shared" si="17"/>
        <v>0</v>
      </c>
      <c r="BK49" s="183">
        <f t="shared" si="18"/>
        <v>0</v>
      </c>
      <c r="BL49" s="183">
        <f t="shared" si="19"/>
        <v>0</v>
      </c>
    </row>
    <row r="50" spans="1:64" s="187" customFormat="1" hidden="1" outlineLevel="2" x14ac:dyDescent="0.3">
      <c r="A50" s="185"/>
      <c r="B50" s="185"/>
      <c r="C50" s="185"/>
      <c r="D50" s="185"/>
      <c r="E50" s="185" t="s">
        <v>22</v>
      </c>
      <c r="F50" s="180" t="s">
        <v>82</v>
      </c>
      <c r="G50" s="185">
        <v>263</v>
      </c>
      <c r="H50" s="185" t="str">
        <f>IFERROR(VLOOKUP(G50,'2022. tervsor'!C:D,2,0)," ")</f>
        <v>Ell.díjak-Neptun-Egyéb szolg.d. - Késedelmes leadás. felvétel</v>
      </c>
      <c r="I50" s="166">
        <f t="shared" si="13"/>
        <v>0</v>
      </c>
      <c r="J50" s="166">
        <f t="shared" si="14"/>
        <v>0</v>
      </c>
      <c r="K50" s="166">
        <f t="shared" si="12"/>
        <v>0</v>
      </c>
      <c r="L50" s="166">
        <f t="shared" si="15"/>
        <v>0</v>
      </c>
      <c r="M50" s="182"/>
      <c r="N50" s="166"/>
      <c r="O50" s="166"/>
      <c r="P50" s="166"/>
      <c r="Q50" s="166"/>
      <c r="R50" s="166"/>
      <c r="S50" s="166"/>
      <c r="T50" s="166"/>
      <c r="U50" s="166"/>
      <c r="V50" s="166"/>
      <c r="W50" s="166"/>
      <c r="X50" s="166"/>
      <c r="Y50" s="166"/>
      <c r="Z50" s="166"/>
      <c r="AA50" s="166"/>
      <c r="AB50" s="166"/>
      <c r="AC50" s="166"/>
      <c r="AD50" s="166"/>
      <c r="AE50" s="166"/>
      <c r="AF50" s="166"/>
      <c r="AG50" s="166"/>
      <c r="AH50" s="166"/>
      <c r="AI50" s="166"/>
      <c r="AJ50" s="166"/>
      <c r="AK50" s="166"/>
      <c r="AL50" s="166"/>
      <c r="AM50" s="166"/>
      <c r="AN50" s="166"/>
      <c r="AO50" s="166"/>
      <c r="AP50" s="166"/>
      <c r="AQ50" s="166"/>
      <c r="AR50" s="166"/>
      <c r="AS50" s="166"/>
      <c r="AT50" s="166"/>
      <c r="AU50" s="166"/>
      <c r="AV50" s="166"/>
      <c r="AW50" s="166"/>
      <c r="AX50" s="166"/>
      <c r="AY50" s="166"/>
      <c r="AZ50" s="186"/>
      <c r="BA50" s="186"/>
      <c r="BB50" s="186"/>
      <c r="BC50" s="186"/>
      <c r="BD50" s="186"/>
      <c r="BE50" s="186"/>
      <c r="BF50" s="186"/>
      <c r="BG50" s="186"/>
      <c r="BH50" s="186"/>
      <c r="BI50" s="183">
        <f t="shared" si="16"/>
        <v>0</v>
      </c>
      <c r="BJ50" s="183">
        <f t="shared" si="17"/>
        <v>0</v>
      </c>
      <c r="BK50" s="183">
        <f t="shared" si="18"/>
        <v>0</v>
      </c>
      <c r="BL50" s="183">
        <f t="shared" si="19"/>
        <v>0</v>
      </c>
    </row>
    <row r="51" spans="1:64" s="187" customFormat="1" hidden="1" outlineLevel="2" x14ac:dyDescent="0.3">
      <c r="A51" s="185"/>
      <c r="B51" s="185"/>
      <c r="C51" s="185"/>
      <c r="D51" s="185"/>
      <c r="E51" s="185" t="s">
        <v>22</v>
      </c>
      <c r="F51" s="180" t="s">
        <v>82</v>
      </c>
      <c r="G51" s="185">
        <v>264</v>
      </c>
      <c r="H51" s="185" t="str">
        <f>IFERROR(VLOOKUP(G51,'2022. tervsor'!C:D,2,0)," ")</f>
        <v>Ell.díjak-Neptun-Egyéb szolg.d. - Késedelmes befizetés</v>
      </c>
      <c r="I51" s="166">
        <f t="shared" si="13"/>
        <v>0</v>
      </c>
      <c r="J51" s="166">
        <f t="shared" si="14"/>
        <v>0</v>
      </c>
      <c r="K51" s="166">
        <f t="shared" si="12"/>
        <v>0</v>
      </c>
      <c r="L51" s="166">
        <f t="shared" si="15"/>
        <v>0</v>
      </c>
      <c r="M51" s="182"/>
      <c r="N51" s="166"/>
      <c r="O51" s="166"/>
      <c r="P51" s="166"/>
      <c r="Q51" s="166"/>
      <c r="R51" s="166"/>
      <c r="S51" s="166"/>
      <c r="T51" s="166"/>
      <c r="U51" s="166"/>
      <c r="V51" s="166"/>
      <c r="W51" s="166"/>
      <c r="X51" s="166"/>
      <c r="Y51" s="166"/>
      <c r="Z51" s="166"/>
      <c r="AA51" s="166"/>
      <c r="AB51" s="166"/>
      <c r="AC51" s="166"/>
      <c r="AD51" s="166"/>
      <c r="AE51" s="166"/>
      <c r="AF51" s="166"/>
      <c r="AG51" s="166"/>
      <c r="AH51" s="166"/>
      <c r="AI51" s="166"/>
      <c r="AJ51" s="166"/>
      <c r="AK51" s="166"/>
      <c r="AL51" s="166"/>
      <c r="AM51" s="166"/>
      <c r="AN51" s="166"/>
      <c r="AO51" s="166"/>
      <c r="AP51" s="166"/>
      <c r="AQ51" s="166"/>
      <c r="AR51" s="166"/>
      <c r="AS51" s="166"/>
      <c r="AT51" s="166"/>
      <c r="AU51" s="166"/>
      <c r="AV51" s="166"/>
      <c r="AW51" s="166"/>
      <c r="AX51" s="166"/>
      <c r="AY51" s="166"/>
      <c r="AZ51" s="186"/>
      <c r="BA51" s="186"/>
      <c r="BB51" s="186"/>
      <c r="BC51" s="186"/>
      <c r="BD51" s="186"/>
      <c r="BE51" s="186"/>
      <c r="BF51" s="186"/>
      <c r="BG51" s="186"/>
      <c r="BH51" s="186"/>
      <c r="BI51" s="183">
        <f t="shared" si="16"/>
        <v>0</v>
      </c>
      <c r="BJ51" s="183">
        <f t="shared" si="17"/>
        <v>0</v>
      </c>
      <c r="BK51" s="183">
        <f t="shared" si="18"/>
        <v>0</v>
      </c>
      <c r="BL51" s="183">
        <f t="shared" si="19"/>
        <v>0</v>
      </c>
    </row>
    <row r="52" spans="1:64" s="187" customFormat="1" hidden="1" outlineLevel="2" x14ac:dyDescent="0.3">
      <c r="A52" s="185"/>
      <c r="B52" s="185"/>
      <c r="C52" s="185"/>
      <c r="D52" s="185"/>
      <c r="E52" s="185" t="s">
        <v>22</v>
      </c>
      <c r="F52" s="180" t="s">
        <v>82</v>
      </c>
      <c r="G52" s="185">
        <v>265</v>
      </c>
      <c r="H52" s="185" t="str">
        <f>IFERROR(VLOOKUP(G52,'2022. tervsor'!C:D,2,0)," ")</f>
        <v>Ell.díjak-Neptun-Egyéb szolg.d.-Kreditenkénti költségtérítés - túlfutók</v>
      </c>
      <c r="I52" s="166">
        <f t="shared" si="13"/>
        <v>0</v>
      </c>
      <c r="J52" s="166">
        <f t="shared" si="14"/>
        <v>0</v>
      </c>
      <c r="K52" s="166">
        <f t="shared" si="12"/>
        <v>0</v>
      </c>
      <c r="L52" s="166">
        <f t="shared" si="15"/>
        <v>0</v>
      </c>
      <c r="M52" s="182"/>
      <c r="N52" s="166"/>
      <c r="O52" s="166"/>
      <c r="P52" s="166"/>
      <c r="Q52" s="166"/>
      <c r="R52" s="166"/>
      <c r="S52" s="166"/>
      <c r="T52" s="166"/>
      <c r="U52" s="166"/>
      <c r="V52" s="166"/>
      <c r="W52" s="166"/>
      <c r="X52" s="166"/>
      <c r="Y52" s="166"/>
      <c r="Z52" s="166"/>
      <c r="AA52" s="166"/>
      <c r="AB52" s="166"/>
      <c r="AC52" s="166"/>
      <c r="AD52" s="166"/>
      <c r="AE52" s="166"/>
      <c r="AF52" s="166"/>
      <c r="AG52" s="166"/>
      <c r="AH52" s="166"/>
      <c r="AI52" s="166"/>
      <c r="AJ52" s="166"/>
      <c r="AK52" s="166"/>
      <c r="AL52" s="166"/>
      <c r="AM52" s="166"/>
      <c r="AN52" s="166"/>
      <c r="AO52" s="166"/>
      <c r="AP52" s="166"/>
      <c r="AQ52" s="166"/>
      <c r="AR52" s="166"/>
      <c r="AS52" s="166"/>
      <c r="AT52" s="166"/>
      <c r="AU52" s="166"/>
      <c r="AV52" s="166"/>
      <c r="AW52" s="166"/>
      <c r="AX52" s="166"/>
      <c r="AY52" s="166"/>
      <c r="AZ52" s="186"/>
      <c r="BA52" s="186"/>
      <c r="BB52" s="186"/>
      <c r="BC52" s="186"/>
      <c r="BD52" s="186"/>
      <c r="BE52" s="186"/>
      <c r="BF52" s="186"/>
      <c r="BG52" s="186"/>
      <c r="BH52" s="186"/>
      <c r="BI52" s="183">
        <f t="shared" si="16"/>
        <v>0</v>
      </c>
      <c r="BJ52" s="183">
        <f t="shared" si="17"/>
        <v>0</v>
      </c>
      <c r="BK52" s="183">
        <f t="shared" si="18"/>
        <v>0</v>
      </c>
      <c r="BL52" s="183">
        <f t="shared" si="19"/>
        <v>0</v>
      </c>
    </row>
    <row r="53" spans="1:64" s="187" customFormat="1" hidden="1" outlineLevel="2" x14ac:dyDescent="0.3">
      <c r="A53" s="185"/>
      <c r="B53" s="185"/>
      <c r="C53" s="185"/>
      <c r="D53" s="185"/>
      <c r="E53" s="185" t="s">
        <v>22</v>
      </c>
      <c r="F53" s="180" t="s">
        <v>82</v>
      </c>
      <c r="G53" s="185">
        <v>266</v>
      </c>
      <c r="H53" s="185" t="str">
        <f>IFERROR(VLOOKUP(G53,'2022. tervsor'!C:D,2,0)," ")</f>
        <v>Ell.díjak-Neptun-Egyéb szolg.d.- Doktori eljárási díjak</v>
      </c>
      <c r="I53" s="166">
        <f t="shared" si="13"/>
        <v>0</v>
      </c>
      <c r="J53" s="166">
        <f t="shared" si="14"/>
        <v>0</v>
      </c>
      <c r="K53" s="166">
        <f t="shared" si="12"/>
        <v>0</v>
      </c>
      <c r="L53" s="166">
        <f t="shared" si="15"/>
        <v>0</v>
      </c>
      <c r="M53" s="182"/>
      <c r="N53" s="166"/>
      <c r="O53" s="166"/>
      <c r="P53" s="166"/>
      <c r="Q53" s="166"/>
      <c r="R53" s="166"/>
      <c r="S53" s="166"/>
      <c r="T53" s="166"/>
      <c r="U53" s="166"/>
      <c r="V53" s="166"/>
      <c r="W53" s="166"/>
      <c r="X53" s="166"/>
      <c r="Y53" s="166"/>
      <c r="Z53" s="166"/>
      <c r="AA53" s="166"/>
      <c r="AB53" s="166"/>
      <c r="AC53" s="166"/>
      <c r="AD53" s="166"/>
      <c r="AE53" s="166"/>
      <c r="AF53" s="166"/>
      <c r="AG53" s="166"/>
      <c r="AH53" s="166"/>
      <c r="AI53" s="166"/>
      <c r="AJ53" s="166"/>
      <c r="AK53" s="166"/>
      <c r="AL53" s="166"/>
      <c r="AM53" s="166"/>
      <c r="AN53" s="166"/>
      <c r="AO53" s="166"/>
      <c r="AP53" s="166"/>
      <c r="AQ53" s="166"/>
      <c r="AR53" s="166"/>
      <c r="AS53" s="166"/>
      <c r="AT53" s="166"/>
      <c r="AU53" s="166"/>
      <c r="AV53" s="166"/>
      <c r="AW53" s="166"/>
      <c r="AX53" s="166"/>
      <c r="AY53" s="166"/>
      <c r="AZ53" s="186"/>
      <c r="BA53" s="186"/>
      <c r="BB53" s="186"/>
      <c r="BC53" s="186"/>
      <c r="BD53" s="186"/>
      <c r="BE53" s="186"/>
      <c r="BF53" s="186"/>
      <c r="BG53" s="186"/>
      <c r="BH53" s="186"/>
      <c r="BI53" s="183">
        <f t="shared" si="16"/>
        <v>0</v>
      </c>
      <c r="BJ53" s="183">
        <f t="shared" si="17"/>
        <v>0</v>
      </c>
      <c r="BK53" s="183">
        <f t="shared" si="18"/>
        <v>0</v>
      </c>
      <c r="BL53" s="183">
        <f t="shared" si="19"/>
        <v>0</v>
      </c>
    </row>
    <row r="54" spans="1:64" s="187" customFormat="1" hidden="1" outlineLevel="2" x14ac:dyDescent="0.3">
      <c r="A54" s="185"/>
      <c r="B54" s="185"/>
      <c r="C54" s="185"/>
      <c r="D54" s="185"/>
      <c r="E54" s="185" t="s">
        <v>22</v>
      </c>
      <c r="F54" s="180" t="s">
        <v>82</v>
      </c>
      <c r="G54" s="185">
        <v>267</v>
      </c>
      <c r="H54" s="185" t="str">
        <f>IFERROR(VLOOKUP(G54,'2022. tervsor'!C:D,2,0)," ")</f>
        <v>Ell.díjak-Neptun-Egyéb szolg.d.-Egyéb különeljárási és késedelmi díjak</v>
      </c>
      <c r="I54" s="166">
        <v>1030000</v>
      </c>
      <c r="J54" s="166">
        <f t="shared" si="14"/>
        <v>1030000</v>
      </c>
      <c r="K54" s="166">
        <f t="shared" si="12"/>
        <v>0</v>
      </c>
      <c r="L54" s="166">
        <f t="shared" si="15"/>
        <v>1030000</v>
      </c>
      <c r="M54" s="182"/>
      <c r="N54" s="166"/>
      <c r="O54" s="166"/>
      <c r="P54" s="166"/>
      <c r="Q54" s="166"/>
      <c r="R54" s="166"/>
      <c r="S54" s="166"/>
      <c r="T54" s="166"/>
      <c r="U54" s="166"/>
      <c r="V54" s="166"/>
      <c r="W54" s="166"/>
      <c r="X54" s="166"/>
      <c r="Y54" s="166"/>
      <c r="Z54" s="166"/>
      <c r="AA54" s="166"/>
      <c r="AB54" s="166"/>
      <c r="AC54" s="166"/>
      <c r="AD54" s="166">
        <v>1030000</v>
      </c>
      <c r="AE54" s="166"/>
      <c r="AF54" s="166"/>
      <c r="AG54" s="166"/>
      <c r="AH54" s="166"/>
      <c r="AI54" s="166"/>
      <c r="AJ54" s="166"/>
      <c r="AK54" s="166"/>
      <c r="AL54" s="166"/>
      <c r="AM54" s="166"/>
      <c r="AN54" s="166"/>
      <c r="AO54" s="166"/>
      <c r="AP54" s="166"/>
      <c r="AQ54" s="166"/>
      <c r="AR54" s="166"/>
      <c r="AS54" s="166"/>
      <c r="AT54" s="166"/>
      <c r="AU54" s="166"/>
      <c r="AV54" s="166"/>
      <c r="AW54" s="166"/>
      <c r="AX54" s="166"/>
      <c r="AY54" s="166"/>
      <c r="AZ54" s="186"/>
      <c r="BA54" s="186"/>
      <c r="BB54" s="186"/>
      <c r="BC54" s="186"/>
      <c r="BD54" s="186"/>
      <c r="BE54" s="186"/>
      <c r="BF54" s="186"/>
      <c r="BG54" s="186"/>
      <c r="BH54" s="186"/>
      <c r="BI54" s="183">
        <f t="shared" si="16"/>
        <v>0</v>
      </c>
      <c r="BJ54" s="183">
        <f t="shared" si="17"/>
        <v>0</v>
      </c>
      <c r="BK54" s="183">
        <f t="shared" si="18"/>
        <v>1030000</v>
      </c>
      <c r="BL54" s="183">
        <f t="shared" si="19"/>
        <v>0</v>
      </c>
    </row>
    <row r="55" spans="1:64" s="187" customFormat="1" hidden="1" outlineLevel="2" x14ac:dyDescent="0.3">
      <c r="A55" s="185"/>
      <c r="B55" s="185"/>
      <c r="C55" s="185"/>
      <c r="D55" s="185"/>
      <c r="E55" s="185" t="s">
        <v>22</v>
      </c>
      <c r="F55" s="180" t="s">
        <v>82</v>
      </c>
      <c r="G55" s="185">
        <v>268</v>
      </c>
      <c r="H55" s="185" t="str">
        <f>IFERROR(VLOOKUP(G55,'2022. tervsor'!C:D,2,0)," ")</f>
        <v>Ell.díjak - Neptun - Kollégiumi bevételek</v>
      </c>
      <c r="I55" s="166">
        <f t="shared" si="13"/>
        <v>0</v>
      </c>
      <c r="J55" s="166">
        <f t="shared" si="14"/>
        <v>0</v>
      </c>
      <c r="K55" s="166">
        <f t="shared" si="12"/>
        <v>0</v>
      </c>
      <c r="L55" s="166">
        <f t="shared" si="15"/>
        <v>0</v>
      </c>
      <c r="M55" s="182"/>
      <c r="N55" s="166"/>
      <c r="O55" s="166"/>
      <c r="P55" s="166"/>
      <c r="Q55" s="166"/>
      <c r="R55" s="166"/>
      <c r="S55" s="166"/>
      <c r="T55" s="166"/>
      <c r="U55" s="166"/>
      <c r="V55" s="166"/>
      <c r="W55" s="166"/>
      <c r="X55" s="166"/>
      <c r="Y55" s="166"/>
      <c r="Z55" s="166"/>
      <c r="AA55" s="166"/>
      <c r="AB55" s="166"/>
      <c r="AC55" s="166"/>
      <c r="AD55" s="166"/>
      <c r="AE55" s="166"/>
      <c r="AF55" s="166"/>
      <c r="AG55" s="166"/>
      <c r="AH55" s="166"/>
      <c r="AI55" s="166"/>
      <c r="AJ55" s="166"/>
      <c r="AK55" s="166"/>
      <c r="AL55" s="166"/>
      <c r="AM55" s="166"/>
      <c r="AN55" s="166"/>
      <c r="AO55" s="166"/>
      <c r="AP55" s="166"/>
      <c r="AQ55" s="166"/>
      <c r="AR55" s="166"/>
      <c r="AS55" s="166"/>
      <c r="AT55" s="166"/>
      <c r="AU55" s="166"/>
      <c r="AV55" s="166"/>
      <c r="AW55" s="166"/>
      <c r="AX55" s="166"/>
      <c r="AY55" s="166"/>
      <c r="AZ55" s="186"/>
      <c r="BA55" s="186"/>
      <c r="BB55" s="186"/>
      <c r="BC55" s="186"/>
      <c r="BD55" s="186"/>
      <c r="BE55" s="186"/>
      <c r="BF55" s="186"/>
      <c r="BG55" s="186"/>
      <c r="BH55" s="186"/>
      <c r="BI55" s="183">
        <f t="shared" si="16"/>
        <v>0</v>
      </c>
      <c r="BJ55" s="183">
        <f t="shared" si="17"/>
        <v>0</v>
      </c>
      <c r="BK55" s="183">
        <f t="shared" si="18"/>
        <v>0</v>
      </c>
      <c r="BL55" s="183">
        <f t="shared" si="19"/>
        <v>0</v>
      </c>
    </row>
    <row r="56" spans="1:64" s="187" customFormat="1" hidden="1" outlineLevel="2" x14ac:dyDescent="0.3">
      <c r="A56" s="185"/>
      <c r="B56" s="185"/>
      <c r="C56" s="185"/>
      <c r="D56" s="185"/>
      <c r="E56" s="185" t="s">
        <v>22</v>
      </c>
      <c r="F56" s="180" t="s">
        <v>82</v>
      </c>
      <c r="G56" s="185">
        <v>269</v>
      </c>
      <c r="H56" s="185" t="str">
        <f>IFERROR(VLOOKUP(G56,'2022. tervsor'!C:D,2,0)," ")</f>
        <v>Ell.díjak - NEM Neptun -Habilitációs díjak</v>
      </c>
      <c r="I56" s="166">
        <f t="shared" si="13"/>
        <v>0</v>
      </c>
      <c r="J56" s="166">
        <f t="shared" si="14"/>
        <v>0</v>
      </c>
      <c r="K56" s="166">
        <f t="shared" si="12"/>
        <v>0</v>
      </c>
      <c r="L56" s="166">
        <f t="shared" si="15"/>
        <v>0</v>
      </c>
      <c r="M56" s="182"/>
      <c r="N56" s="166"/>
      <c r="O56" s="166"/>
      <c r="P56" s="166"/>
      <c r="Q56" s="166"/>
      <c r="R56" s="166"/>
      <c r="S56" s="166"/>
      <c r="T56" s="166"/>
      <c r="U56" s="166"/>
      <c r="V56" s="166"/>
      <c r="W56" s="166"/>
      <c r="X56" s="166"/>
      <c r="Y56" s="166"/>
      <c r="Z56" s="166"/>
      <c r="AA56" s="166"/>
      <c r="AB56" s="166"/>
      <c r="AC56" s="166"/>
      <c r="AD56" s="166"/>
      <c r="AE56" s="166"/>
      <c r="AF56" s="166"/>
      <c r="AG56" s="166"/>
      <c r="AH56" s="166"/>
      <c r="AI56" s="166"/>
      <c r="AJ56" s="166"/>
      <c r="AK56" s="166"/>
      <c r="AL56" s="166"/>
      <c r="AM56" s="166"/>
      <c r="AN56" s="166"/>
      <c r="AO56" s="166"/>
      <c r="AP56" s="166"/>
      <c r="AQ56" s="166"/>
      <c r="AR56" s="166"/>
      <c r="AS56" s="166"/>
      <c r="AT56" s="166"/>
      <c r="AU56" s="166"/>
      <c r="AV56" s="166"/>
      <c r="AW56" s="166"/>
      <c r="AX56" s="166"/>
      <c r="AY56" s="166"/>
      <c r="AZ56" s="186"/>
      <c r="BA56" s="186"/>
      <c r="BB56" s="186"/>
      <c r="BC56" s="186"/>
      <c r="BD56" s="186"/>
      <c r="BE56" s="186"/>
      <c r="BF56" s="186"/>
      <c r="BG56" s="186"/>
      <c r="BH56" s="186"/>
      <c r="BI56" s="183">
        <f t="shared" si="16"/>
        <v>0</v>
      </c>
      <c r="BJ56" s="183">
        <f t="shared" si="17"/>
        <v>0</v>
      </c>
      <c r="BK56" s="183">
        <f t="shared" si="18"/>
        <v>0</v>
      </c>
      <c r="BL56" s="183">
        <f t="shared" si="19"/>
        <v>0</v>
      </c>
    </row>
    <row r="57" spans="1:64" s="187" customFormat="1" hidden="1" outlineLevel="2" x14ac:dyDescent="0.3">
      <c r="A57" s="185"/>
      <c r="B57" s="185"/>
      <c r="C57" s="185"/>
      <c r="D57" s="185"/>
      <c r="E57" s="185" t="s">
        <v>22</v>
      </c>
      <c r="F57" s="180" t="s">
        <v>82</v>
      </c>
      <c r="G57" s="185">
        <v>270</v>
      </c>
      <c r="H57" s="185" t="str">
        <f>IFERROR(VLOOKUP(G57,'2022. tervsor'!C:D,2,0)," ")</f>
        <v>Ell.díjak - NEM Neptun rendszeren keresztül beszedett bev.</v>
      </c>
      <c r="I57" s="166">
        <f t="shared" si="13"/>
        <v>0</v>
      </c>
      <c r="J57" s="166">
        <f t="shared" si="14"/>
        <v>0</v>
      </c>
      <c r="K57" s="166">
        <f t="shared" si="12"/>
        <v>0</v>
      </c>
      <c r="L57" s="166">
        <f t="shared" si="15"/>
        <v>0</v>
      </c>
      <c r="M57" s="182"/>
      <c r="N57" s="166"/>
      <c r="O57" s="166"/>
      <c r="P57" s="166"/>
      <c r="Q57" s="166"/>
      <c r="R57" s="166"/>
      <c r="S57" s="166"/>
      <c r="T57" s="166"/>
      <c r="U57" s="166"/>
      <c r="V57" s="166"/>
      <c r="W57" s="166"/>
      <c r="X57" s="166"/>
      <c r="Y57" s="166"/>
      <c r="Z57" s="166"/>
      <c r="AA57" s="166"/>
      <c r="AB57" s="166"/>
      <c r="AC57" s="166"/>
      <c r="AD57" s="166"/>
      <c r="AE57" s="166"/>
      <c r="AF57" s="166"/>
      <c r="AG57" s="166"/>
      <c r="AH57" s="166"/>
      <c r="AI57" s="166"/>
      <c r="AJ57" s="166"/>
      <c r="AK57" s="166"/>
      <c r="AL57" s="166"/>
      <c r="AM57" s="166"/>
      <c r="AN57" s="166"/>
      <c r="AO57" s="166"/>
      <c r="AP57" s="166"/>
      <c r="AQ57" s="166"/>
      <c r="AR57" s="166"/>
      <c r="AS57" s="166"/>
      <c r="AT57" s="166"/>
      <c r="AU57" s="166"/>
      <c r="AV57" s="166"/>
      <c r="AW57" s="166"/>
      <c r="AX57" s="166"/>
      <c r="AY57" s="166"/>
      <c r="AZ57" s="186"/>
      <c r="BA57" s="186"/>
      <c r="BB57" s="186"/>
      <c r="BC57" s="186"/>
      <c r="BD57" s="186"/>
      <c r="BE57" s="186"/>
      <c r="BF57" s="186"/>
      <c r="BG57" s="186"/>
      <c r="BH57" s="186"/>
      <c r="BI57" s="183">
        <f t="shared" si="16"/>
        <v>0</v>
      </c>
      <c r="BJ57" s="183">
        <f t="shared" si="17"/>
        <v>0</v>
      </c>
      <c r="BK57" s="183">
        <f t="shared" si="18"/>
        <v>0</v>
      </c>
      <c r="BL57" s="183">
        <f t="shared" si="19"/>
        <v>0</v>
      </c>
    </row>
    <row r="58" spans="1:64" s="187" customFormat="1" hidden="1" outlineLevel="2" x14ac:dyDescent="0.3">
      <c r="A58" s="185"/>
      <c r="B58" s="185"/>
      <c r="C58" s="185"/>
      <c r="D58" s="185"/>
      <c r="E58" s="185" t="s">
        <v>22</v>
      </c>
      <c r="F58" s="180" t="s">
        <v>82</v>
      </c>
      <c r="G58" s="185">
        <v>271</v>
      </c>
      <c r="H58" s="185" t="str">
        <f>IFERROR(VLOOKUP(G58,'2022. tervsor'!C:D,2,0)," ")</f>
        <v>ELLÁTÁSI DÍJAK</v>
      </c>
      <c r="I58" s="166">
        <f t="shared" si="13"/>
        <v>0</v>
      </c>
      <c r="J58" s="166">
        <f t="shared" si="14"/>
        <v>0</v>
      </c>
      <c r="K58" s="166">
        <f t="shared" si="12"/>
        <v>0</v>
      </c>
      <c r="L58" s="166">
        <f t="shared" si="15"/>
        <v>0</v>
      </c>
      <c r="M58" s="182"/>
      <c r="N58" s="166"/>
      <c r="O58" s="166"/>
      <c r="P58" s="166"/>
      <c r="Q58" s="166"/>
      <c r="R58" s="166"/>
      <c r="S58" s="166"/>
      <c r="T58" s="166"/>
      <c r="U58" s="166"/>
      <c r="V58" s="166"/>
      <c r="W58" s="166"/>
      <c r="X58" s="166"/>
      <c r="Y58" s="166"/>
      <c r="Z58" s="166"/>
      <c r="AA58" s="166"/>
      <c r="AB58" s="166"/>
      <c r="AC58" s="166"/>
      <c r="AD58" s="166"/>
      <c r="AE58" s="166"/>
      <c r="AF58" s="166"/>
      <c r="AG58" s="166"/>
      <c r="AH58" s="166"/>
      <c r="AI58" s="166"/>
      <c r="AJ58" s="166"/>
      <c r="AK58" s="166"/>
      <c r="AL58" s="166"/>
      <c r="AM58" s="166"/>
      <c r="AN58" s="166"/>
      <c r="AO58" s="166"/>
      <c r="AP58" s="166"/>
      <c r="AQ58" s="166"/>
      <c r="AR58" s="166"/>
      <c r="AS58" s="166"/>
      <c r="AT58" s="166"/>
      <c r="AU58" s="166"/>
      <c r="AV58" s="166"/>
      <c r="AW58" s="166"/>
      <c r="AX58" s="166"/>
      <c r="AY58" s="166"/>
      <c r="AZ58" s="186"/>
      <c r="BA58" s="186"/>
      <c r="BB58" s="186"/>
      <c r="BC58" s="186"/>
      <c r="BD58" s="186"/>
      <c r="BE58" s="186"/>
      <c r="BF58" s="186"/>
      <c r="BG58" s="186"/>
      <c r="BH58" s="186"/>
      <c r="BI58" s="183">
        <f t="shared" si="16"/>
        <v>0</v>
      </c>
      <c r="BJ58" s="183">
        <f t="shared" si="17"/>
        <v>0</v>
      </c>
      <c r="BK58" s="183">
        <f t="shared" si="18"/>
        <v>0</v>
      </c>
      <c r="BL58" s="183">
        <f t="shared" si="19"/>
        <v>0</v>
      </c>
    </row>
    <row r="59" spans="1:64" s="187" customFormat="1" hidden="1" outlineLevel="2" x14ac:dyDescent="0.3">
      <c r="A59" s="185"/>
      <c r="B59" s="185"/>
      <c r="C59" s="185"/>
      <c r="D59" s="185"/>
      <c r="E59" s="185" t="s">
        <v>22</v>
      </c>
      <c r="F59" s="180" t="s">
        <v>82</v>
      </c>
      <c r="G59" s="185">
        <v>272</v>
      </c>
      <c r="H59" s="185" t="str">
        <f>IFERROR(VLOOKUP(G59,'2022. tervsor'!C:D,2,0)," ")</f>
        <v>Egyenes adós ÁFA anyag</v>
      </c>
      <c r="I59" s="166">
        <f t="shared" si="13"/>
        <v>0</v>
      </c>
      <c r="J59" s="166">
        <f t="shared" si="14"/>
        <v>0</v>
      </c>
      <c r="K59" s="166">
        <f t="shared" si="12"/>
        <v>0</v>
      </c>
      <c r="L59" s="166">
        <f t="shared" si="15"/>
        <v>0</v>
      </c>
      <c r="M59" s="182"/>
      <c r="N59" s="166"/>
      <c r="O59" s="166"/>
      <c r="P59" s="166"/>
      <c r="Q59" s="166"/>
      <c r="R59" s="166"/>
      <c r="S59" s="166"/>
      <c r="T59" s="166"/>
      <c r="U59" s="166"/>
      <c r="V59" s="166"/>
      <c r="W59" s="166"/>
      <c r="X59" s="166"/>
      <c r="Y59" s="166"/>
      <c r="Z59" s="166"/>
      <c r="AA59" s="166"/>
      <c r="AB59" s="166"/>
      <c r="AC59" s="166"/>
      <c r="AD59" s="166"/>
      <c r="AE59" s="166"/>
      <c r="AF59" s="166"/>
      <c r="AG59" s="166"/>
      <c r="AH59" s="166"/>
      <c r="AI59" s="166"/>
      <c r="AJ59" s="166"/>
      <c r="AK59" s="166"/>
      <c r="AL59" s="166"/>
      <c r="AM59" s="166"/>
      <c r="AN59" s="166"/>
      <c r="AO59" s="166"/>
      <c r="AP59" s="166"/>
      <c r="AQ59" s="166"/>
      <c r="AR59" s="166"/>
      <c r="AS59" s="166"/>
      <c r="AT59" s="166"/>
      <c r="AU59" s="166"/>
      <c r="AV59" s="166"/>
      <c r="AW59" s="166"/>
      <c r="AX59" s="166"/>
      <c r="AY59" s="166"/>
      <c r="AZ59" s="186"/>
      <c r="BA59" s="186"/>
      <c r="BB59" s="186"/>
      <c r="BC59" s="186"/>
      <c r="BD59" s="186"/>
      <c r="BE59" s="186"/>
      <c r="BF59" s="186"/>
      <c r="BG59" s="186"/>
      <c r="BH59" s="186"/>
      <c r="BI59" s="183">
        <f t="shared" si="16"/>
        <v>0</v>
      </c>
      <c r="BJ59" s="183">
        <f t="shared" si="17"/>
        <v>0</v>
      </c>
      <c r="BK59" s="183">
        <f t="shared" si="18"/>
        <v>0</v>
      </c>
      <c r="BL59" s="183">
        <f t="shared" si="19"/>
        <v>0</v>
      </c>
    </row>
    <row r="60" spans="1:64" s="187" customFormat="1" hidden="1" outlineLevel="2" x14ac:dyDescent="0.3">
      <c r="A60" s="185"/>
      <c r="B60" s="185"/>
      <c r="C60" s="185"/>
      <c r="D60" s="185"/>
      <c r="E60" s="185" t="s">
        <v>22</v>
      </c>
      <c r="F60" s="180" t="s">
        <v>82</v>
      </c>
      <c r="G60" s="185">
        <v>273</v>
      </c>
      <c r="H60" s="185" t="str">
        <f>IFERROR(VLOOKUP(G60,'2022. tervsor'!C:D,2,0)," ")</f>
        <v>Egyenes adós ÁFA szolgáltatás</v>
      </c>
      <c r="I60" s="166">
        <f t="shared" si="13"/>
        <v>0</v>
      </c>
      <c r="J60" s="166">
        <f t="shared" si="14"/>
        <v>0</v>
      </c>
      <c r="K60" s="166">
        <f t="shared" si="12"/>
        <v>0</v>
      </c>
      <c r="L60" s="166">
        <f t="shared" si="15"/>
        <v>0</v>
      </c>
      <c r="M60" s="182"/>
      <c r="N60" s="166"/>
      <c r="O60" s="166"/>
      <c r="P60" s="166"/>
      <c r="Q60" s="166"/>
      <c r="R60" s="166"/>
      <c r="S60" s="166"/>
      <c r="T60" s="166"/>
      <c r="U60" s="166"/>
      <c r="V60" s="166"/>
      <c r="W60" s="166"/>
      <c r="X60" s="166"/>
      <c r="Y60" s="166"/>
      <c r="Z60" s="166"/>
      <c r="AA60" s="166"/>
      <c r="AB60" s="166"/>
      <c r="AC60" s="166"/>
      <c r="AD60" s="166"/>
      <c r="AE60" s="166"/>
      <c r="AF60" s="166"/>
      <c r="AG60" s="166"/>
      <c r="AH60" s="166"/>
      <c r="AI60" s="166"/>
      <c r="AJ60" s="166"/>
      <c r="AK60" s="166"/>
      <c r="AL60" s="166"/>
      <c r="AM60" s="166">
        <f>AM27*0.27</f>
        <v>0</v>
      </c>
      <c r="AN60" s="166"/>
      <c r="AO60" s="166"/>
      <c r="AP60" s="166"/>
      <c r="AQ60" s="166"/>
      <c r="AR60" s="166"/>
      <c r="AS60" s="166"/>
      <c r="AT60" s="166"/>
      <c r="AU60" s="166"/>
      <c r="AV60" s="166"/>
      <c r="AW60" s="166"/>
      <c r="AX60" s="166"/>
      <c r="AY60" s="166"/>
      <c r="AZ60" s="186"/>
      <c r="BA60" s="186"/>
      <c r="BB60" s="186"/>
      <c r="BC60" s="186"/>
      <c r="BD60" s="186"/>
      <c r="BE60" s="186"/>
      <c r="BF60" s="186"/>
      <c r="BG60" s="186"/>
      <c r="BH60" s="186"/>
      <c r="BI60" s="183">
        <f t="shared" si="16"/>
        <v>0</v>
      </c>
      <c r="BJ60" s="183">
        <f t="shared" si="17"/>
        <v>0</v>
      </c>
      <c r="BK60" s="183">
        <f t="shared" si="18"/>
        <v>0</v>
      </c>
      <c r="BL60" s="183">
        <f t="shared" si="19"/>
        <v>0</v>
      </c>
    </row>
    <row r="61" spans="1:64" s="187" customFormat="1" hidden="1" outlineLevel="2" x14ac:dyDescent="0.3">
      <c r="A61" s="185"/>
      <c r="B61" s="185"/>
      <c r="C61" s="185"/>
      <c r="D61" s="185"/>
      <c r="E61" s="185" t="s">
        <v>22</v>
      </c>
      <c r="F61" s="180" t="s">
        <v>82</v>
      </c>
      <c r="G61" s="185">
        <v>274</v>
      </c>
      <c r="H61" s="185" t="str">
        <f>IFERROR(VLOOKUP(G61,'2022. tervsor'!C:D,2,0)," ")</f>
        <v>Egyenes adós ÁFA beruházás (Értékesített t.eszk.áfa)</v>
      </c>
      <c r="I61" s="166">
        <f t="shared" si="13"/>
        <v>0</v>
      </c>
      <c r="J61" s="166">
        <f t="shared" si="14"/>
        <v>0</v>
      </c>
      <c r="K61" s="166">
        <f t="shared" si="12"/>
        <v>0</v>
      </c>
      <c r="L61" s="166">
        <f t="shared" si="15"/>
        <v>0</v>
      </c>
      <c r="M61" s="182"/>
      <c r="N61" s="166"/>
      <c r="O61" s="166"/>
      <c r="P61" s="166"/>
      <c r="Q61" s="166"/>
      <c r="R61" s="166"/>
      <c r="S61" s="166"/>
      <c r="T61" s="166"/>
      <c r="U61" s="166"/>
      <c r="V61" s="166"/>
      <c r="W61" s="166"/>
      <c r="X61" s="166"/>
      <c r="Y61" s="166"/>
      <c r="Z61" s="166"/>
      <c r="AA61" s="166"/>
      <c r="AB61" s="166"/>
      <c r="AC61" s="166"/>
      <c r="AD61" s="166"/>
      <c r="AE61" s="166"/>
      <c r="AF61" s="166"/>
      <c r="AG61" s="166"/>
      <c r="AH61" s="166"/>
      <c r="AI61" s="166"/>
      <c r="AJ61" s="166"/>
      <c r="AK61" s="166"/>
      <c r="AL61" s="166"/>
      <c r="AM61" s="166"/>
      <c r="AN61" s="166"/>
      <c r="AO61" s="166"/>
      <c r="AP61" s="166"/>
      <c r="AQ61" s="166"/>
      <c r="AR61" s="166"/>
      <c r="AS61" s="166"/>
      <c r="AT61" s="166"/>
      <c r="AU61" s="166"/>
      <c r="AV61" s="166"/>
      <c r="AW61" s="166"/>
      <c r="AX61" s="166"/>
      <c r="AY61" s="166"/>
      <c r="AZ61" s="186"/>
      <c r="BA61" s="186"/>
      <c r="BB61" s="186"/>
      <c r="BC61" s="186"/>
      <c r="BD61" s="186"/>
      <c r="BE61" s="186"/>
      <c r="BF61" s="186"/>
      <c r="BG61" s="186"/>
      <c r="BH61" s="186"/>
      <c r="BI61" s="183">
        <f t="shared" si="16"/>
        <v>0</v>
      </c>
      <c r="BJ61" s="183">
        <f t="shared" si="17"/>
        <v>0</v>
      </c>
      <c r="BK61" s="183">
        <f t="shared" si="18"/>
        <v>0</v>
      </c>
      <c r="BL61" s="183">
        <f t="shared" si="19"/>
        <v>0</v>
      </c>
    </row>
    <row r="62" spans="1:64" s="187" customFormat="1" hidden="1" outlineLevel="2" x14ac:dyDescent="0.3">
      <c r="A62" s="185"/>
      <c r="B62" s="185"/>
      <c r="C62" s="185"/>
      <c r="D62" s="185"/>
      <c r="E62" s="185" t="s">
        <v>22</v>
      </c>
      <c r="F62" s="180" t="s">
        <v>82</v>
      </c>
      <c r="G62" s="185">
        <v>275</v>
      </c>
      <c r="H62" s="185" t="str">
        <f>IFERROR(VLOOKUP(G62,'2022. tervsor'!C:D,2,0)," ")</f>
        <v>KISZÁMLÁZOTT ÁFA</v>
      </c>
      <c r="I62" s="166">
        <f t="shared" si="13"/>
        <v>0</v>
      </c>
      <c r="J62" s="166">
        <f t="shared" si="14"/>
        <v>0</v>
      </c>
      <c r="K62" s="166">
        <f t="shared" si="12"/>
        <v>0</v>
      </c>
      <c r="L62" s="166">
        <f t="shared" si="15"/>
        <v>0</v>
      </c>
      <c r="M62" s="182"/>
      <c r="N62" s="166"/>
      <c r="O62" s="166"/>
      <c r="P62" s="166"/>
      <c r="Q62" s="166"/>
      <c r="R62" s="166"/>
      <c r="S62" s="166"/>
      <c r="T62" s="166"/>
      <c r="U62" s="166"/>
      <c r="V62" s="166"/>
      <c r="W62" s="166"/>
      <c r="X62" s="166"/>
      <c r="Y62" s="166"/>
      <c r="Z62" s="166"/>
      <c r="AA62" s="166"/>
      <c r="AB62" s="166"/>
      <c r="AC62" s="166"/>
      <c r="AD62" s="166"/>
      <c r="AE62" s="166"/>
      <c r="AF62" s="166"/>
      <c r="AG62" s="166"/>
      <c r="AH62" s="166"/>
      <c r="AI62" s="166"/>
      <c r="AJ62" s="166"/>
      <c r="AK62" s="166"/>
      <c r="AL62" s="166"/>
      <c r="AM62" s="166"/>
      <c r="AN62" s="166"/>
      <c r="AO62" s="166"/>
      <c r="AP62" s="166"/>
      <c r="AQ62" s="166"/>
      <c r="AR62" s="166"/>
      <c r="AS62" s="166"/>
      <c r="AT62" s="166"/>
      <c r="AU62" s="166"/>
      <c r="AV62" s="166"/>
      <c r="AW62" s="166"/>
      <c r="AX62" s="166"/>
      <c r="AY62" s="166"/>
      <c r="AZ62" s="186"/>
      <c r="BA62" s="186"/>
      <c r="BB62" s="186"/>
      <c r="BC62" s="186"/>
      <c r="BD62" s="186"/>
      <c r="BE62" s="186"/>
      <c r="BF62" s="186"/>
      <c r="BG62" s="186"/>
      <c r="BH62" s="186"/>
      <c r="BI62" s="183">
        <f t="shared" si="16"/>
        <v>0</v>
      </c>
      <c r="BJ62" s="183">
        <f t="shared" si="17"/>
        <v>0</v>
      </c>
      <c r="BK62" s="183">
        <f t="shared" si="18"/>
        <v>0</v>
      </c>
      <c r="BL62" s="183">
        <f t="shared" si="19"/>
        <v>0</v>
      </c>
    </row>
    <row r="63" spans="1:64" s="187" customFormat="1" hidden="1" outlineLevel="2" x14ac:dyDescent="0.3">
      <c r="A63" s="185"/>
      <c r="B63" s="185"/>
      <c r="C63" s="185"/>
      <c r="D63" s="185"/>
      <c r="E63" s="185" t="s">
        <v>22</v>
      </c>
      <c r="F63" s="180" t="s">
        <v>82</v>
      </c>
      <c r="G63" s="185">
        <v>276</v>
      </c>
      <c r="H63" s="185" t="str">
        <f>IFERROR(VLOOKUP(G63,'2022. tervsor'!C:D,2,0)," ")</f>
        <v>Működési kiadásokhoz kapcs ÁFA visszatér bev</v>
      </c>
      <c r="I63" s="166">
        <f t="shared" si="13"/>
        <v>0</v>
      </c>
      <c r="J63" s="166">
        <f t="shared" si="14"/>
        <v>0</v>
      </c>
      <c r="K63" s="166">
        <f t="shared" si="12"/>
        <v>0</v>
      </c>
      <c r="L63" s="166">
        <f t="shared" si="15"/>
        <v>0</v>
      </c>
      <c r="M63" s="182"/>
      <c r="N63" s="166"/>
      <c r="O63" s="166"/>
      <c r="P63" s="166"/>
      <c r="Q63" s="166"/>
      <c r="R63" s="166"/>
      <c r="S63" s="166"/>
      <c r="T63" s="166"/>
      <c r="U63" s="166"/>
      <c r="V63" s="166"/>
      <c r="W63" s="166"/>
      <c r="X63" s="166"/>
      <c r="Y63" s="166"/>
      <c r="Z63" s="166"/>
      <c r="AA63" s="166"/>
      <c r="AB63" s="166"/>
      <c r="AC63" s="166"/>
      <c r="AD63" s="166"/>
      <c r="AE63" s="166"/>
      <c r="AF63" s="166"/>
      <c r="AG63" s="166"/>
      <c r="AH63" s="166"/>
      <c r="AI63" s="166"/>
      <c r="AJ63" s="166"/>
      <c r="AK63" s="166"/>
      <c r="AL63" s="166"/>
      <c r="AM63" s="166"/>
      <c r="AN63" s="166"/>
      <c r="AO63" s="166"/>
      <c r="AP63" s="166"/>
      <c r="AQ63" s="166"/>
      <c r="AR63" s="166"/>
      <c r="AS63" s="166"/>
      <c r="AT63" s="166"/>
      <c r="AU63" s="166"/>
      <c r="AV63" s="166"/>
      <c r="AW63" s="166"/>
      <c r="AX63" s="166"/>
      <c r="AY63" s="166"/>
      <c r="AZ63" s="186"/>
      <c r="BA63" s="186"/>
      <c r="BB63" s="186"/>
      <c r="BC63" s="186"/>
      <c r="BD63" s="186"/>
      <c r="BE63" s="186"/>
      <c r="BF63" s="186"/>
      <c r="BG63" s="186"/>
      <c r="BH63" s="186"/>
      <c r="BI63" s="183">
        <f t="shared" si="16"/>
        <v>0</v>
      </c>
      <c r="BJ63" s="183">
        <f t="shared" si="17"/>
        <v>0</v>
      </c>
      <c r="BK63" s="183">
        <f t="shared" si="18"/>
        <v>0</v>
      </c>
      <c r="BL63" s="183">
        <f t="shared" si="19"/>
        <v>0</v>
      </c>
    </row>
    <row r="64" spans="1:64" s="187" customFormat="1" hidden="1" outlineLevel="2" x14ac:dyDescent="0.3">
      <c r="A64" s="185"/>
      <c r="B64" s="185"/>
      <c r="C64" s="185"/>
      <c r="D64" s="185"/>
      <c r="E64" s="185" t="s">
        <v>22</v>
      </c>
      <c r="F64" s="180" t="s">
        <v>82</v>
      </c>
      <c r="G64" s="185">
        <v>277</v>
      </c>
      <c r="H64" s="185" t="str">
        <f>IFERROR(VLOOKUP(G64,'2022. tervsor'!C:D,2,0)," ")</f>
        <v>ÁFA VISSZATÉRÜLÉS</v>
      </c>
      <c r="I64" s="166">
        <f t="shared" si="13"/>
        <v>0</v>
      </c>
      <c r="J64" s="166">
        <f t="shared" si="14"/>
        <v>0</v>
      </c>
      <c r="K64" s="166">
        <f t="shared" si="12"/>
        <v>0</v>
      </c>
      <c r="L64" s="166">
        <f t="shared" si="15"/>
        <v>0</v>
      </c>
      <c r="M64" s="182"/>
      <c r="N64" s="166"/>
      <c r="O64" s="166"/>
      <c r="P64" s="166"/>
      <c r="Q64" s="166"/>
      <c r="R64" s="166"/>
      <c r="S64" s="166"/>
      <c r="T64" s="166"/>
      <c r="U64" s="166"/>
      <c r="V64" s="166"/>
      <c r="W64" s="166"/>
      <c r="X64" s="166"/>
      <c r="Y64" s="166"/>
      <c r="Z64" s="166"/>
      <c r="AA64" s="166"/>
      <c r="AB64" s="166"/>
      <c r="AC64" s="166"/>
      <c r="AD64" s="166"/>
      <c r="AE64" s="166"/>
      <c r="AF64" s="166"/>
      <c r="AG64" s="166"/>
      <c r="AH64" s="166"/>
      <c r="AI64" s="166"/>
      <c r="AJ64" s="166"/>
      <c r="AK64" s="166"/>
      <c r="AL64" s="166"/>
      <c r="AM64" s="166"/>
      <c r="AN64" s="166"/>
      <c r="AO64" s="166"/>
      <c r="AP64" s="166"/>
      <c r="AQ64" s="166"/>
      <c r="AR64" s="166"/>
      <c r="AS64" s="166"/>
      <c r="AT64" s="166"/>
      <c r="AU64" s="166"/>
      <c r="AV64" s="166"/>
      <c r="AW64" s="166"/>
      <c r="AX64" s="166"/>
      <c r="AY64" s="166"/>
      <c r="AZ64" s="186"/>
      <c r="BA64" s="186"/>
      <c r="BB64" s="186"/>
      <c r="BC64" s="186"/>
      <c r="BD64" s="186"/>
      <c r="BE64" s="186"/>
      <c r="BF64" s="186"/>
      <c r="BG64" s="186"/>
      <c r="BH64" s="186"/>
      <c r="BI64" s="183">
        <f t="shared" si="16"/>
        <v>0</v>
      </c>
      <c r="BJ64" s="183">
        <f t="shared" si="17"/>
        <v>0</v>
      </c>
      <c r="BK64" s="183">
        <f t="shared" si="18"/>
        <v>0</v>
      </c>
      <c r="BL64" s="183">
        <f t="shared" si="19"/>
        <v>0</v>
      </c>
    </row>
    <row r="65" spans="1:64" s="187" customFormat="1" hidden="1" outlineLevel="2" x14ac:dyDescent="0.3">
      <c r="A65" s="185"/>
      <c r="B65" s="185"/>
      <c r="C65" s="185"/>
      <c r="D65" s="185"/>
      <c r="E65" s="185" t="s">
        <v>22</v>
      </c>
      <c r="F65" s="180" t="s">
        <v>82</v>
      </c>
      <c r="G65" s="185">
        <v>278</v>
      </c>
      <c r="H65" s="185" t="str">
        <f>IFERROR(VLOOKUP(G65,'2022. tervsor'!C:D,2,0)," ")</f>
        <v>Áht kiv. egyéb kamat-, kamatjellegű e/bevét</v>
      </c>
      <c r="I65" s="166">
        <f t="shared" si="13"/>
        <v>0</v>
      </c>
      <c r="J65" s="166">
        <f t="shared" si="14"/>
        <v>0</v>
      </c>
      <c r="K65" s="166">
        <f t="shared" si="12"/>
        <v>0</v>
      </c>
      <c r="L65" s="166">
        <f t="shared" si="15"/>
        <v>0</v>
      </c>
      <c r="M65" s="182"/>
      <c r="N65" s="166"/>
      <c r="O65" s="166"/>
      <c r="P65" s="166"/>
      <c r="Q65" s="166"/>
      <c r="R65" s="166"/>
      <c r="S65" s="166"/>
      <c r="T65" s="166"/>
      <c r="U65" s="166"/>
      <c r="V65" s="166"/>
      <c r="W65" s="166"/>
      <c r="X65" s="166"/>
      <c r="Y65" s="166"/>
      <c r="Z65" s="166"/>
      <c r="AA65" s="166"/>
      <c r="AB65" s="166"/>
      <c r="AC65" s="166"/>
      <c r="AD65" s="166"/>
      <c r="AE65" s="166"/>
      <c r="AF65" s="166"/>
      <c r="AG65" s="166"/>
      <c r="AH65" s="166"/>
      <c r="AI65" s="166"/>
      <c r="AJ65" s="166"/>
      <c r="AK65" s="166"/>
      <c r="AL65" s="166"/>
      <c r="AM65" s="166"/>
      <c r="AN65" s="166"/>
      <c r="AO65" s="166"/>
      <c r="AP65" s="166"/>
      <c r="AQ65" s="166"/>
      <c r="AR65" s="166"/>
      <c r="AS65" s="166"/>
      <c r="AT65" s="166"/>
      <c r="AU65" s="166"/>
      <c r="AV65" s="166"/>
      <c r="AW65" s="166"/>
      <c r="AX65" s="166"/>
      <c r="AY65" s="166"/>
      <c r="AZ65" s="186"/>
      <c r="BA65" s="186"/>
      <c r="BB65" s="186"/>
      <c r="BC65" s="186"/>
      <c r="BD65" s="186"/>
      <c r="BE65" s="186"/>
      <c r="BF65" s="186"/>
      <c r="BG65" s="186"/>
      <c r="BH65" s="186"/>
      <c r="BI65" s="183">
        <f t="shared" si="16"/>
        <v>0</v>
      </c>
      <c r="BJ65" s="183">
        <f t="shared" si="17"/>
        <v>0</v>
      </c>
      <c r="BK65" s="183">
        <f t="shared" si="18"/>
        <v>0</v>
      </c>
      <c r="BL65" s="183">
        <f t="shared" si="19"/>
        <v>0</v>
      </c>
    </row>
    <row r="66" spans="1:64" s="187" customFormat="1" hidden="1" outlineLevel="2" x14ac:dyDescent="0.3">
      <c r="A66" s="185"/>
      <c r="B66" s="185"/>
      <c r="C66" s="185"/>
      <c r="D66" s="185"/>
      <c r="E66" s="185" t="s">
        <v>22</v>
      </c>
      <c r="F66" s="180" t="s">
        <v>82</v>
      </c>
      <c r="G66" s="185">
        <v>279</v>
      </c>
      <c r="H66" s="185" t="str">
        <f>IFERROR(VLOOKUP(G66,'2022. tervsor'!C:D,2,0)," ")</f>
        <v>KAMATBEVÉTELEK</v>
      </c>
      <c r="I66" s="166">
        <f t="shared" si="13"/>
        <v>0</v>
      </c>
      <c r="J66" s="166">
        <f t="shared" si="14"/>
        <v>0</v>
      </c>
      <c r="K66" s="166">
        <f t="shared" si="12"/>
        <v>0</v>
      </c>
      <c r="L66" s="166">
        <f t="shared" si="15"/>
        <v>0</v>
      </c>
      <c r="M66" s="182"/>
      <c r="N66" s="166"/>
      <c r="O66" s="166"/>
      <c r="P66" s="166"/>
      <c r="Q66" s="166"/>
      <c r="R66" s="166"/>
      <c r="S66" s="166"/>
      <c r="T66" s="166"/>
      <c r="U66" s="166"/>
      <c r="V66" s="166"/>
      <c r="W66" s="166"/>
      <c r="X66" s="166"/>
      <c r="Y66" s="166"/>
      <c r="Z66" s="166"/>
      <c r="AA66" s="166"/>
      <c r="AB66" s="166"/>
      <c r="AC66" s="166"/>
      <c r="AD66" s="166"/>
      <c r="AE66" s="166"/>
      <c r="AF66" s="166"/>
      <c r="AG66" s="166"/>
      <c r="AH66" s="166"/>
      <c r="AI66" s="166"/>
      <c r="AJ66" s="166"/>
      <c r="AK66" s="166"/>
      <c r="AL66" s="166"/>
      <c r="AM66" s="166"/>
      <c r="AN66" s="166"/>
      <c r="AO66" s="166"/>
      <c r="AP66" s="166"/>
      <c r="AQ66" s="166"/>
      <c r="AR66" s="166"/>
      <c r="AS66" s="166"/>
      <c r="AT66" s="166"/>
      <c r="AU66" s="166"/>
      <c r="AV66" s="166"/>
      <c r="AW66" s="166"/>
      <c r="AX66" s="166"/>
      <c r="AY66" s="166"/>
      <c r="AZ66" s="186"/>
      <c r="BA66" s="186"/>
      <c r="BB66" s="186"/>
      <c r="BC66" s="186"/>
      <c r="BD66" s="186"/>
      <c r="BE66" s="186"/>
      <c r="BF66" s="186"/>
      <c r="BG66" s="186"/>
      <c r="BH66" s="186"/>
      <c r="BI66" s="183">
        <f t="shared" si="16"/>
        <v>0</v>
      </c>
      <c r="BJ66" s="183">
        <f t="shared" si="17"/>
        <v>0</v>
      </c>
      <c r="BK66" s="183">
        <f t="shared" si="18"/>
        <v>0</v>
      </c>
      <c r="BL66" s="183">
        <f t="shared" si="19"/>
        <v>0</v>
      </c>
    </row>
    <row r="67" spans="1:64" s="187" customFormat="1" hidden="1" outlineLevel="2" x14ac:dyDescent="0.3">
      <c r="A67" s="185"/>
      <c r="B67" s="185"/>
      <c r="C67" s="185"/>
      <c r="D67" s="185"/>
      <c r="E67" s="185" t="s">
        <v>22</v>
      </c>
      <c r="F67" s="180" t="s">
        <v>82</v>
      </c>
      <c r="G67" s="185">
        <v>280</v>
      </c>
      <c r="H67" s="185" t="str">
        <f>IFERROR(VLOOKUP(G67,'2022. tervsor'!C:D,2,0)," ")</f>
        <v>Évközi realizált árf. nyereség AUT</v>
      </c>
      <c r="I67" s="166">
        <f t="shared" si="13"/>
        <v>0</v>
      </c>
      <c r="J67" s="166">
        <f t="shared" si="14"/>
        <v>0</v>
      </c>
      <c r="K67" s="166">
        <f t="shared" si="12"/>
        <v>0</v>
      </c>
      <c r="L67" s="166">
        <f t="shared" si="15"/>
        <v>0</v>
      </c>
      <c r="M67" s="182"/>
      <c r="N67" s="166"/>
      <c r="O67" s="166"/>
      <c r="P67" s="166"/>
      <c r="Q67" s="166"/>
      <c r="R67" s="166"/>
      <c r="S67" s="166"/>
      <c r="T67" s="166"/>
      <c r="U67" s="166"/>
      <c r="V67" s="166"/>
      <c r="W67" s="166"/>
      <c r="X67" s="166"/>
      <c r="Y67" s="166"/>
      <c r="Z67" s="166"/>
      <c r="AA67" s="166"/>
      <c r="AB67" s="166"/>
      <c r="AC67" s="166"/>
      <c r="AD67" s="166"/>
      <c r="AE67" s="166"/>
      <c r="AF67" s="166"/>
      <c r="AG67" s="166"/>
      <c r="AH67" s="166"/>
      <c r="AI67" s="166"/>
      <c r="AJ67" s="166"/>
      <c r="AK67" s="166"/>
      <c r="AL67" s="166"/>
      <c r="AM67" s="166"/>
      <c r="AN67" s="166"/>
      <c r="AO67" s="166"/>
      <c r="AP67" s="166"/>
      <c r="AQ67" s="166"/>
      <c r="AR67" s="166"/>
      <c r="AS67" s="166"/>
      <c r="AT67" s="166"/>
      <c r="AU67" s="166"/>
      <c r="AV67" s="166"/>
      <c r="AW67" s="166"/>
      <c r="AX67" s="166"/>
      <c r="AY67" s="166"/>
      <c r="AZ67" s="186"/>
      <c r="BA67" s="186"/>
      <c r="BB67" s="186"/>
      <c r="BC67" s="186"/>
      <c r="BD67" s="186"/>
      <c r="BE67" s="186"/>
      <c r="BF67" s="186"/>
      <c r="BG67" s="186"/>
      <c r="BH67" s="186"/>
      <c r="BI67" s="183">
        <f t="shared" si="16"/>
        <v>0</v>
      </c>
      <c r="BJ67" s="183">
        <f t="shared" si="17"/>
        <v>0</v>
      </c>
      <c r="BK67" s="183">
        <f t="shared" si="18"/>
        <v>0</v>
      </c>
      <c r="BL67" s="183">
        <f t="shared" si="19"/>
        <v>0</v>
      </c>
    </row>
    <row r="68" spans="1:64" s="187" customFormat="1" hidden="1" outlineLevel="2" x14ac:dyDescent="0.3">
      <c r="A68" s="185"/>
      <c r="B68" s="185"/>
      <c r="C68" s="185"/>
      <c r="D68" s="185"/>
      <c r="E68" s="185" t="s">
        <v>22</v>
      </c>
      <c r="F68" s="180" t="s">
        <v>82</v>
      </c>
      <c r="G68" s="185">
        <v>281</v>
      </c>
      <c r="H68" s="185" t="str">
        <f>IFERROR(VLOOKUP(G68,'2022. tervsor'!C:D,2,0)," ")</f>
        <v>Évközi realizált árf. nyereség</v>
      </c>
      <c r="I68" s="166">
        <f t="shared" si="13"/>
        <v>0</v>
      </c>
      <c r="J68" s="166">
        <f t="shared" ref="J68:J87" si="20">SUM(N68:AM68)</f>
        <v>0</v>
      </c>
      <c r="K68" s="166">
        <f t="shared" si="12"/>
        <v>0</v>
      </c>
      <c r="L68" s="166">
        <f t="shared" ref="L68:L87" si="21">SUM(N68:BH68)</f>
        <v>0</v>
      </c>
      <c r="M68" s="182"/>
      <c r="N68" s="166"/>
      <c r="O68" s="166"/>
      <c r="P68" s="166"/>
      <c r="Q68" s="166"/>
      <c r="R68" s="166"/>
      <c r="S68" s="166"/>
      <c r="T68" s="166"/>
      <c r="U68" s="166"/>
      <c r="V68" s="166"/>
      <c r="W68" s="166"/>
      <c r="X68" s="166"/>
      <c r="Y68" s="166"/>
      <c r="Z68" s="166"/>
      <c r="AA68" s="166"/>
      <c r="AB68" s="166"/>
      <c r="AC68" s="166"/>
      <c r="AD68" s="166"/>
      <c r="AE68" s="166"/>
      <c r="AF68" s="166"/>
      <c r="AG68" s="166"/>
      <c r="AH68" s="166"/>
      <c r="AI68" s="166"/>
      <c r="AJ68" s="166"/>
      <c r="AK68" s="166"/>
      <c r="AL68" s="166"/>
      <c r="AM68" s="166"/>
      <c r="AN68" s="166"/>
      <c r="AO68" s="166"/>
      <c r="AP68" s="166"/>
      <c r="AQ68" s="166"/>
      <c r="AR68" s="166"/>
      <c r="AS68" s="166"/>
      <c r="AT68" s="166"/>
      <c r="AU68" s="166"/>
      <c r="AV68" s="166"/>
      <c r="AW68" s="166"/>
      <c r="AX68" s="166"/>
      <c r="AY68" s="166"/>
      <c r="AZ68" s="186"/>
      <c r="BA68" s="186"/>
      <c r="BB68" s="186"/>
      <c r="BC68" s="186"/>
      <c r="BD68" s="186"/>
      <c r="BE68" s="186"/>
      <c r="BF68" s="186"/>
      <c r="BG68" s="186"/>
      <c r="BH68" s="186"/>
      <c r="BI68" s="183">
        <f t="shared" ref="BI68:BI103" si="22">+SUM(N68:AA68)</f>
        <v>0</v>
      </c>
      <c r="BJ68" s="183">
        <f t="shared" ref="BJ68:BJ103" si="23">+AB68</f>
        <v>0</v>
      </c>
      <c r="BK68" s="183">
        <f t="shared" ref="BK68:BK103" si="24">+SUM(AC68:AM68)</f>
        <v>0</v>
      </c>
      <c r="BL68" s="183">
        <f t="shared" ref="BL68:BL103" si="25">+SUM(AN68:BH68)</f>
        <v>0</v>
      </c>
    </row>
    <row r="69" spans="1:64" s="187" customFormat="1" hidden="1" outlineLevel="2" x14ac:dyDescent="0.3">
      <c r="A69" s="185"/>
      <c r="B69" s="185"/>
      <c r="C69" s="185"/>
      <c r="D69" s="185"/>
      <c r="E69" s="185" t="s">
        <v>22</v>
      </c>
      <c r="F69" s="180" t="s">
        <v>82</v>
      </c>
      <c r="G69" s="185">
        <v>282</v>
      </c>
      <c r="H69" s="185" t="str">
        <f>IFERROR(VLOOKUP(G69,'2022. tervsor'!C:D,2,0)," ")</f>
        <v>Egyéb pénzügyi műv.e.eredmsz.bevétele</v>
      </c>
      <c r="I69" s="166">
        <f t="shared" si="13"/>
        <v>0</v>
      </c>
      <c r="J69" s="166">
        <f t="shared" si="20"/>
        <v>0</v>
      </c>
      <c r="K69" s="166">
        <f t="shared" si="12"/>
        <v>0</v>
      </c>
      <c r="L69" s="166">
        <f t="shared" si="21"/>
        <v>0</v>
      </c>
      <c r="M69" s="182"/>
      <c r="N69" s="166"/>
      <c r="O69" s="166"/>
      <c r="P69" s="166"/>
      <c r="Q69" s="166"/>
      <c r="R69" s="166"/>
      <c r="S69" s="166"/>
      <c r="T69" s="166"/>
      <c r="U69" s="166"/>
      <c r="V69" s="166"/>
      <c r="W69" s="166"/>
      <c r="X69" s="166"/>
      <c r="Y69" s="166"/>
      <c r="Z69" s="166"/>
      <c r="AA69" s="166"/>
      <c r="AB69" s="166"/>
      <c r="AC69" s="166"/>
      <c r="AD69" s="166"/>
      <c r="AE69" s="166"/>
      <c r="AF69" s="166"/>
      <c r="AG69" s="166"/>
      <c r="AH69" s="166"/>
      <c r="AI69" s="166"/>
      <c r="AJ69" s="166"/>
      <c r="AK69" s="166"/>
      <c r="AL69" s="166"/>
      <c r="AM69" s="166"/>
      <c r="AN69" s="166"/>
      <c r="AO69" s="166"/>
      <c r="AP69" s="166"/>
      <c r="AQ69" s="166"/>
      <c r="AR69" s="166"/>
      <c r="AS69" s="166"/>
      <c r="AT69" s="166"/>
      <c r="AU69" s="166"/>
      <c r="AV69" s="166"/>
      <c r="AW69" s="166"/>
      <c r="AX69" s="166"/>
      <c r="AY69" s="166"/>
      <c r="AZ69" s="186"/>
      <c r="BA69" s="186"/>
      <c r="BB69" s="186"/>
      <c r="BC69" s="186"/>
      <c r="BD69" s="186"/>
      <c r="BE69" s="186"/>
      <c r="BF69" s="186"/>
      <c r="BG69" s="186"/>
      <c r="BH69" s="186"/>
      <c r="BI69" s="183">
        <f t="shared" si="22"/>
        <v>0</v>
      </c>
      <c r="BJ69" s="183">
        <f t="shared" si="23"/>
        <v>0</v>
      </c>
      <c r="BK69" s="183">
        <f t="shared" si="24"/>
        <v>0</v>
      </c>
      <c r="BL69" s="183">
        <f t="shared" si="25"/>
        <v>0</v>
      </c>
    </row>
    <row r="70" spans="1:64" s="187" customFormat="1" hidden="1" outlineLevel="2" x14ac:dyDescent="0.3">
      <c r="A70" s="185"/>
      <c r="B70" s="185"/>
      <c r="C70" s="185"/>
      <c r="D70" s="185"/>
      <c r="E70" s="185" t="s">
        <v>22</v>
      </c>
      <c r="F70" s="180" t="s">
        <v>82</v>
      </c>
      <c r="G70" s="185">
        <v>283</v>
      </c>
      <c r="H70" s="185" t="str">
        <f>IFERROR(VLOOKUP(G70,'2022. tervsor'!C:D,2,0)," ")</f>
        <v>EGYÉB PÉNZÜGYI MŰVELETEK BEVÉTELEI</v>
      </c>
      <c r="I70" s="166">
        <f t="shared" si="13"/>
        <v>0</v>
      </c>
      <c r="J70" s="166">
        <f t="shared" si="20"/>
        <v>0</v>
      </c>
      <c r="K70" s="166">
        <f t="shared" si="12"/>
        <v>0</v>
      </c>
      <c r="L70" s="166">
        <f t="shared" si="21"/>
        <v>0</v>
      </c>
      <c r="M70" s="182"/>
      <c r="N70" s="166"/>
      <c r="O70" s="166"/>
      <c r="P70" s="166"/>
      <c r="Q70" s="166"/>
      <c r="R70" s="166"/>
      <c r="S70" s="166"/>
      <c r="T70" s="166"/>
      <c r="U70" s="166"/>
      <c r="V70" s="166"/>
      <c r="W70" s="166"/>
      <c r="X70" s="166"/>
      <c r="Y70" s="166"/>
      <c r="Z70" s="166"/>
      <c r="AA70" s="166"/>
      <c r="AB70" s="166"/>
      <c r="AC70" s="166"/>
      <c r="AD70" s="166"/>
      <c r="AE70" s="166"/>
      <c r="AF70" s="166"/>
      <c r="AG70" s="166"/>
      <c r="AH70" s="166"/>
      <c r="AI70" s="166"/>
      <c r="AJ70" s="166"/>
      <c r="AK70" s="166"/>
      <c r="AL70" s="166"/>
      <c r="AM70" s="166"/>
      <c r="AN70" s="166"/>
      <c r="AO70" s="166"/>
      <c r="AP70" s="166"/>
      <c r="AQ70" s="166"/>
      <c r="AR70" s="166"/>
      <c r="AS70" s="166"/>
      <c r="AT70" s="166"/>
      <c r="AU70" s="166"/>
      <c r="AV70" s="166"/>
      <c r="AW70" s="166"/>
      <c r="AX70" s="166"/>
      <c r="AY70" s="166"/>
      <c r="AZ70" s="186"/>
      <c r="BA70" s="186"/>
      <c r="BB70" s="186"/>
      <c r="BC70" s="186"/>
      <c r="BD70" s="186"/>
      <c r="BE70" s="186"/>
      <c r="BF70" s="186"/>
      <c r="BG70" s="186"/>
      <c r="BH70" s="186"/>
      <c r="BI70" s="183">
        <f t="shared" si="22"/>
        <v>0</v>
      </c>
      <c r="BJ70" s="183">
        <f t="shared" si="23"/>
        <v>0</v>
      </c>
      <c r="BK70" s="183">
        <f t="shared" si="24"/>
        <v>0</v>
      </c>
      <c r="BL70" s="183">
        <f t="shared" si="25"/>
        <v>0</v>
      </c>
    </row>
    <row r="71" spans="1:64" s="187" customFormat="1" hidden="1" outlineLevel="2" x14ac:dyDescent="0.3">
      <c r="A71" s="185"/>
      <c r="B71" s="185"/>
      <c r="C71" s="185"/>
      <c r="D71" s="185"/>
      <c r="E71" s="185" t="s">
        <v>22</v>
      </c>
      <c r="F71" s="180" t="s">
        <v>82</v>
      </c>
      <c r="G71" s="185">
        <v>284</v>
      </c>
      <c r="H71" s="185" t="str">
        <f>IFERROR(VLOOKUP(G71,'2022. tervsor'!C:D,2,0)," ")</f>
        <v>Biztosító által fizetett kártérítés</v>
      </c>
      <c r="I71" s="166">
        <f t="shared" si="13"/>
        <v>0</v>
      </c>
      <c r="J71" s="166">
        <f t="shared" si="20"/>
        <v>0</v>
      </c>
      <c r="K71" s="166">
        <f t="shared" si="12"/>
        <v>0</v>
      </c>
      <c r="L71" s="166">
        <f t="shared" si="21"/>
        <v>0</v>
      </c>
      <c r="M71" s="182"/>
      <c r="N71" s="166"/>
      <c r="O71" s="166"/>
      <c r="P71" s="166"/>
      <c r="Q71" s="166"/>
      <c r="R71" s="166"/>
      <c r="S71" s="166"/>
      <c r="T71" s="166"/>
      <c r="U71" s="166"/>
      <c r="V71" s="166"/>
      <c r="W71" s="166"/>
      <c r="X71" s="166"/>
      <c r="Y71" s="166"/>
      <c r="Z71" s="166"/>
      <c r="AA71" s="166"/>
      <c r="AB71" s="166"/>
      <c r="AC71" s="166"/>
      <c r="AD71" s="166"/>
      <c r="AE71" s="166"/>
      <c r="AF71" s="166"/>
      <c r="AG71" s="166"/>
      <c r="AH71" s="166"/>
      <c r="AI71" s="166"/>
      <c r="AJ71" s="166"/>
      <c r="AK71" s="166"/>
      <c r="AL71" s="166"/>
      <c r="AM71" s="166"/>
      <c r="AN71" s="166"/>
      <c r="AO71" s="166"/>
      <c r="AP71" s="166"/>
      <c r="AQ71" s="166"/>
      <c r="AR71" s="166"/>
      <c r="AS71" s="166"/>
      <c r="AT71" s="166"/>
      <c r="AU71" s="166"/>
      <c r="AV71" s="166"/>
      <c r="AW71" s="166"/>
      <c r="AX71" s="166"/>
      <c r="AY71" s="166"/>
      <c r="AZ71" s="186"/>
      <c r="BA71" s="186"/>
      <c r="BB71" s="186"/>
      <c r="BC71" s="186"/>
      <c r="BD71" s="186"/>
      <c r="BE71" s="186"/>
      <c r="BF71" s="186"/>
      <c r="BG71" s="186"/>
      <c r="BH71" s="186"/>
      <c r="BI71" s="183">
        <f t="shared" si="22"/>
        <v>0</v>
      </c>
      <c r="BJ71" s="183">
        <f t="shared" si="23"/>
        <v>0</v>
      </c>
      <c r="BK71" s="183">
        <f t="shared" si="24"/>
        <v>0</v>
      </c>
      <c r="BL71" s="183">
        <f t="shared" si="25"/>
        <v>0</v>
      </c>
    </row>
    <row r="72" spans="1:64" s="184" customFormat="1" hidden="1" outlineLevel="1" collapsed="1" x14ac:dyDescent="0.3">
      <c r="A72" s="180">
        <v>6</v>
      </c>
      <c r="B72" s="180" t="s">
        <v>24</v>
      </c>
      <c r="C72" s="180" t="s">
        <v>82</v>
      </c>
      <c r="D72" s="180"/>
      <c r="E72" s="180" t="s">
        <v>24</v>
      </c>
      <c r="F72" s="180" t="s">
        <v>2791</v>
      </c>
      <c r="G72" s="180"/>
      <c r="H72" s="180" t="s">
        <v>2707</v>
      </c>
      <c r="I72" s="181">
        <f>IFERROR(VLOOKUP($A72,'Bevétel 2a SZH 2022'!$B:$M,MATCH($I$1,'Bevétel 2a SZH 2022'!$B$1:$M$1,0),0), )</f>
        <v>-570048.3691720824</v>
      </c>
      <c r="J72" s="181">
        <f t="shared" si="20"/>
        <v>-570049.74089045811</v>
      </c>
      <c r="K72" s="166">
        <f t="shared" si="12"/>
        <v>1.3717183757107705</v>
      </c>
      <c r="L72" s="166">
        <f t="shared" si="21"/>
        <v>-570049.74089045811</v>
      </c>
      <c r="M72" s="182"/>
      <c r="N72" s="181">
        <f>SUM(N75:N78)-1</f>
        <v>-89258.301733116066</v>
      </c>
      <c r="O72" s="181">
        <f>SUM(O75:O78)</f>
        <v>-50207.232224877785</v>
      </c>
      <c r="P72" s="181">
        <f t="shared" ref="P72:Y72" si="26">SUM(P75:P78)</f>
        <v>-11157.162716639508</v>
      </c>
      <c r="Q72" s="181">
        <f t="shared" si="26"/>
        <v>-55785.813583197538</v>
      </c>
      <c r="R72" s="181">
        <f t="shared" si="26"/>
        <v>-22314.325433279017</v>
      </c>
      <c r="S72" s="181">
        <f t="shared" si="26"/>
        <v>-33471.488149918521</v>
      </c>
      <c r="T72" s="181">
        <f t="shared" si="26"/>
        <v>-16735.744074959261</v>
      </c>
      <c r="U72" s="181">
        <f t="shared" si="26"/>
        <v>-70249.488149918529</v>
      </c>
      <c r="V72" s="181">
        <f t="shared" si="26"/>
        <v>-44628.650866558033</v>
      </c>
      <c r="W72" s="181">
        <f t="shared" si="26"/>
        <v>-44628.650866558033</v>
      </c>
      <c r="X72" s="181">
        <f t="shared" si="26"/>
        <v>-22314.325433279017</v>
      </c>
      <c r="Y72" s="181">
        <f t="shared" si="26"/>
        <v>-81405.650866558033</v>
      </c>
      <c r="Z72" s="181">
        <f>SUM(Z75:Z78)</f>
        <v>-27892.906791598769</v>
      </c>
      <c r="AA72" s="181">
        <f>SUM(AA75:AA78)</f>
        <v>0</v>
      </c>
      <c r="AB72" s="181">
        <f>SUM(AB75:AB78)</f>
        <v>0</v>
      </c>
      <c r="AC72" s="181"/>
      <c r="AD72" s="181"/>
      <c r="AE72" s="181"/>
      <c r="AF72" s="181"/>
      <c r="AG72" s="181"/>
      <c r="AH72" s="181"/>
      <c r="AI72" s="181"/>
      <c r="AJ72" s="181"/>
      <c r="AK72" s="181"/>
      <c r="AL72" s="181"/>
      <c r="AM72" s="181"/>
      <c r="AN72" s="181"/>
      <c r="AO72" s="181"/>
      <c r="AP72" s="181"/>
      <c r="AQ72" s="181"/>
      <c r="AR72" s="181"/>
      <c r="AS72" s="181"/>
      <c r="AT72" s="181"/>
      <c r="AU72" s="181"/>
      <c r="AV72" s="181"/>
      <c r="AW72" s="181"/>
      <c r="AX72" s="181"/>
      <c r="AY72" s="181"/>
      <c r="AZ72" s="181"/>
      <c r="BA72" s="181"/>
      <c r="BB72" s="181"/>
      <c r="BC72" s="181"/>
      <c r="BD72" s="181"/>
      <c r="BE72" s="181"/>
      <c r="BF72" s="181"/>
      <c r="BG72" s="181"/>
      <c r="BH72" s="181"/>
      <c r="BI72" s="183">
        <f t="shared" si="22"/>
        <v>-570049.74089045811</v>
      </c>
      <c r="BJ72" s="183">
        <f t="shared" si="23"/>
        <v>0</v>
      </c>
      <c r="BK72" s="183">
        <f t="shared" si="24"/>
        <v>0</v>
      </c>
      <c r="BL72" s="183">
        <f t="shared" si="25"/>
        <v>0</v>
      </c>
    </row>
    <row r="73" spans="1:64" s="187" customFormat="1" hidden="1" outlineLevel="2" x14ac:dyDescent="0.3">
      <c r="A73" s="185"/>
      <c r="B73" s="185" t="s">
        <v>2969</v>
      </c>
      <c r="C73" s="185" t="s">
        <v>82</v>
      </c>
      <c r="D73" s="189" t="s">
        <v>2923</v>
      </c>
      <c r="E73" s="185" t="s">
        <v>2665</v>
      </c>
      <c r="F73" s="180" t="s">
        <v>2792</v>
      </c>
      <c r="G73" s="185">
        <v>255</v>
      </c>
      <c r="H73" s="185" t="str">
        <f>IFERROR(VLOOKUP(G73,'2022. tervsor'!C:D,2,0)," ")</f>
        <v>Ell.díjak - Neptun - Önktg. Költségtérítés</v>
      </c>
      <c r="I73" s="166">
        <f>VLOOKUP($I$1,'3.a'!B:V,17,0)</f>
        <v>-2.2117455955594778E-6</v>
      </c>
      <c r="J73" s="181">
        <f t="shared" si="20"/>
        <v>-2.2117455955594778E-6</v>
      </c>
      <c r="K73" s="166">
        <f t="shared" si="12"/>
        <v>0</v>
      </c>
      <c r="L73" s="166">
        <f t="shared" si="21"/>
        <v>-2.2117455955594778E-6</v>
      </c>
      <c r="M73" s="182"/>
      <c r="N73" s="166"/>
      <c r="O73" s="166"/>
      <c r="P73" s="166"/>
      <c r="Q73" s="166"/>
      <c r="R73" s="166"/>
      <c r="S73" s="166"/>
      <c r="T73" s="166"/>
      <c r="U73" s="166"/>
      <c r="V73" s="166"/>
      <c r="W73" s="166"/>
      <c r="X73" s="166"/>
      <c r="Y73" s="166"/>
      <c r="Z73" s="166"/>
      <c r="AA73" s="166"/>
      <c r="AB73" s="166"/>
      <c r="AC73" s="166"/>
      <c r="AD73" s="166"/>
      <c r="AE73" s="166"/>
      <c r="AF73" s="166"/>
      <c r="AG73" s="166"/>
      <c r="AH73" s="166"/>
      <c r="AI73" s="166"/>
      <c r="AJ73" s="166"/>
      <c r="AK73" s="166"/>
      <c r="AL73" s="166">
        <f>+I73</f>
        <v>-2.2117455955594778E-6</v>
      </c>
      <c r="AM73" s="166"/>
      <c r="AN73" s="166"/>
      <c r="AO73" s="166"/>
      <c r="AP73" s="166"/>
      <c r="AQ73" s="166"/>
      <c r="AR73" s="166"/>
      <c r="AS73" s="166"/>
      <c r="AT73" s="166"/>
      <c r="AU73" s="166"/>
      <c r="AV73" s="166"/>
      <c r="AW73" s="166"/>
      <c r="AX73" s="166"/>
      <c r="AY73" s="166"/>
      <c r="AZ73" s="186"/>
      <c r="BA73" s="186"/>
      <c r="BB73" s="186"/>
      <c r="BC73" s="186"/>
      <c r="BD73" s="186"/>
      <c r="BE73" s="186"/>
      <c r="BF73" s="186"/>
      <c r="BG73" s="186"/>
      <c r="BH73" s="186"/>
      <c r="BI73" s="183">
        <f t="shared" si="22"/>
        <v>0</v>
      </c>
      <c r="BJ73" s="183">
        <f t="shared" si="23"/>
        <v>0</v>
      </c>
      <c r="BK73" s="183">
        <f t="shared" si="24"/>
        <v>-2.2117455955594778E-6</v>
      </c>
      <c r="BL73" s="183">
        <f t="shared" si="25"/>
        <v>0</v>
      </c>
    </row>
    <row r="74" spans="1:64" s="187" customFormat="1" hidden="1" outlineLevel="2" x14ac:dyDescent="0.3">
      <c r="A74" s="185"/>
      <c r="B74" s="185" t="s">
        <v>2672</v>
      </c>
      <c r="C74" s="185" t="s">
        <v>82</v>
      </c>
      <c r="D74" s="189" t="s">
        <v>2923</v>
      </c>
      <c r="E74" s="185" t="s">
        <v>2672</v>
      </c>
      <c r="F74" s="180" t="s">
        <v>2792</v>
      </c>
      <c r="G74" s="185">
        <v>294</v>
      </c>
      <c r="H74" s="185" t="str">
        <f>IFERROR(VLOOKUP(G74,'2022. tervsor'!C:D,2,0)," ")</f>
        <v>SB Átoktatásra bevétel ÁTADÁS</v>
      </c>
      <c r="I74" s="166">
        <f>-VLOOKUP($I$1,'3.a'!B:V,18,0)</f>
        <v>-570048.36916987062</v>
      </c>
      <c r="J74" s="181">
        <f t="shared" si="20"/>
        <v>-570048.36916987062</v>
      </c>
      <c r="K74" s="166">
        <f t="shared" si="12"/>
        <v>0</v>
      </c>
      <c r="L74" s="166">
        <f t="shared" si="21"/>
        <v>0</v>
      </c>
      <c r="M74" s="182"/>
      <c r="N74" s="166"/>
      <c r="O74" s="166"/>
      <c r="P74" s="166"/>
      <c r="Q74" s="166"/>
      <c r="R74" s="166"/>
      <c r="S74" s="166"/>
      <c r="T74" s="166"/>
      <c r="U74" s="166"/>
      <c r="V74" s="166"/>
      <c r="W74" s="166"/>
      <c r="X74" s="166"/>
      <c r="Y74" s="166"/>
      <c r="Z74" s="166"/>
      <c r="AA74" s="166"/>
      <c r="AB74" s="166"/>
      <c r="AC74" s="166"/>
      <c r="AD74" s="166"/>
      <c r="AE74" s="166"/>
      <c r="AF74" s="166"/>
      <c r="AG74" s="166"/>
      <c r="AH74" s="166"/>
      <c r="AI74" s="166"/>
      <c r="AJ74" s="166"/>
      <c r="AK74" s="166"/>
      <c r="AL74" s="166">
        <f>+I74</f>
        <v>-570048.36916987062</v>
      </c>
      <c r="AM74" s="166"/>
      <c r="AN74" s="166"/>
      <c r="AO74" s="166"/>
      <c r="AP74" s="166"/>
      <c r="AQ74" s="166"/>
      <c r="AR74" s="166"/>
      <c r="AS74" s="166"/>
      <c r="AT74" s="166"/>
      <c r="AU74" s="166"/>
      <c r="AV74" s="166"/>
      <c r="AW74" s="166"/>
      <c r="AX74" s="166"/>
      <c r="AY74" s="166"/>
      <c r="AZ74" s="186"/>
      <c r="BA74" s="186"/>
      <c r="BB74" s="186"/>
      <c r="BC74" s="186">
        <f>-I74</f>
        <v>570048.36916987062</v>
      </c>
      <c r="BD74" s="186"/>
      <c r="BE74" s="186"/>
      <c r="BF74" s="186"/>
      <c r="BG74" s="186"/>
      <c r="BH74" s="186"/>
      <c r="BI74" s="183">
        <f t="shared" si="22"/>
        <v>0</v>
      </c>
      <c r="BJ74" s="183">
        <f t="shared" si="23"/>
        <v>0</v>
      </c>
      <c r="BK74" s="183">
        <f t="shared" si="24"/>
        <v>-570048.36916987062</v>
      </c>
      <c r="BL74" s="183">
        <f t="shared" si="25"/>
        <v>570048.36916987062</v>
      </c>
    </row>
    <row r="75" spans="1:64" s="725" customFormat="1" hidden="1" outlineLevel="2" x14ac:dyDescent="0.3">
      <c r="A75" s="204"/>
      <c r="B75" s="204" t="s">
        <v>2965</v>
      </c>
      <c r="C75" s="204" t="s">
        <v>82</v>
      </c>
      <c r="D75" s="204"/>
      <c r="E75" s="204" t="s">
        <v>2669</v>
      </c>
      <c r="F75" s="201" t="s">
        <v>82</v>
      </c>
      <c r="G75" s="204">
        <v>286</v>
      </c>
      <c r="H75" s="204" t="str">
        <f>IFERROR(VLOOKUP(G75,'2022. tervsor'!C:D,2,0)," ")</f>
        <v>SB Képzési finanszírozás átadás</v>
      </c>
      <c r="I75" s="270">
        <f>+I73+I74</f>
        <v>-570048.3691720824</v>
      </c>
      <c r="J75" s="722">
        <f t="shared" si="20"/>
        <v>-0.37171837571077049</v>
      </c>
      <c r="K75" s="270">
        <f t="shared" si="12"/>
        <v>-570047.99745370669</v>
      </c>
      <c r="L75" s="270">
        <f t="shared" si="21"/>
        <v>-0.37171837571077049</v>
      </c>
      <c r="M75" s="723" t="s">
        <v>1429</v>
      </c>
      <c r="N75" s="270">
        <f>IFERROR(VLOOKUP(N$1,'22.b2'!$D:$H,5,0),0)</f>
        <v>0</v>
      </c>
      <c r="O75" s="270">
        <f>IFERROR(VLOOKUP(O$1,'22.b2'!$D:$H,5,0),0)</f>
        <v>0</v>
      </c>
      <c r="P75" s="270">
        <f>IFERROR(VLOOKUP(P$1,'22.b2'!$D:$H,5,0),0)</f>
        <v>0</v>
      </c>
      <c r="Q75" s="270">
        <f>IFERROR(VLOOKUP(Q$1,'22.b2'!$D:$H,5,0),0)</f>
        <v>0</v>
      </c>
      <c r="R75" s="270">
        <f>IFERROR(VLOOKUP(R$1,'22.b2'!$D:$H,5,0),0)</f>
        <v>0</v>
      </c>
      <c r="S75" s="270">
        <f>IFERROR(VLOOKUP(S$1,'22.b2'!$D:$H,5,0),0)</f>
        <v>0</v>
      </c>
      <c r="T75" s="270">
        <f>IFERROR(VLOOKUP(T$1,'22.b2'!$D:$H,5,0),0)</f>
        <v>0</v>
      </c>
      <c r="U75" s="270">
        <v>-36778</v>
      </c>
      <c r="V75" s="270">
        <f>IFERROR(VLOOKUP(V$1,'22.b2'!$D:$H,5,0),0)</f>
        <v>0</v>
      </c>
      <c r="W75" s="270">
        <f>IFERROR(VLOOKUP(W$1,'22.b2'!$D:$H,5,0),0)</f>
        <v>0</v>
      </c>
      <c r="X75" s="270">
        <f>IFERROR(VLOOKUP(X$1,'22.b2'!$D:$H,5,0),0)</f>
        <v>0</v>
      </c>
      <c r="Y75" s="270">
        <v>-36777</v>
      </c>
      <c r="Z75" s="270">
        <f>IFERROR(VLOOKUP(Z$1,'22.b2'!$D:$H,5,0),0)</f>
        <v>0</v>
      </c>
      <c r="AA75" s="270">
        <f>IFERROR(VLOOKUP(AA$1,'22.b2'!$D:$H,5,0),0)</f>
        <v>0</v>
      </c>
      <c r="AB75" s="270">
        <f>IFERROR(VLOOKUP($I$1,'22.b2'!$C:$H,6,0),0)</f>
        <v>-496493.74089045811</v>
      </c>
      <c r="AC75" s="270"/>
      <c r="AD75" s="270"/>
      <c r="AE75" s="270"/>
      <c r="AF75" s="270"/>
      <c r="AG75" s="270"/>
      <c r="AH75" s="270"/>
      <c r="AI75" s="270"/>
      <c r="AJ75" s="270"/>
      <c r="AK75" s="270"/>
      <c r="AL75" s="270">
        <f>-I75</f>
        <v>570048.3691720824</v>
      </c>
      <c r="AM75" s="270"/>
      <c r="AN75" s="270"/>
      <c r="AO75" s="270"/>
      <c r="AP75" s="270"/>
      <c r="AQ75" s="270"/>
      <c r="AR75" s="270"/>
      <c r="AS75" s="270"/>
      <c r="AT75" s="270"/>
      <c r="AU75" s="270"/>
      <c r="AV75" s="270"/>
      <c r="AW75" s="270"/>
      <c r="AX75" s="270"/>
      <c r="AY75" s="270"/>
      <c r="AZ75" s="195"/>
      <c r="BA75" s="195"/>
      <c r="BB75" s="195"/>
      <c r="BC75" s="195"/>
      <c r="BD75" s="195"/>
      <c r="BE75" s="195"/>
      <c r="BF75" s="195"/>
      <c r="BG75" s="195"/>
      <c r="BH75" s="195"/>
      <c r="BI75" s="724">
        <f t="shared" si="22"/>
        <v>-73555</v>
      </c>
      <c r="BJ75" s="724">
        <f t="shared" si="23"/>
        <v>-496493.74089045811</v>
      </c>
      <c r="BK75" s="724">
        <f t="shared" si="24"/>
        <v>570048.3691720824</v>
      </c>
      <c r="BL75" s="724">
        <f t="shared" si="25"/>
        <v>0</v>
      </c>
    </row>
    <row r="76" spans="1:64" s="187" customFormat="1" hidden="1" outlineLevel="2" x14ac:dyDescent="0.3">
      <c r="A76" s="185"/>
      <c r="B76" s="189" t="s">
        <v>2965</v>
      </c>
      <c r="C76" s="189" t="s">
        <v>82</v>
      </c>
      <c r="D76" s="189"/>
      <c r="E76" s="192" t="s">
        <v>2670</v>
      </c>
      <c r="F76" s="180" t="s">
        <v>82</v>
      </c>
      <c r="G76" s="185">
        <v>286</v>
      </c>
      <c r="H76" s="185" t="str">
        <f>IFERROR(VLOOKUP(G76,'2022. tervsor'!C:D,2,0)," ")</f>
        <v>SB Képzési finanszírozás átadás</v>
      </c>
      <c r="I76" s="166">
        <v>0</v>
      </c>
      <c r="J76" s="181">
        <f t="shared" si="20"/>
        <v>0</v>
      </c>
      <c r="K76" s="166">
        <f t="shared" si="12"/>
        <v>0</v>
      </c>
      <c r="L76" s="166">
        <f t="shared" si="21"/>
        <v>0</v>
      </c>
      <c r="M76" s="193">
        <v>2</v>
      </c>
      <c r="N76" s="166">
        <f>IFERROR(VLOOKUP($M76,'1 b felosztások'!$A:$U,'1 b felosztások'!C$2,0)*-$AB76,0)</f>
        <v>-89257.301733116066</v>
      </c>
      <c r="O76" s="166">
        <f>IFERROR(VLOOKUP($M76,'1 b felosztások'!$A:$U,'1 b felosztások'!D$2,0)*-$AB76,0)</f>
        <v>-50207.232224877785</v>
      </c>
      <c r="P76" s="166">
        <f>IFERROR(VLOOKUP($M76,'1 b felosztások'!$A:$U,'1 b felosztások'!E$2,0)*-$AB76,0)</f>
        <v>-11157.162716639508</v>
      </c>
      <c r="Q76" s="166">
        <f>IFERROR(VLOOKUP($M76,'1 b felosztások'!$A:$U,'1 b felosztások'!F$2,0)*-$AB76,0)</f>
        <v>-55785.813583197538</v>
      </c>
      <c r="R76" s="166">
        <f>IFERROR(VLOOKUP($M76,'1 b felosztások'!$A:$U,'1 b felosztások'!G$2,0)*-$AB76,0)</f>
        <v>-22314.325433279017</v>
      </c>
      <c r="S76" s="166">
        <f>IFERROR(VLOOKUP($M76,'1 b felosztások'!$A:$U,'1 b felosztások'!H$2,0)*-$AB76,0)</f>
        <v>-33471.488149918521</v>
      </c>
      <c r="T76" s="166">
        <f>IFERROR(VLOOKUP($M76,'1 b felosztások'!$A:$U,'1 b felosztások'!I$2,0)*-$AB76,0)</f>
        <v>-16735.744074959261</v>
      </c>
      <c r="U76" s="166">
        <f>IFERROR(VLOOKUP($M76,'1 b felosztások'!$A:$U,'1 b felosztások'!J$2,0)*-$AB76,0)</f>
        <v>-33471.488149918521</v>
      </c>
      <c r="V76" s="166">
        <f>IFERROR(VLOOKUP($M76,'1 b felosztások'!$A:$U,'1 b felosztások'!K$2,0)*-$AB76,0)</f>
        <v>-44628.650866558033</v>
      </c>
      <c r="W76" s="166">
        <f>IFERROR(VLOOKUP($M76,'1 b felosztások'!$A:$U,'1 b felosztások'!L$2,0)*-$AB76,0)</f>
        <v>-44628.650866558033</v>
      </c>
      <c r="X76" s="166">
        <f>IFERROR(VLOOKUP($M76,'1 b felosztások'!$A:$U,'1 b felosztások'!M$2,0)*-$AB76,0)</f>
        <v>-22314.325433279017</v>
      </c>
      <c r="Y76" s="166">
        <f>IFERROR(VLOOKUP($M76,'1 b felosztások'!$A:$U,'1 b felosztások'!N$2,0)*-$AB76,0)</f>
        <v>-44628.650866558033</v>
      </c>
      <c r="Z76" s="166">
        <f>IFERROR(VLOOKUP($M76,'1 b felosztások'!$A:$U,'1 b felosztások'!O$2,0)*-$AB76,0)</f>
        <v>-27892.906791598769</v>
      </c>
      <c r="AA76" s="166">
        <f>IFERROR(VLOOKUP($M76,'1 b felosztások'!$A:$U,'1 b felosztások'!P$2,0)*-$AB76,0)</f>
        <v>0</v>
      </c>
      <c r="AB76" s="194">
        <f>-AB75</f>
        <v>496493.74089045811</v>
      </c>
      <c r="AC76" s="166"/>
      <c r="AD76" s="166"/>
      <c r="AE76" s="166"/>
      <c r="AF76" s="166"/>
      <c r="AG76" s="166"/>
      <c r="AH76" s="166"/>
      <c r="AI76" s="166"/>
      <c r="AJ76" s="166"/>
      <c r="AK76" s="166"/>
      <c r="AL76" s="166"/>
      <c r="AM76" s="166"/>
      <c r="AN76" s="191"/>
      <c r="AO76" s="191"/>
      <c r="AP76" s="191"/>
      <c r="AQ76" s="191"/>
      <c r="AR76" s="191"/>
      <c r="AS76" s="191"/>
      <c r="AT76" s="191"/>
      <c r="AU76" s="191"/>
      <c r="AV76" s="191"/>
      <c r="AW76" s="191"/>
      <c r="AX76" s="191"/>
      <c r="AY76" s="191"/>
      <c r="AZ76" s="186"/>
      <c r="BA76" s="186"/>
      <c r="BB76" s="186"/>
      <c r="BC76" s="186"/>
      <c r="BD76" s="186"/>
      <c r="BE76" s="186"/>
      <c r="BF76" s="186"/>
      <c r="BG76" s="186"/>
      <c r="BH76" s="186"/>
      <c r="BI76" s="183">
        <f t="shared" si="22"/>
        <v>-496493.74089045805</v>
      </c>
      <c r="BJ76" s="183">
        <f t="shared" si="23"/>
        <v>496493.74089045811</v>
      </c>
      <c r="BK76" s="183">
        <f t="shared" si="24"/>
        <v>0</v>
      </c>
      <c r="BL76" s="183">
        <f t="shared" si="25"/>
        <v>0</v>
      </c>
    </row>
    <row r="77" spans="1:64" s="187" customFormat="1" hidden="1" outlineLevel="2" x14ac:dyDescent="0.3">
      <c r="A77" s="185"/>
      <c r="B77" s="185" t="s">
        <v>2671</v>
      </c>
      <c r="C77" s="185" t="s">
        <v>82</v>
      </c>
      <c r="D77" s="185" t="s">
        <v>2924</v>
      </c>
      <c r="E77" s="185" t="s">
        <v>2671</v>
      </c>
      <c r="F77" s="180" t="s">
        <v>82</v>
      </c>
      <c r="G77" s="185">
        <v>301</v>
      </c>
      <c r="H77" s="185" t="str">
        <f>IFERROR(VLOOKUP(G77,'2022. tervsor'!C:D,2,0)," ")</f>
        <v>SB Átoktatásra bevétel ÁTVÉTEL</v>
      </c>
      <c r="I77" s="166">
        <f>VLOOKUP($I$1,'3.a'!B:V,19,0)</f>
        <v>0</v>
      </c>
      <c r="J77" s="181">
        <f t="shared" si="20"/>
        <v>0</v>
      </c>
      <c r="K77" s="166">
        <f t="shared" si="12"/>
        <v>0</v>
      </c>
      <c r="L77" s="166">
        <f t="shared" si="21"/>
        <v>0</v>
      </c>
      <c r="M77" s="190" t="s">
        <v>1430</v>
      </c>
      <c r="N77" s="166">
        <f>IFERROR(VLOOKUP(N$1,'22.b3'!$D:$H,5,0),0)</f>
        <v>0</v>
      </c>
      <c r="O77" s="166">
        <f>IFERROR(VLOOKUP(O$1,'22.b3'!$D:$H,5,0),0)</f>
        <v>0</v>
      </c>
      <c r="P77" s="166">
        <f>IFERROR(VLOOKUP(P$1,'22.b3'!$D:$H,5,0),0)</f>
        <v>0</v>
      </c>
      <c r="Q77" s="166">
        <f>IFERROR(VLOOKUP(Q$1,'22.b3'!$D:$H,5,0),0)</f>
        <v>0</v>
      </c>
      <c r="R77" s="166">
        <f>IFERROR(VLOOKUP(R$1,'22.b3'!$D:$H,5,0),0)</f>
        <v>0</v>
      </c>
      <c r="S77" s="166">
        <f>IFERROR(VLOOKUP(S$1,'22.b3'!$D:$H,5,0),0)</f>
        <v>0</v>
      </c>
      <c r="T77" s="166">
        <f>IFERROR(VLOOKUP(T$1,'22.b3'!$D:$H,5,0),0)</f>
        <v>0</v>
      </c>
      <c r="U77" s="166">
        <f>IFERROR(VLOOKUP(U$1,'22.b3'!$D:$H,5,0),0)</f>
        <v>0</v>
      </c>
      <c r="V77" s="166">
        <f>IFERROR(VLOOKUP(V$1,'22.b3'!$D:$H,5,0),0)</f>
        <v>0</v>
      </c>
      <c r="W77" s="166">
        <f>IFERROR(VLOOKUP(W$1,'22.b3'!$D:$H,5,0),0)</f>
        <v>0</v>
      </c>
      <c r="X77" s="166">
        <f>IFERROR(VLOOKUP(X$1,'22.b3'!$D:$H,5,0),0)</f>
        <v>0</v>
      </c>
      <c r="Y77" s="166">
        <f>IFERROR(VLOOKUP(Y$1,'22.b3'!$D:$H,5,0),0)</f>
        <v>0</v>
      </c>
      <c r="Z77" s="166">
        <f>IFERROR(VLOOKUP(Z$1,'22.b3'!$D:$H,5,0),0)</f>
        <v>0</v>
      </c>
      <c r="AA77" s="166">
        <f>IFERROR(VLOOKUP(AA$1,'22.b3'!$D:$H,5,0),0)</f>
        <v>0</v>
      </c>
      <c r="AB77" s="166">
        <f>IFERROR(VLOOKUP($I$1,'22.b3'!$C:$H,6,0),0)</f>
        <v>0</v>
      </c>
      <c r="AC77" s="166"/>
      <c r="AD77" s="166"/>
      <c r="AE77" s="166"/>
      <c r="AF77" s="166"/>
      <c r="AG77" s="166"/>
      <c r="AH77" s="166"/>
      <c r="AI77" s="166"/>
      <c r="AJ77" s="166"/>
      <c r="AK77" s="166"/>
      <c r="AL77" s="166"/>
      <c r="AM77" s="166"/>
      <c r="AN77" s="191"/>
      <c r="AO77" s="191"/>
      <c r="AP77" s="191"/>
      <c r="AQ77" s="191"/>
      <c r="AR77" s="191"/>
      <c r="AS77" s="191"/>
      <c r="AT77" s="191"/>
      <c r="AU77" s="191"/>
      <c r="AV77" s="191"/>
      <c r="AW77" s="191"/>
      <c r="AX77" s="191"/>
      <c r="AY77" s="191"/>
      <c r="AZ77" s="186"/>
      <c r="BA77" s="186"/>
      <c r="BB77" s="186"/>
      <c r="BC77" s="186">
        <f>-I77</f>
        <v>0</v>
      </c>
      <c r="BD77" s="186"/>
      <c r="BE77" s="186"/>
      <c r="BF77" s="186"/>
      <c r="BG77" s="186"/>
      <c r="BH77" s="186"/>
      <c r="BI77" s="183">
        <f t="shared" si="22"/>
        <v>0</v>
      </c>
      <c r="BJ77" s="183">
        <f t="shared" si="23"/>
        <v>0</v>
      </c>
      <c r="BK77" s="183">
        <f t="shared" si="24"/>
        <v>0</v>
      </c>
      <c r="BL77" s="183">
        <f t="shared" si="25"/>
        <v>0</v>
      </c>
    </row>
    <row r="78" spans="1:64" s="187" customFormat="1" hidden="1" outlineLevel="2" x14ac:dyDescent="0.3">
      <c r="A78" s="185"/>
      <c r="B78" s="185" t="s">
        <v>2671</v>
      </c>
      <c r="C78" s="185" t="s">
        <v>82</v>
      </c>
      <c r="D78" s="185" t="s">
        <v>2924</v>
      </c>
      <c r="E78" s="185" t="s">
        <v>2760</v>
      </c>
      <c r="F78" s="180" t="s">
        <v>82</v>
      </c>
      <c r="G78" s="185">
        <v>301</v>
      </c>
      <c r="H78" s="185" t="str">
        <f>IFERROR(VLOOKUP(G78,'2022. tervsor'!C:D,2,0)," ")</f>
        <v>SB Átoktatásra bevétel ÁTVÉTEL</v>
      </c>
      <c r="I78" s="166">
        <v>0</v>
      </c>
      <c r="J78" s="181">
        <f t="shared" si="20"/>
        <v>0</v>
      </c>
      <c r="K78" s="166">
        <f>+I78-J78</f>
        <v>0</v>
      </c>
      <c r="L78" s="166">
        <f t="shared" si="21"/>
        <v>0</v>
      </c>
      <c r="M78" s="193">
        <v>2</v>
      </c>
      <c r="N78" s="166">
        <f>IFERROR(VLOOKUP($M78,'1 b felosztások'!$A:$U,'1 b felosztások'!C$2,0)*-$AB78,0)</f>
        <v>0</v>
      </c>
      <c r="O78" s="166">
        <f>IFERROR(VLOOKUP($M78,'1 b felosztások'!$A:$U,'1 b felosztások'!D$2,0)*-$AB78,0)</f>
        <v>0</v>
      </c>
      <c r="P78" s="166">
        <f>IFERROR(VLOOKUP($M78,'1 b felosztások'!$A:$U,'1 b felosztások'!E$2,0)*-$AB78,0)</f>
        <v>0</v>
      </c>
      <c r="Q78" s="166">
        <f>IFERROR(VLOOKUP($M78,'1 b felosztások'!$A:$U,'1 b felosztások'!F$2,0)*-$AB78,0)</f>
        <v>0</v>
      </c>
      <c r="R78" s="166">
        <f>IFERROR(VLOOKUP($M78,'1 b felosztások'!$A:$U,'1 b felosztások'!G$2,0)*-$AB78,0)</f>
        <v>0</v>
      </c>
      <c r="S78" s="166">
        <f>IFERROR(VLOOKUP($M78,'1 b felosztások'!$A:$U,'1 b felosztások'!H$2,0)*-$AB78,0)</f>
        <v>0</v>
      </c>
      <c r="T78" s="166">
        <f>IFERROR(VLOOKUP($M78,'1 b felosztások'!$A:$U,'1 b felosztások'!I$2,0)*-$AB78,0)</f>
        <v>0</v>
      </c>
      <c r="U78" s="166">
        <f>IFERROR(VLOOKUP($M78,'1 b felosztások'!$A:$U,'1 b felosztások'!J$2,0)*-$AB78,0)</f>
        <v>0</v>
      </c>
      <c r="V78" s="166">
        <f>IFERROR(VLOOKUP($M78,'1 b felosztások'!$A:$U,'1 b felosztások'!K$2,0)*-$AB78,0)</f>
        <v>0</v>
      </c>
      <c r="W78" s="166">
        <f>IFERROR(VLOOKUP($M78,'1 b felosztások'!$A:$U,'1 b felosztások'!L$2,0)*-$AB78,0)</f>
        <v>0</v>
      </c>
      <c r="X78" s="166">
        <f>IFERROR(VLOOKUP($M78,'1 b felosztások'!$A:$U,'1 b felosztások'!M$2,0)*-$AB78,0)</f>
        <v>0</v>
      </c>
      <c r="Y78" s="166">
        <f>IFERROR(VLOOKUP($M78,'1 b felosztások'!$A:$U,'1 b felosztások'!N$2,0)*-$AB78,0)</f>
        <v>0</v>
      </c>
      <c r="Z78" s="166">
        <f>IFERROR(VLOOKUP($M78,'1 b felosztások'!$A:$U,'1 b felosztások'!O$2,0)*-$AB78,0)</f>
        <v>0</v>
      </c>
      <c r="AA78" s="166">
        <f>IFERROR(VLOOKUP($M78,'1 b felosztások'!$A:$U,'1 b felosztások'!P$2,0)*-$AB78,0)</f>
        <v>0</v>
      </c>
      <c r="AB78" s="166">
        <f>-AB77</f>
        <v>0</v>
      </c>
      <c r="AC78" s="166"/>
      <c r="AD78" s="166"/>
      <c r="AE78" s="166"/>
      <c r="AF78" s="166"/>
      <c r="AG78" s="166"/>
      <c r="AH78" s="166"/>
      <c r="AI78" s="166"/>
      <c r="AJ78" s="166"/>
      <c r="AK78" s="166"/>
      <c r="AL78" s="166"/>
      <c r="AM78" s="166"/>
      <c r="AN78" s="191"/>
      <c r="AO78" s="191"/>
      <c r="AP78" s="191"/>
      <c r="AQ78" s="191"/>
      <c r="AR78" s="191"/>
      <c r="AS78" s="191"/>
      <c r="AT78" s="191"/>
      <c r="AU78" s="191"/>
      <c r="AV78" s="191"/>
      <c r="AW78" s="191"/>
      <c r="AX78" s="191"/>
      <c r="AY78" s="191"/>
      <c r="AZ78" s="186"/>
      <c r="BA78" s="186"/>
      <c r="BB78" s="186"/>
      <c r="BC78" s="186"/>
      <c r="BD78" s="186"/>
      <c r="BE78" s="186"/>
      <c r="BF78" s="186"/>
      <c r="BG78" s="186"/>
      <c r="BH78" s="186"/>
      <c r="BI78" s="183">
        <f t="shared" si="22"/>
        <v>0</v>
      </c>
      <c r="BJ78" s="183">
        <f t="shared" si="23"/>
        <v>0</v>
      </c>
      <c r="BK78" s="183">
        <f t="shared" si="24"/>
        <v>0</v>
      </c>
      <c r="BL78" s="183">
        <f t="shared" si="25"/>
        <v>0</v>
      </c>
    </row>
    <row r="79" spans="1:64" s="187" customFormat="1" hidden="1" outlineLevel="1" x14ac:dyDescent="0.3">
      <c r="A79" s="180" t="s">
        <v>3339</v>
      </c>
      <c r="B79" s="180" t="s">
        <v>25</v>
      </c>
      <c r="C79" s="180" t="s">
        <v>82</v>
      </c>
      <c r="D79" s="350" t="s">
        <v>3467</v>
      </c>
      <c r="E79" s="180" t="s">
        <v>25</v>
      </c>
      <c r="F79" s="180" t="s">
        <v>2791</v>
      </c>
      <c r="G79" s="180">
        <v>322</v>
      </c>
      <c r="H79" s="185" t="str">
        <f>IFERROR(VLOOKUP(G79,'2022. tervsor'!C:D,2,0)," ")</f>
        <v>Működési költségvetés támogatása - Céltámogatás</v>
      </c>
      <c r="I79" s="181">
        <f>IFERROR(VLOOKUP($A79,'Bevétel 2a SZH 2022'!$B:$M,MATCH($I$1,'Bevétel 2a SZH 2022'!$B$1:$M$1,0),0), )</f>
        <v>79837000</v>
      </c>
      <c r="J79" s="181">
        <f t="shared" si="20"/>
        <v>79837000</v>
      </c>
      <c r="K79" s="166">
        <f t="shared" si="12"/>
        <v>0</v>
      </c>
      <c r="L79" s="166">
        <f t="shared" si="21"/>
        <v>79837000</v>
      </c>
      <c r="M79" s="193">
        <v>2</v>
      </c>
      <c r="N79" s="166">
        <f>IFERROR(VLOOKUP($M79,'1 b felosztások'!$A:$U,'1 b felosztások'!C$2,0)*$I79,0)</f>
        <v>14352719.101123596</v>
      </c>
      <c r="O79" s="166">
        <f>IFERROR(VLOOKUP($M79,'1 b felosztások'!$A:$U,'1 b felosztások'!D$2,0)*$I79,0)</f>
        <v>8073404.4943820219</v>
      </c>
      <c r="P79" s="166">
        <f>IFERROR(VLOOKUP($M79,'1 b felosztások'!$A:$U,'1 b felosztások'!E$2,0)*$I79,0)</f>
        <v>1794089.8876404495</v>
      </c>
      <c r="Q79" s="166">
        <f>IFERROR(VLOOKUP($M79,'1 b felosztások'!$A:$U,'1 b felosztások'!F$2,0)*$I79,0)</f>
        <v>8970449.438202247</v>
      </c>
      <c r="R79" s="166">
        <f>IFERROR(VLOOKUP($M79,'1 b felosztások'!$A:$U,'1 b felosztások'!G$2,0)*$I79,0)</f>
        <v>3588179.7752808989</v>
      </c>
      <c r="S79" s="166">
        <f>IFERROR(VLOOKUP($M79,'1 b felosztások'!$A:$U,'1 b felosztások'!H$2,0)*$I79,0)</f>
        <v>5382269.6629213486</v>
      </c>
      <c r="T79" s="166">
        <f>IFERROR(VLOOKUP($M79,'1 b felosztások'!$A:$U,'1 b felosztások'!I$2,0)*$I79,0)</f>
        <v>2691134.8314606743</v>
      </c>
      <c r="U79" s="166">
        <f>IFERROR(VLOOKUP($M79,'1 b felosztások'!$A:$U,'1 b felosztások'!J$2,0)*$I79,0)</f>
        <v>5382269.6629213486</v>
      </c>
      <c r="V79" s="166">
        <f>IFERROR(VLOOKUP($M79,'1 b felosztások'!$A:$U,'1 b felosztások'!K$2,0)*$I79,0)</f>
        <v>7176359.5505617978</v>
      </c>
      <c r="W79" s="166">
        <f>IFERROR(VLOOKUP($M79,'1 b felosztások'!$A:$U,'1 b felosztások'!L$2,0)*$I79,0)</f>
        <v>7176359.5505617978</v>
      </c>
      <c r="X79" s="166">
        <f>IFERROR(VLOOKUP($M79,'1 b felosztások'!$A:$U,'1 b felosztások'!M$2,0)*$I79,0)</f>
        <v>3588179.7752808989</v>
      </c>
      <c r="Y79" s="166">
        <f>IFERROR(VLOOKUP($M79,'1 b felosztások'!$A:$U,'1 b felosztások'!N$2,0)*$I79,0)</f>
        <v>7176359.5505617978</v>
      </c>
      <c r="Z79" s="166">
        <f>IFERROR(VLOOKUP($M79,'1 b felosztások'!$A:$U,'1 b felosztások'!O$2,0)*$I79,0)</f>
        <v>4485224.7191011235</v>
      </c>
      <c r="AA79" s="166">
        <f>IFERROR(VLOOKUP($M79,'1 b felosztások'!$A:$U,'1 b felosztások'!P$2,0)*$I79,0)</f>
        <v>0</v>
      </c>
      <c r="AB79" s="166">
        <f>IFERROR(VLOOKUP($M79,'1 b felosztások'!$A:$U,'1 b felosztások'!Q$2,0)*$I79,0)</f>
        <v>0</v>
      </c>
      <c r="AC79" s="166">
        <f>IFERROR(VLOOKUP($M79,'1 b felosztások'!$A:$U,'1 b felosztások'!R$2,0)*$I79,0)</f>
        <v>0</v>
      </c>
      <c r="AD79" s="166">
        <f>IFERROR(VLOOKUP($M79,'1 b felosztások'!$A:$U,'1 b felosztások'!S$2,0)*$I79,0)</f>
        <v>0</v>
      </c>
      <c r="AE79" s="166">
        <f>IFERROR(VLOOKUP($M79,'1 b felosztások'!$A:$U,'1 b felosztások'!T$2,0)*$I79,0)</f>
        <v>0</v>
      </c>
      <c r="AF79" s="166">
        <f>IFERROR(VLOOKUP($M79,'1 b felosztások'!$A:$U,'1 b felosztások'!U$2,0)*$I79,0)</f>
        <v>0</v>
      </c>
      <c r="AG79" s="181">
        <f>IFERROR(VLOOKUP($M79,'1 b felosztások'!$A:$E,'1 b felosztások'!G$2,0)*$I79,0)</f>
        <v>0</v>
      </c>
      <c r="AH79" s="181">
        <f>IFERROR(VLOOKUP($M79,'1 b felosztások'!$A:$E,'1 b felosztások'!H$2,0)*$I79,0)</f>
        <v>0</v>
      </c>
      <c r="AI79" s="181"/>
      <c r="AJ79" s="181"/>
      <c r="AK79" s="181"/>
      <c r="AL79" s="181"/>
      <c r="AM79" s="181"/>
      <c r="AN79" s="181"/>
      <c r="AO79" s="181"/>
      <c r="AP79" s="181"/>
      <c r="AQ79" s="181"/>
      <c r="AR79" s="181"/>
      <c r="AS79" s="181"/>
      <c r="AT79" s="181"/>
      <c r="AU79" s="181"/>
      <c r="AV79" s="181"/>
      <c r="AW79" s="181"/>
      <c r="AX79" s="181"/>
      <c r="AY79" s="181"/>
      <c r="AZ79" s="183"/>
      <c r="BA79" s="183"/>
      <c r="BB79" s="183"/>
      <c r="BC79" s="183"/>
      <c r="BD79" s="183"/>
      <c r="BE79" s="183"/>
      <c r="BF79" s="183"/>
      <c r="BG79" s="183"/>
      <c r="BH79" s="183"/>
      <c r="BI79" s="183">
        <f t="shared" si="22"/>
        <v>79837000</v>
      </c>
      <c r="BJ79" s="183">
        <f t="shared" si="23"/>
        <v>0</v>
      </c>
      <c r="BK79" s="183">
        <f t="shared" si="24"/>
        <v>0</v>
      </c>
      <c r="BL79" s="183">
        <f t="shared" si="25"/>
        <v>0</v>
      </c>
    </row>
    <row r="80" spans="1:64" s="187" customFormat="1" hidden="1" outlineLevel="1" x14ac:dyDescent="0.3">
      <c r="A80" s="350" t="s">
        <v>3340</v>
      </c>
      <c r="B80" s="350" t="s">
        <v>3379</v>
      </c>
      <c r="C80" s="350" t="s">
        <v>82</v>
      </c>
      <c r="D80" s="350" t="s">
        <v>3468</v>
      </c>
      <c r="E80" s="350" t="s">
        <v>3379</v>
      </c>
      <c r="F80" s="350" t="s">
        <v>2791</v>
      </c>
      <c r="G80" s="350">
        <v>322</v>
      </c>
      <c r="H80" s="185" t="str">
        <f>IFERROR(VLOOKUP(G80,'2022. tervsor'!C:D,2,0)," ")</f>
        <v>Működési költségvetés támogatása - Céltámogatás</v>
      </c>
      <c r="I80" s="181">
        <f>IFERROR(VLOOKUP($A80,'Bevétel 2a SZH 2022'!$B:$M,MATCH($I$1,'Bevétel 2a SZH 2022'!$B$1:$M$1,0),0), )</f>
        <v>113507670</v>
      </c>
      <c r="J80" s="181">
        <f t="shared" si="20"/>
        <v>113507670.00000001</v>
      </c>
      <c r="K80" s="166">
        <f>+I80-J80</f>
        <v>0</v>
      </c>
      <c r="L80" s="166">
        <f t="shared" si="21"/>
        <v>113507670.00000001</v>
      </c>
      <c r="M80" s="193">
        <v>1</v>
      </c>
      <c r="N80" s="166">
        <f>IFERROR(VLOOKUP($M80,'1 b felosztások'!$A:$U,'1 b felosztások'!C$2,0)*$I80,0)</f>
        <v>18531864.489795916</v>
      </c>
      <c r="O80" s="166">
        <f>IFERROR(VLOOKUP($M80,'1 b felosztások'!$A:$U,'1 b felosztások'!D$2,0)*$I80,0)</f>
        <v>10424173.775510205</v>
      </c>
      <c r="P80" s="166">
        <f>IFERROR(VLOOKUP($M80,'1 b felosztások'!$A:$U,'1 b felosztások'!E$2,0)*$I80,0)</f>
        <v>2316483.0612244895</v>
      </c>
      <c r="Q80" s="166">
        <f>IFERROR(VLOOKUP($M80,'1 b felosztások'!$A:$U,'1 b felosztások'!F$2,0)*$I80,0)</f>
        <v>11582415.30612245</v>
      </c>
      <c r="R80" s="166">
        <f>IFERROR(VLOOKUP($M80,'1 b felosztások'!$A:$U,'1 b felosztások'!G$2,0)*$I80,0)</f>
        <v>4632966.1224489789</v>
      </c>
      <c r="S80" s="166">
        <f>IFERROR(VLOOKUP($M80,'1 b felosztások'!$A:$U,'1 b felosztások'!H$2,0)*$I80,0)</f>
        <v>6949449.1836734693</v>
      </c>
      <c r="T80" s="166">
        <f>IFERROR(VLOOKUP($M80,'1 b felosztások'!$A:$U,'1 b felosztások'!I$2,0)*$I80,0)</f>
        <v>3474724.5918367347</v>
      </c>
      <c r="U80" s="166">
        <f>IFERROR(VLOOKUP($M80,'1 b felosztások'!$A:$U,'1 b felosztások'!J$2,0)*$I80,0)</f>
        <v>6949449.1836734693</v>
      </c>
      <c r="V80" s="166">
        <f>IFERROR(VLOOKUP($M80,'1 b felosztások'!$A:$U,'1 b felosztások'!K$2,0)*$I80,0)</f>
        <v>9265932.2448979579</v>
      </c>
      <c r="W80" s="166">
        <f>IFERROR(VLOOKUP($M80,'1 b felosztások'!$A:$U,'1 b felosztások'!L$2,0)*$I80,0)</f>
        <v>9265932.2448979579</v>
      </c>
      <c r="X80" s="166">
        <f>IFERROR(VLOOKUP($M80,'1 b felosztások'!$A:$U,'1 b felosztások'!M$2,0)*$I80,0)</f>
        <v>4632966.1224489789</v>
      </c>
      <c r="Y80" s="166">
        <f>IFERROR(VLOOKUP($M80,'1 b felosztások'!$A:$U,'1 b felosztások'!N$2,0)*$I80,0)</f>
        <v>9265932.2448979579</v>
      </c>
      <c r="Z80" s="166">
        <f>IFERROR(VLOOKUP($M80,'1 b felosztások'!$A:$U,'1 b felosztások'!O$2,0)*$I80,0)</f>
        <v>5791207.6530612251</v>
      </c>
      <c r="AA80" s="166">
        <f>IFERROR(VLOOKUP($M80,'1 b felosztások'!$A:$U,'1 b felosztások'!P$2,0)*$I80,0)</f>
        <v>10424173.775510205</v>
      </c>
      <c r="AB80" s="166">
        <f>IFERROR(VLOOKUP($M80,'1 b felosztások'!$A:$U,'1 b felosztások'!Q$2,0)*$I80,0)</f>
        <v>0</v>
      </c>
      <c r="AC80" s="166">
        <f>IFERROR(VLOOKUP($M80,'1 b felosztások'!$A:$U,'1 b felosztások'!R$2,0)*$I80,0)</f>
        <v>0</v>
      </c>
      <c r="AD80" s="166">
        <f>IFERROR(VLOOKUP($M80,'1 b felosztások'!$A:$U,'1 b felosztások'!S$2,0)*$I80,0)</f>
        <v>0</v>
      </c>
      <c r="AE80" s="166">
        <f>IFERROR(VLOOKUP($M80,'1 b felosztások'!$A:$U,'1 b felosztások'!T$2,0)*$I80,0)</f>
        <v>0</v>
      </c>
      <c r="AF80" s="166">
        <f>IFERROR(VLOOKUP($M80,'1 b felosztások'!$A:$U,'1 b felosztások'!U$2,0)*$I80,0)</f>
        <v>0</v>
      </c>
      <c r="AG80" s="181">
        <f>IFERROR(VLOOKUP($M80,'1 b felosztások'!$A:$E,'1 b felosztások'!G$2,0)*$I80,0)</f>
        <v>0</v>
      </c>
      <c r="AH80" s="181">
        <f>IFERROR(VLOOKUP($M80,'1 b felosztások'!$A:$E,'1 b felosztások'!H$2,0)*$I80,0)</f>
        <v>0</v>
      </c>
      <c r="AI80" s="181"/>
      <c r="AJ80" s="181"/>
      <c r="AK80" s="181"/>
      <c r="AL80" s="181"/>
      <c r="AM80" s="181"/>
      <c r="AN80" s="181"/>
      <c r="AO80" s="181"/>
      <c r="AP80" s="181"/>
      <c r="AQ80" s="181"/>
      <c r="AR80" s="181"/>
      <c r="AS80" s="181"/>
      <c r="AT80" s="181"/>
      <c r="AU80" s="181"/>
      <c r="AV80" s="181"/>
      <c r="AW80" s="181"/>
      <c r="AX80" s="181"/>
      <c r="AY80" s="181"/>
      <c r="AZ80" s="183"/>
      <c r="BA80" s="183"/>
      <c r="BB80" s="183"/>
      <c r="BC80" s="183"/>
      <c r="BD80" s="183"/>
      <c r="BE80" s="183"/>
      <c r="BF80" s="183"/>
      <c r="BG80" s="183"/>
      <c r="BH80" s="183"/>
      <c r="BI80" s="183">
        <f t="shared" si="22"/>
        <v>113507670.00000001</v>
      </c>
      <c r="BJ80" s="183">
        <f t="shared" si="23"/>
        <v>0</v>
      </c>
      <c r="BK80" s="183">
        <f t="shared" si="24"/>
        <v>0</v>
      </c>
      <c r="BL80" s="183">
        <f t="shared" si="25"/>
        <v>0</v>
      </c>
    </row>
    <row r="81" spans="1:64" s="184" customFormat="1" hidden="1" outlineLevel="1" collapsed="1" x14ac:dyDescent="0.3">
      <c r="A81" s="180">
        <v>8</v>
      </c>
      <c r="B81" s="180" t="s">
        <v>26</v>
      </c>
      <c r="C81" s="180" t="s">
        <v>82</v>
      </c>
      <c r="D81" s="180"/>
      <c r="E81" s="180" t="s">
        <v>26</v>
      </c>
      <c r="F81" s="180" t="s">
        <v>2791</v>
      </c>
      <c r="G81" s="180"/>
      <c r="H81" s="180" t="s">
        <v>2707</v>
      </c>
      <c r="I81" s="181">
        <f>IFERROR(VLOOKUP($A81,'Bevétel 2a SZH 2022'!$B:$M,MATCH($I$1,'Bevétel 2a SZH 2022'!$B$1:$M$1,0),0), )</f>
        <v>198013266</v>
      </c>
      <c r="J81" s="181">
        <f t="shared" si="20"/>
        <v>198013265.67018491</v>
      </c>
      <c r="K81" s="166">
        <f t="shared" si="12"/>
        <v>0.3298150897026062</v>
      </c>
      <c r="L81" s="166">
        <f t="shared" si="21"/>
        <v>198013265.67018491</v>
      </c>
      <c r="M81" s="182"/>
      <c r="N81" s="181">
        <f t="shared" ref="N81:AM81" si="27">SUM(N82:N87)</f>
        <v>45530663.952819511</v>
      </c>
      <c r="O81" s="181">
        <f t="shared" si="27"/>
        <v>8450708.3413272444</v>
      </c>
      <c r="P81" s="181">
        <f t="shared" si="27"/>
        <v>2026981.7514136254</v>
      </c>
      <c r="Q81" s="181">
        <f t="shared" si="27"/>
        <v>9647120.0006797127</v>
      </c>
      <c r="R81" s="181">
        <f t="shared" si="27"/>
        <v>3688121.9355359394</v>
      </c>
      <c r="S81" s="181">
        <f t="shared" si="27"/>
        <v>7026035.9697434315</v>
      </c>
      <c r="T81" s="181">
        <f t="shared" si="27"/>
        <v>8919928.1556080393</v>
      </c>
      <c r="U81" s="181">
        <f t="shared" si="27"/>
        <v>9129624.9816684742</v>
      </c>
      <c r="V81" s="181">
        <f t="shared" si="27"/>
        <v>31243003.021789666</v>
      </c>
      <c r="W81" s="181">
        <f t="shared" si="27"/>
        <v>16696211.146105004</v>
      </c>
      <c r="X81" s="181">
        <f t="shared" si="27"/>
        <v>22689879.666103214</v>
      </c>
      <c r="Y81" s="181">
        <f t="shared" si="27"/>
        <v>23102934.919150621</v>
      </c>
      <c r="Z81" s="181">
        <f t="shared" si="27"/>
        <v>8859028.2772200219</v>
      </c>
      <c r="AA81" s="181">
        <f t="shared" si="27"/>
        <v>1003023.5510204082</v>
      </c>
      <c r="AB81" s="181">
        <f t="shared" si="27"/>
        <v>0</v>
      </c>
      <c r="AC81" s="181">
        <f t="shared" si="27"/>
        <v>0</v>
      </c>
      <c r="AD81" s="181">
        <f t="shared" si="27"/>
        <v>0</v>
      </c>
      <c r="AE81" s="181">
        <f t="shared" si="27"/>
        <v>0</v>
      </c>
      <c r="AF81" s="181">
        <f t="shared" si="27"/>
        <v>0</v>
      </c>
      <c r="AG81" s="181">
        <f t="shared" si="27"/>
        <v>0</v>
      </c>
      <c r="AH81" s="181">
        <f t="shared" si="27"/>
        <v>0</v>
      </c>
      <c r="AI81" s="181">
        <f t="shared" si="27"/>
        <v>0</v>
      </c>
      <c r="AJ81" s="181">
        <f t="shared" si="27"/>
        <v>0</v>
      </c>
      <c r="AK81" s="181">
        <f t="shared" si="27"/>
        <v>0</v>
      </c>
      <c r="AL81" s="181">
        <f t="shared" si="27"/>
        <v>0</v>
      </c>
      <c r="AM81" s="181">
        <f t="shared" si="27"/>
        <v>0</v>
      </c>
      <c r="AN81" s="181"/>
      <c r="AO81" s="181"/>
      <c r="AP81" s="181"/>
      <c r="AQ81" s="181"/>
      <c r="AR81" s="181"/>
      <c r="AS81" s="181"/>
      <c r="AT81" s="181"/>
      <c r="AU81" s="181"/>
      <c r="AV81" s="181"/>
      <c r="AW81" s="181"/>
      <c r="AX81" s="181"/>
      <c r="AY81" s="181"/>
      <c r="AZ81" s="183"/>
      <c r="BA81" s="183"/>
      <c r="BB81" s="183"/>
      <c r="BC81" s="183"/>
      <c r="BD81" s="183"/>
      <c r="BE81" s="183"/>
      <c r="BF81" s="183"/>
      <c r="BG81" s="183"/>
      <c r="BH81" s="183"/>
      <c r="BI81" s="183">
        <f t="shared" si="22"/>
        <v>198013265.67018491</v>
      </c>
      <c r="BJ81" s="183">
        <f t="shared" si="23"/>
        <v>0</v>
      </c>
      <c r="BK81" s="183">
        <f t="shared" si="24"/>
        <v>0</v>
      </c>
      <c r="BL81" s="183">
        <f t="shared" si="25"/>
        <v>0</v>
      </c>
    </row>
    <row r="82" spans="1:64" s="184" customFormat="1" hidden="1" outlineLevel="2" x14ac:dyDescent="0.3">
      <c r="A82" s="185"/>
      <c r="B82" s="711" t="s">
        <v>828</v>
      </c>
      <c r="C82" s="711" t="s">
        <v>82</v>
      </c>
      <c r="D82" s="711" t="s">
        <v>4060</v>
      </c>
      <c r="E82" s="711" t="s">
        <v>4214</v>
      </c>
      <c r="F82" s="180" t="s">
        <v>82</v>
      </c>
      <c r="G82" s="185">
        <v>322</v>
      </c>
      <c r="H82" s="185" t="str">
        <f>IFERROR(VLOOKUP(G82,'2022. tervsor'!C:D,2,0)," ")</f>
        <v>Működési költségvetés támogatása - Céltámogatás</v>
      </c>
      <c r="I82" s="166">
        <f>'10.'!N10</f>
        <v>119305000</v>
      </c>
      <c r="J82" s="181">
        <f t="shared" si="20"/>
        <v>119305000</v>
      </c>
      <c r="K82" s="166">
        <f t="shared" si="12"/>
        <v>0</v>
      </c>
      <c r="L82" s="166">
        <f t="shared" si="21"/>
        <v>119305000</v>
      </c>
      <c r="M82" s="193">
        <v>7</v>
      </c>
      <c r="N82" s="166">
        <f>IFERROR(VLOOKUP($M82,'1 b felosztások'!$A:$O,'1 b felosztások'!C$2,0)*$I82,0)</f>
        <v>32236990.639894336</v>
      </c>
      <c r="O82" s="166">
        <f>IFERROR(VLOOKUP($M82,'1 b felosztások'!$A:$O,'1 b felosztások'!D$2,0)*$I82,0)</f>
        <v>7447684.7903068354</v>
      </c>
      <c r="P82" s="166">
        <f>IFERROR(VLOOKUP($M82,'1 b felosztások'!$A:$O,'1 b felosztások'!E$2,0)*$I82,0)</f>
        <v>1804087.6289646458</v>
      </c>
      <c r="Q82" s="166">
        <f>IFERROR(VLOOKUP($M82,'1 b felosztások'!$A:$O,'1 b felosztások'!F$2,0)*$I82,0)</f>
        <v>8532649.3884348143</v>
      </c>
      <c r="R82" s="166">
        <f>IFERROR(VLOOKUP($M82,'1 b felosztások'!$A:$O,'1 b felosztások'!G$2,0)*$I82,0)</f>
        <v>3242333.6906379801</v>
      </c>
      <c r="S82" s="166">
        <f>IFERROR(VLOOKUP($M82,'1 b felosztások'!$A:$O,'1 b felosztások'!H$2,0)*$I82,0)</f>
        <v>6357353.6023964928</v>
      </c>
      <c r="T82" s="166">
        <f>IFERROR(VLOOKUP($M82,'1 b felosztások'!$A:$O,'1 b felosztások'!I$2,0)*$I82,0)</f>
        <v>4748746.8608234599</v>
      </c>
      <c r="U82" s="166">
        <f>IFERROR(VLOOKUP($M82,'1 b felosztások'!$A:$O,'1 b felosztások'!J$2,0)*$I82,0)</f>
        <v>8460942.6143215355</v>
      </c>
      <c r="V82" s="166">
        <f>IFERROR(VLOOKUP($M82,'1 b felosztások'!$A:$O,'1 b felosztások'!K$2,0)*$I82,0)</f>
        <v>13618577.943456538</v>
      </c>
      <c r="W82" s="166">
        <f>IFERROR(VLOOKUP($M82,'1 b felosztások'!$A:$O,'1 b felosztások'!L$2,0)*$I82,0)</f>
        <v>8130954.4340868639</v>
      </c>
      <c r="X82" s="166">
        <f>IFERROR(VLOOKUP($M82,'1 b felosztások'!$A:$O,'1 b felosztások'!M$2,0)*$I82,0)</f>
        <v>2815518.5287981168</v>
      </c>
      <c r="Y82" s="166">
        <f>IFERROR(VLOOKUP($M82,'1 b felosztások'!$A:$O,'1 b felosztások'!N$2,0)*$I82,0)</f>
        <v>18374518.318243589</v>
      </c>
      <c r="Z82" s="166">
        <f>IFERROR(VLOOKUP($M82,'1 b felosztások'!$A:$O,'1 b felosztások'!O$2,0)*$I82,0)</f>
        <v>3534641.5596347833</v>
      </c>
      <c r="AA82" s="166">
        <f>IFERROR(VLOOKUP($M82,'1 b felosztások'!$A:$O,'1 b felosztások'!P$2,0)*$I82,0)</f>
        <v>0</v>
      </c>
      <c r="AB82" s="166">
        <f>IFERROR(VLOOKUP($M82,'1 b felosztások'!$A:$O,'1 b felosztások'!Q$2,0)*$I82,0)</f>
        <v>0</v>
      </c>
      <c r="AC82" s="166"/>
      <c r="AD82" s="166"/>
      <c r="AE82" s="166"/>
      <c r="AF82" s="166"/>
      <c r="AG82" s="166"/>
      <c r="AH82" s="166"/>
      <c r="AI82" s="166"/>
      <c r="AJ82" s="166"/>
      <c r="AK82" s="166"/>
      <c r="AL82" s="166"/>
      <c r="AM82" s="166"/>
      <c r="AN82" s="181"/>
      <c r="AO82" s="181"/>
      <c r="AP82" s="181"/>
      <c r="AQ82" s="181"/>
      <c r="AR82" s="181"/>
      <c r="AS82" s="181"/>
      <c r="AT82" s="181"/>
      <c r="AU82" s="181"/>
      <c r="AV82" s="181"/>
      <c r="AW82" s="181"/>
      <c r="AX82" s="181"/>
      <c r="AY82" s="181"/>
      <c r="AZ82" s="183"/>
      <c r="BA82" s="183"/>
      <c r="BB82" s="183"/>
      <c r="BC82" s="183"/>
      <c r="BD82" s="183"/>
      <c r="BE82" s="183"/>
      <c r="BF82" s="183"/>
      <c r="BG82" s="183"/>
      <c r="BH82" s="183"/>
      <c r="BI82" s="183"/>
      <c r="BJ82" s="183"/>
      <c r="BK82" s="183"/>
      <c r="BL82" s="183"/>
    </row>
    <row r="83" spans="1:64" s="184" customFormat="1" hidden="1" outlineLevel="2" x14ac:dyDescent="0.3">
      <c r="A83" s="185"/>
      <c r="B83" s="711" t="s">
        <v>829</v>
      </c>
      <c r="C83" s="711" t="s">
        <v>82</v>
      </c>
      <c r="D83" s="711" t="s">
        <v>4061</v>
      </c>
      <c r="E83" s="711" t="s">
        <v>829</v>
      </c>
      <c r="F83" s="180" t="s">
        <v>82</v>
      </c>
      <c r="G83" s="185">
        <v>322</v>
      </c>
      <c r="H83" s="185" t="str">
        <f>IFERROR(VLOOKUP(G83,'2022. tervsor'!C:D,2,0)," ")</f>
        <v>Működési költségvetés támogatása - Céltámogatás</v>
      </c>
      <c r="I83" s="166">
        <f>'10.'!N11</f>
        <v>8344435.7976653697</v>
      </c>
      <c r="J83" s="181">
        <f t="shared" si="20"/>
        <v>8344435.7976653697</v>
      </c>
      <c r="K83" s="166">
        <f t="shared" si="12"/>
        <v>0</v>
      </c>
      <c r="L83" s="166">
        <f t="shared" si="21"/>
        <v>8344435.7976653697</v>
      </c>
      <c r="M83" s="193">
        <v>5</v>
      </c>
      <c r="N83" s="166">
        <f>IFERROR(VLOOKUP($M83,'1 b felosztások'!$A:$O,'1 b felosztások'!C$2,0)*$I83,0)</f>
        <v>0</v>
      </c>
      <c r="O83" s="166">
        <f>IFERROR(VLOOKUP($M83,'1 b felosztások'!$A:$O,'1 b felosztások'!D$2,0)*$I83,0)</f>
        <v>0</v>
      </c>
      <c r="P83" s="166">
        <f>IFERROR(VLOOKUP($M83,'1 b felosztások'!$A:$O,'1 b felosztások'!E$2,0)*$I83,0)</f>
        <v>0</v>
      </c>
      <c r="Q83" s="166">
        <f>IFERROR(VLOOKUP($M83,'1 b felosztások'!$A:$O,'1 b felosztások'!F$2,0)*$I83,0)</f>
        <v>0</v>
      </c>
      <c r="R83" s="166">
        <f>IFERROR(VLOOKUP($M83,'1 b felosztások'!$A:$O,'1 b felosztások'!G$2,0)*$I83,0)</f>
        <v>0</v>
      </c>
      <c r="S83" s="166">
        <f>IFERROR(VLOOKUP($M83,'1 b felosztások'!$A:$O,'1 b felosztások'!H$2,0)*$I83,0)</f>
        <v>0</v>
      </c>
      <c r="T83" s="166">
        <f>IFERROR(VLOOKUP($M83,'1 b felosztások'!$A:$O,'1 b felosztások'!I$2,0)*$I83,0)</f>
        <v>0</v>
      </c>
      <c r="U83" s="166">
        <f>IFERROR(VLOOKUP($M83,'1 b felosztások'!$A:$O,'1 b felosztások'!J$2,0)*$I83,0)</f>
        <v>0</v>
      </c>
      <c r="V83" s="166">
        <f>IFERROR(VLOOKUP($M83,'1 b felosztások'!$A:$O,'1 b felosztások'!K$2,0)*$I83,0)</f>
        <v>0</v>
      </c>
      <c r="W83" s="166">
        <f>IFERROR(VLOOKUP($M83,'1 b felosztások'!$A:$O,'1 b felosztások'!L$2,0)*$I83,0)</f>
        <v>0</v>
      </c>
      <c r="X83" s="166">
        <f>IFERROR(VLOOKUP($M83,'1 b felosztások'!$A:$O,'1 b felosztások'!M$2,0)*$I83,0)</f>
        <v>8344435.7976653697</v>
      </c>
      <c r="Y83" s="166">
        <f>IFERROR(VLOOKUP($M83,'1 b felosztások'!$A:$O,'1 b felosztások'!N$2,0)*$I83,0)</f>
        <v>0</v>
      </c>
      <c r="Z83" s="166">
        <f>IFERROR(VLOOKUP($M83,'1 b felosztások'!$A:$O,'1 b felosztások'!O$2,0)*$I83,0)</f>
        <v>0</v>
      </c>
      <c r="AA83" s="166">
        <f>IFERROR(VLOOKUP($M83,'1 b felosztások'!$A:$O,'1 b felosztások'!P$2,0)*$I83,0)</f>
        <v>0</v>
      </c>
      <c r="AB83" s="166">
        <f>IFERROR(VLOOKUP($M83,'1 b felosztások'!$A:$O,'1 b felosztások'!Q$2,0)*$I83,0)</f>
        <v>0</v>
      </c>
      <c r="AC83" s="166"/>
      <c r="AD83" s="166"/>
      <c r="AE83" s="166"/>
      <c r="AF83" s="166"/>
      <c r="AG83" s="166"/>
      <c r="AH83" s="166"/>
      <c r="AI83" s="166"/>
      <c r="AJ83" s="166"/>
      <c r="AK83" s="166"/>
      <c r="AL83" s="166"/>
      <c r="AM83" s="166"/>
      <c r="AN83" s="181"/>
      <c r="AO83" s="181"/>
      <c r="AP83" s="181"/>
      <c r="AQ83" s="181"/>
      <c r="AR83" s="181"/>
      <c r="AS83" s="181"/>
      <c r="AT83" s="181"/>
      <c r="AU83" s="181"/>
      <c r="AV83" s="181"/>
      <c r="AW83" s="181"/>
      <c r="AX83" s="181"/>
      <c r="AY83" s="181"/>
      <c r="AZ83" s="183"/>
      <c r="BA83" s="183"/>
      <c r="BB83" s="183"/>
      <c r="BC83" s="183"/>
      <c r="BD83" s="183"/>
      <c r="BE83" s="183"/>
      <c r="BF83" s="183"/>
      <c r="BG83" s="183"/>
      <c r="BH83" s="183"/>
      <c r="BI83" s="183"/>
      <c r="BJ83" s="183"/>
      <c r="BK83" s="183"/>
      <c r="BL83" s="183"/>
    </row>
    <row r="84" spans="1:64" s="184" customFormat="1" hidden="1" outlineLevel="2" x14ac:dyDescent="0.3">
      <c r="A84" s="185"/>
      <c r="B84" s="711" t="s">
        <v>830</v>
      </c>
      <c r="C84" s="711" t="s">
        <v>82</v>
      </c>
      <c r="D84" s="711" t="s">
        <v>4062</v>
      </c>
      <c r="E84" s="711" t="s">
        <v>830</v>
      </c>
      <c r="F84" s="180" t="s">
        <v>82</v>
      </c>
      <c r="G84" s="185">
        <v>322</v>
      </c>
      <c r="H84" s="185" t="str">
        <f>IFERROR(VLOOKUP(G84,'2022. tervsor'!C:D,2,0)," ")</f>
        <v>Működési költségvetés támogatása - Céltámogatás</v>
      </c>
      <c r="I84" s="166">
        <f>'10.'!N12</f>
        <v>3410456.8725195429</v>
      </c>
      <c r="J84" s="181">
        <f t="shared" si="20"/>
        <v>3410456.8725195429</v>
      </c>
      <c r="K84" s="166">
        <f t="shared" si="12"/>
        <v>0</v>
      </c>
      <c r="L84" s="166">
        <f t="shared" si="21"/>
        <v>3410456.8725195429</v>
      </c>
      <c r="M84" s="193">
        <v>5</v>
      </c>
      <c r="N84" s="166">
        <f>IFERROR(VLOOKUP($M84,'1 b felosztások'!$A:$O,'1 b felosztások'!C$2,0)*$I84,0)</f>
        <v>0</v>
      </c>
      <c r="O84" s="166">
        <f>IFERROR(VLOOKUP($M84,'1 b felosztások'!$A:$O,'1 b felosztások'!D$2,0)*$I84,0)</f>
        <v>0</v>
      </c>
      <c r="P84" s="166">
        <f>IFERROR(VLOOKUP($M84,'1 b felosztások'!$A:$O,'1 b felosztások'!E$2,0)*$I84,0)</f>
        <v>0</v>
      </c>
      <c r="Q84" s="166">
        <f>IFERROR(VLOOKUP($M84,'1 b felosztások'!$A:$O,'1 b felosztások'!F$2,0)*$I84,0)</f>
        <v>0</v>
      </c>
      <c r="R84" s="166">
        <f>IFERROR(VLOOKUP($M84,'1 b felosztások'!$A:$O,'1 b felosztások'!G$2,0)*$I84,0)</f>
        <v>0</v>
      </c>
      <c r="S84" s="166">
        <f>IFERROR(VLOOKUP($M84,'1 b felosztások'!$A:$O,'1 b felosztások'!H$2,0)*$I84,0)</f>
        <v>0</v>
      </c>
      <c r="T84" s="166">
        <f>IFERROR(VLOOKUP($M84,'1 b felosztások'!$A:$O,'1 b felosztások'!I$2,0)*$I84,0)</f>
        <v>0</v>
      </c>
      <c r="U84" s="166">
        <f>IFERROR(VLOOKUP($M84,'1 b felosztások'!$A:$O,'1 b felosztások'!J$2,0)*$I84,0)</f>
        <v>0</v>
      </c>
      <c r="V84" s="166">
        <f>IFERROR(VLOOKUP($M84,'1 b felosztások'!$A:$O,'1 b felosztások'!K$2,0)*$I84,0)</f>
        <v>0</v>
      </c>
      <c r="W84" s="166">
        <f>IFERROR(VLOOKUP($M84,'1 b felosztások'!$A:$O,'1 b felosztások'!L$2,0)*$I84,0)</f>
        <v>0</v>
      </c>
      <c r="X84" s="166">
        <f>IFERROR(VLOOKUP($M84,'1 b felosztások'!$A:$O,'1 b felosztások'!M$2,0)*$I84,0)</f>
        <v>3410456.8725195429</v>
      </c>
      <c r="Y84" s="166">
        <f>IFERROR(VLOOKUP($M84,'1 b felosztások'!$A:$O,'1 b felosztások'!N$2,0)*$I84,0)</f>
        <v>0</v>
      </c>
      <c r="Z84" s="166">
        <f>IFERROR(VLOOKUP($M84,'1 b felosztások'!$A:$O,'1 b felosztások'!O$2,0)*$I84,0)</f>
        <v>0</v>
      </c>
      <c r="AA84" s="166">
        <f>IFERROR(VLOOKUP($M84,'1 b felosztások'!$A:$O,'1 b felosztások'!P$2,0)*$I84,0)</f>
        <v>0</v>
      </c>
      <c r="AB84" s="166">
        <f>IFERROR(VLOOKUP($M84,'1 b felosztások'!$A:$O,'1 b felosztások'!Q$2,0)*$I84,0)</f>
        <v>0</v>
      </c>
      <c r="AC84" s="166"/>
      <c r="AD84" s="166"/>
      <c r="AE84" s="166"/>
      <c r="AF84" s="166"/>
      <c r="AG84" s="166"/>
      <c r="AH84" s="166"/>
      <c r="AI84" s="166"/>
      <c r="AJ84" s="166"/>
      <c r="AK84" s="166"/>
      <c r="AL84" s="166"/>
      <c r="AM84" s="166"/>
      <c r="AN84" s="181"/>
      <c r="AO84" s="181"/>
      <c r="AP84" s="181"/>
      <c r="AQ84" s="181"/>
      <c r="AR84" s="181"/>
      <c r="AS84" s="181"/>
      <c r="AT84" s="181"/>
      <c r="AU84" s="181"/>
      <c r="AV84" s="181"/>
      <c r="AW84" s="181"/>
      <c r="AX84" s="181"/>
      <c r="AY84" s="181"/>
      <c r="AZ84" s="183"/>
      <c r="BA84" s="183"/>
      <c r="BB84" s="183"/>
      <c r="BC84" s="183"/>
      <c r="BD84" s="183"/>
      <c r="BE84" s="183"/>
      <c r="BF84" s="183"/>
      <c r="BG84" s="183"/>
      <c r="BH84" s="183"/>
      <c r="BI84" s="183"/>
      <c r="BJ84" s="183"/>
      <c r="BK84" s="183"/>
      <c r="BL84" s="183"/>
    </row>
    <row r="85" spans="1:64" s="184" customFormat="1" hidden="1" outlineLevel="2" x14ac:dyDescent="0.3">
      <c r="A85" s="185"/>
      <c r="B85" s="711" t="s">
        <v>792</v>
      </c>
      <c r="C85" s="711" t="s">
        <v>82</v>
      </c>
      <c r="D85" s="711" t="s">
        <v>4063</v>
      </c>
      <c r="E85" s="711" t="s">
        <v>792</v>
      </c>
      <c r="F85" s="180" t="s">
        <v>82</v>
      </c>
      <c r="G85" s="185">
        <v>322</v>
      </c>
      <c r="H85" s="185" t="str">
        <f>IFERROR(VLOOKUP(G85,'2022. tervsor'!C:D,2,0)," ")</f>
        <v>Működési költségvetés támogatása - Céltámogatás</v>
      </c>
      <c r="I85" s="166">
        <f>'10.'!N14</f>
        <v>10921812</v>
      </c>
      <c r="J85" s="181">
        <f t="shared" si="20"/>
        <v>10921811.999999998</v>
      </c>
      <c r="K85" s="166">
        <f t="shared" si="12"/>
        <v>0</v>
      </c>
      <c r="L85" s="166">
        <f t="shared" si="21"/>
        <v>10921811.999999998</v>
      </c>
      <c r="M85" s="193">
        <v>1</v>
      </c>
      <c r="N85" s="166">
        <f>IFERROR(VLOOKUP($M85,'1 b felosztások'!$A:$T,'1 b felosztások'!C$2,0)*$I85,0)</f>
        <v>1783152.9795918367</v>
      </c>
      <c r="O85" s="166">
        <f>IFERROR(VLOOKUP($M85,'1 b felosztások'!$A:$T,'1 b felosztások'!D$2,0)*$I85,0)</f>
        <v>1003023.5510204082</v>
      </c>
      <c r="P85" s="166">
        <f>IFERROR(VLOOKUP($M85,'1 b felosztások'!$A:$T,'1 b felosztások'!E$2,0)*$I85,0)</f>
        <v>222894.12244897959</v>
      </c>
      <c r="Q85" s="166">
        <f>IFERROR(VLOOKUP($M85,'1 b felosztások'!$A:$T,'1 b felosztások'!F$2,0)*$I85,0)</f>
        <v>1114470.612244898</v>
      </c>
      <c r="R85" s="166">
        <f>IFERROR(VLOOKUP($M85,'1 b felosztások'!$A:$T,'1 b felosztások'!G$2,0)*$I85,0)</f>
        <v>445788.24489795917</v>
      </c>
      <c r="S85" s="166">
        <f>IFERROR(VLOOKUP($M85,'1 b felosztások'!$A:$T,'1 b felosztások'!H$2,0)*$I85,0)</f>
        <v>668682.36734693882</v>
      </c>
      <c r="T85" s="166">
        <f>IFERROR(VLOOKUP($M85,'1 b felosztások'!$A:$T,'1 b felosztások'!I$2,0)*$I85,0)</f>
        <v>334341.18367346941</v>
      </c>
      <c r="U85" s="166">
        <f>IFERROR(VLOOKUP($M85,'1 b felosztások'!$A:$T,'1 b felosztások'!J$2,0)*$I85,0)</f>
        <v>668682.36734693882</v>
      </c>
      <c r="V85" s="166">
        <f>IFERROR(VLOOKUP($M85,'1 b felosztások'!$A:$T,'1 b felosztások'!K$2,0)*$I85,0)</f>
        <v>891576.48979591834</v>
      </c>
      <c r="W85" s="166">
        <f>IFERROR(VLOOKUP($M85,'1 b felosztások'!$A:$T,'1 b felosztások'!L$2,0)*$I85,0)</f>
        <v>891576.48979591834</v>
      </c>
      <c r="X85" s="166">
        <f>IFERROR(VLOOKUP($M85,'1 b felosztások'!$A:$T,'1 b felosztások'!M$2,0)*$I85,0)</f>
        <v>445788.24489795917</v>
      </c>
      <c r="Y85" s="166">
        <f>IFERROR(VLOOKUP($M85,'1 b felosztások'!$A:$T,'1 b felosztások'!N$2,0)*$I85,0)</f>
        <v>891576.48979591834</v>
      </c>
      <c r="Z85" s="166">
        <f>IFERROR(VLOOKUP($M85,'1 b felosztások'!$A:$T,'1 b felosztások'!O$2,0)*$I85,0)</f>
        <v>557235.30612244899</v>
      </c>
      <c r="AA85" s="166">
        <f>IFERROR(VLOOKUP($M85,'1 b felosztások'!$A:$T,'1 b felosztások'!P$2,0)*$I85,0)</f>
        <v>1003023.5510204082</v>
      </c>
      <c r="AB85" s="166">
        <f>IFERROR(VLOOKUP($M85,'1 b felosztások'!$A:$T,'1 b felosztások'!Q$2,0)*$I85,0)</f>
        <v>0</v>
      </c>
      <c r="AC85" s="166"/>
      <c r="AD85" s="166"/>
      <c r="AE85" s="166"/>
      <c r="AF85" s="166"/>
      <c r="AG85" s="166"/>
      <c r="AH85" s="166"/>
      <c r="AI85" s="166"/>
      <c r="AJ85" s="166"/>
      <c r="AK85" s="166"/>
      <c r="AL85" s="166"/>
      <c r="AM85" s="166"/>
      <c r="AN85" s="181"/>
      <c r="AO85" s="181"/>
      <c r="AP85" s="181"/>
      <c r="AQ85" s="181"/>
      <c r="AR85" s="181"/>
      <c r="AS85" s="181"/>
      <c r="AT85" s="181"/>
      <c r="AU85" s="181"/>
      <c r="AV85" s="181"/>
      <c r="AW85" s="181"/>
      <c r="AX85" s="181"/>
      <c r="AY85" s="181"/>
      <c r="AZ85" s="183"/>
      <c r="BA85" s="183"/>
      <c r="BB85" s="183"/>
      <c r="BC85" s="183"/>
      <c r="BD85" s="183"/>
      <c r="BE85" s="183"/>
      <c r="BF85" s="183"/>
      <c r="BG85" s="183"/>
      <c r="BH85" s="183"/>
      <c r="BI85" s="183"/>
      <c r="BJ85" s="183"/>
      <c r="BK85" s="183"/>
      <c r="BL85" s="183"/>
    </row>
    <row r="86" spans="1:64" s="184" customFormat="1" hidden="1" outlineLevel="2" x14ac:dyDescent="0.3">
      <c r="A86" s="185"/>
      <c r="B86" s="711" t="s">
        <v>3703</v>
      </c>
      <c r="C86" s="711" t="s">
        <v>82</v>
      </c>
      <c r="D86" s="711" t="s">
        <v>4064</v>
      </c>
      <c r="E86" s="711" t="s">
        <v>3703</v>
      </c>
      <c r="F86" s="180" t="s">
        <v>82</v>
      </c>
      <c r="G86" s="185">
        <v>322</v>
      </c>
      <c r="H86" s="185" t="str">
        <f>IFERROR(VLOOKUP(G86,'2022. tervsor'!C:D,2,0)," ")</f>
        <v>Működési költségvetés támogatása - Céltámogatás</v>
      </c>
      <c r="I86" s="166">
        <f>'10.'!N18</f>
        <v>34531561</v>
      </c>
      <c r="J86" s="181">
        <f t="shared" si="20"/>
        <v>34531561</v>
      </c>
      <c r="K86" s="166">
        <f t="shared" si="12"/>
        <v>0</v>
      </c>
      <c r="L86" s="166">
        <f t="shared" si="21"/>
        <v>34531561</v>
      </c>
      <c r="M86" s="193">
        <v>4</v>
      </c>
      <c r="N86" s="166">
        <f>IFERROR(VLOOKUP($M86,'1 b felosztások'!$A:$O,'1 b felosztások'!C$2,0)*$I86,0)</f>
        <v>11510520.333333332</v>
      </c>
      <c r="O86" s="166">
        <f>IFERROR(VLOOKUP($M86,'1 b felosztások'!$A:$O,'1 b felosztások'!D$2,0)*$I86,0)</f>
        <v>0</v>
      </c>
      <c r="P86" s="166">
        <f>IFERROR(VLOOKUP($M86,'1 b felosztások'!$A:$O,'1 b felosztások'!E$2,0)*$I86,0)</f>
        <v>0</v>
      </c>
      <c r="Q86" s="166">
        <f>IFERROR(VLOOKUP($M86,'1 b felosztások'!$A:$O,'1 b felosztások'!F$2,0)*$I86,0)</f>
        <v>0</v>
      </c>
      <c r="R86" s="166">
        <f>IFERROR(VLOOKUP($M86,'1 b felosztások'!$A:$O,'1 b felosztások'!G$2,0)*$I86,0)</f>
        <v>0</v>
      </c>
      <c r="S86" s="166">
        <f>IFERROR(VLOOKUP($M86,'1 b felosztások'!$A:$O,'1 b felosztások'!H$2,0)*$I86,0)</f>
        <v>0</v>
      </c>
      <c r="T86" s="166">
        <f>IFERROR(VLOOKUP($M86,'1 b felosztások'!$A:$O,'1 b felosztások'!I$2,0)*$I86,0)</f>
        <v>3836840.111111111</v>
      </c>
      <c r="U86" s="166">
        <f>IFERROR(VLOOKUP($M86,'1 b felosztások'!$A:$O,'1 b felosztások'!J$2,0)*$I86,0)</f>
        <v>0</v>
      </c>
      <c r="V86" s="166">
        <f>IFERROR(VLOOKUP($M86,'1 b felosztások'!$A:$O,'1 b felosztások'!K$2,0)*$I86,0)</f>
        <v>0</v>
      </c>
      <c r="W86" s="166">
        <f>IFERROR(VLOOKUP($M86,'1 b felosztások'!$A:$O,'1 b felosztások'!L$2,0)*$I86,0)</f>
        <v>7673680.222222222</v>
      </c>
      <c r="X86" s="166">
        <f>IFERROR(VLOOKUP($M86,'1 b felosztások'!$A:$O,'1 b felosztások'!M$2,0)*$I86,0)</f>
        <v>7673680.222222222</v>
      </c>
      <c r="Y86" s="166">
        <f>IFERROR(VLOOKUP($M86,'1 b felosztások'!$A:$O,'1 b felosztások'!N$2,0)*$I86,0)</f>
        <v>3836840.111111111</v>
      </c>
      <c r="Z86" s="166">
        <f>IFERROR(VLOOKUP($M86,'1 b felosztások'!$A:$O,'1 b felosztások'!O$2,0)*$I86,0)</f>
        <v>0</v>
      </c>
      <c r="AA86" s="166">
        <f>IFERROR(VLOOKUP($M86,'1 b felosztások'!$A:$O,'1 b felosztások'!P$2,0)*$I86,0)</f>
        <v>0</v>
      </c>
      <c r="AB86" s="166">
        <f>IFERROR(VLOOKUP($M86,'1 b felosztások'!$A:$O,'1 b felosztások'!Q$2,0)*$I86,0)</f>
        <v>0</v>
      </c>
      <c r="AC86" s="166"/>
      <c r="AD86" s="166"/>
      <c r="AE86" s="166"/>
      <c r="AF86" s="166"/>
      <c r="AG86" s="166"/>
      <c r="AH86" s="166"/>
      <c r="AI86" s="166"/>
      <c r="AJ86" s="166"/>
      <c r="AK86" s="166"/>
      <c r="AL86" s="166"/>
      <c r="AM86" s="166"/>
      <c r="AN86" s="181"/>
      <c r="AO86" s="181"/>
      <c r="AP86" s="181"/>
      <c r="AQ86" s="181"/>
      <c r="AR86" s="181"/>
      <c r="AS86" s="181"/>
      <c r="AT86" s="181"/>
      <c r="AU86" s="181"/>
      <c r="AV86" s="181"/>
      <c r="AW86" s="181"/>
      <c r="AX86" s="181"/>
      <c r="AY86" s="181"/>
      <c r="AZ86" s="183"/>
      <c r="BA86" s="183"/>
      <c r="BB86" s="183"/>
      <c r="BC86" s="183"/>
      <c r="BD86" s="183"/>
      <c r="BE86" s="183"/>
      <c r="BF86" s="183"/>
      <c r="BG86" s="183"/>
      <c r="BH86" s="183"/>
      <c r="BI86" s="183"/>
      <c r="BJ86" s="183"/>
      <c r="BK86" s="183"/>
      <c r="BL86" s="183"/>
    </row>
    <row r="87" spans="1:64" s="184" customFormat="1" hidden="1" outlineLevel="2" x14ac:dyDescent="0.3">
      <c r="A87" s="185"/>
      <c r="B87" s="711" t="s">
        <v>841</v>
      </c>
      <c r="C87" s="711" t="s">
        <v>82</v>
      </c>
      <c r="D87" s="711" t="s">
        <v>4065</v>
      </c>
      <c r="E87" s="711" t="s">
        <v>841</v>
      </c>
      <c r="F87" s="180" t="s">
        <v>82</v>
      </c>
      <c r="G87" s="185">
        <v>322</v>
      </c>
      <c r="H87" s="185" t="str">
        <f>IFERROR(VLOOKUP(G87,'2022. tervsor'!C:D,2,0)," ")</f>
        <v>Működési költségvetés támogatása - Céltámogatás</v>
      </c>
      <c r="I87" s="166">
        <f>'10.'!N27</f>
        <v>21500000</v>
      </c>
      <c r="J87" s="181">
        <f t="shared" si="20"/>
        <v>21500000</v>
      </c>
      <c r="K87" s="166">
        <f t="shared" si="12"/>
        <v>0</v>
      </c>
      <c r="L87" s="166">
        <f t="shared" si="21"/>
        <v>21500000</v>
      </c>
      <c r="M87" s="193">
        <v>8</v>
      </c>
      <c r="N87" s="166">
        <f>IFERROR(VLOOKUP($M87,'1 b felosztások'!$A:$O,'1 b felosztások'!C$2,0)*$I87,0)</f>
        <v>0</v>
      </c>
      <c r="O87" s="166">
        <f>IFERROR(VLOOKUP($M87,'1 b felosztások'!$A:$O,'1 b felosztások'!D$2,0)*$I87,0)</f>
        <v>0</v>
      </c>
      <c r="P87" s="166">
        <f>IFERROR(VLOOKUP($M87,'1 b felosztások'!$A:$O,'1 b felosztások'!E$2,0)*$I87,0)</f>
        <v>0</v>
      </c>
      <c r="Q87" s="166">
        <f>IFERROR(VLOOKUP($M87,'1 b felosztások'!$A:$O,'1 b felosztások'!F$2,0)*$I87,0)</f>
        <v>0</v>
      </c>
      <c r="R87" s="166">
        <f>IFERROR(VLOOKUP($M87,'1 b felosztások'!$A:$O,'1 b felosztások'!G$2,0)*$I87,0)</f>
        <v>0</v>
      </c>
      <c r="S87" s="166">
        <f>IFERROR(VLOOKUP($M87,'1 b felosztások'!$A:$O,'1 b felosztások'!H$2,0)*$I87,0)</f>
        <v>0</v>
      </c>
      <c r="T87" s="166">
        <f>IFERROR(VLOOKUP($M87,'1 b felosztások'!$A:$O,'1 b felosztások'!I$2,0)*$I87,0)</f>
        <v>0</v>
      </c>
      <c r="U87" s="166">
        <f>IFERROR(VLOOKUP($M87,'1 b felosztások'!$A:$O,'1 b felosztások'!J$2,0)*$I87,0)</f>
        <v>0</v>
      </c>
      <c r="V87" s="166">
        <f>IFERROR(VLOOKUP($M87,'1 b felosztások'!$A:$O,'1 b felosztások'!K$2,0)*$I87,0)</f>
        <v>16732848.588537211</v>
      </c>
      <c r="W87" s="166">
        <f>IFERROR(VLOOKUP($M87,'1 b felosztások'!$A:$O,'1 b felosztások'!L$2,0)*$I87,0)</f>
        <v>0</v>
      </c>
      <c r="X87" s="166">
        <f>IFERROR(VLOOKUP($M87,'1 b felosztások'!$A:$O,'1 b felosztások'!M$2,0)*$I87,0)</f>
        <v>0</v>
      </c>
      <c r="Y87" s="166">
        <f>IFERROR(VLOOKUP($M87,'1 b felosztások'!$A:$O,'1 b felosztások'!N$2,0)*$I87,0)</f>
        <v>0</v>
      </c>
      <c r="Z87" s="166">
        <f>IFERROR(VLOOKUP($M87,'1 b felosztások'!$A:$O,'1 b felosztások'!O$2,0)*$I87,0)</f>
        <v>4767151.4114627885</v>
      </c>
      <c r="AA87" s="166">
        <f>IFERROR(VLOOKUP($M87,'1 b felosztások'!$A:$O,'1 b felosztások'!P$2,0)*$I87,0)</f>
        <v>0</v>
      </c>
      <c r="AB87" s="166">
        <f>IFERROR(VLOOKUP($M87,'1 b felosztások'!$A:$O,'1 b felosztások'!Q$2,0)*$I87,0)</f>
        <v>0</v>
      </c>
      <c r="AC87" s="166"/>
      <c r="AD87" s="166"/>
      <c r="AE87" s="166"/>
      <c r="AF87" s="166"/>
      <c r="AG87" s="166"/>
      <c r="AH87" s="166"/>
      <c r="AI87" s="166"/>
      <c r="AJ87" s="166"/>
      <c r="AK87" s="166"/>
      <c r="AL87" s="181"/>
      <c r="AM87" s="181"/>
      <c r="AN87" s="181"/>
      <c r="AO87" s="181"/>
      <c r="AP87" s="181"/>
      <c r="AQ87" s="181"/>
      <c r="AR87" s="181"/>
      <c r="AS87" s="181"/>
      <c r="AT87" s="181"/>
      <c r="AU87" s="181"/>
      <c r="AV87" s="181"/>
      <c r="AW87" s="181"/>
      <c r="AX87" s="181"/>
      <c r="AY87" s="181"/>
      <c r="AZ87" s="183"/>
      <c r="BA87" s="183"/>
      <c r="BB87" s="183"/>
      <c r="BC87" s="183"/>
      <c r="BD87" s="183"/>
      <c r="BE87" s="183"/>
      <c r="BF87" s="183"/>
      <c r="BG87" s="183"/>
      <c r="BH87" s="183"/>
      <c r="BI87" s="183">
        <f t="shared" si="22"/>
        <v>21500000</v>
      </c>
      <c r="BJ87" s="183">
        <f t="shared" si="23"/>
        <v>0</v>
      </c>
      <c r="BK87" s="183">
        <f t="shared" si="24"/>
        <v>0</v>
      </c>
      <c r="BL87" s="183">
        <f t="shared" si="25"/>
        <v>0</v>
      </c>
    </row>
    <row r="88" spans="1:64" s="184" customFormat="1" collapsed="1" x14ac:dyDescent="0.3">
      <c r="A88" s="198"/>
      <c r="B88" s="198" t="s">
        <v>27</v>
      </c>
      <c r="C88" s="198" t="s">
        <v>2914</v>
      </c>
      <c r="D88" s="198" t="s">
        <v>2925</v>
      </c>
      <c r="E88" s="198" t="s">
        <v>27</v>
      </c>
      <c r="F88" s="198"/>
      <c r="G88" s="198"/>
      <c r="H88" s="198"/>
      <c r="I88" s="199">
        <f>+I81+I79+I72+I18+I11+I4+I80</f>
        <v>788624500.79097605</v>
      </c>
      <c r="J88" s="199">
        <f>+J81+J79+J72+J18+J11+J4+J80</f>
        <v>788624498.67341447</v>
      </c>
      <c r="K88" s="199">
        <f>+K81+K79+K72+K18+K11+K4+K80</f>
        <v>2.1175616427790374</v>
      </c>
      <c r="L88" s="199">
        <f>+L81+L79+L72+L18+L11+L4+L80</f>
        <v>788624498.67341447</v>
      </c>
      <c r="M88" s="199"/>
      <c r="N88" s="199">
        <f t="shared" ref="N88:BH88" si="28">+N81+N79+N72+N18+N11+N4+N80</f>
        <v>182733978.08468315</v>
      </c>
      <c r="O88" s="199">
        <f t="shared" si="28"/>
        <v>39664973.662228517</v>
      </c>
      <c r="P88" s="199">
        <f t="shared" si="28"/>
        <v>8551434.0978785623</v>
      </c>
      <c r="Q88" s="199">
        <f t="shared" si="28"/>
        <v>52749028.633403972</v>
      </c>
      <c r="R88" s="199">
        <f t="shared" si="28"/>
        <v>19223054.010751165</v>
      </c>
      <c r="S88" s="199">
        <f t="shared" si="28"/>
        <v>50188634.407704957</v>
      </c>
      <c r="T88" s="199">
        <f t="shared" si="28"/>
        <v>34908645.405411355</v>
      </c>
      <c r="U88" s="199">
        <f t="shared" si="28"/>
        <v>56955998.307255805</v>
      </c>
      <c r="V88" s="199">
        <f t="shared" si="28"/>
        <v>78217584.231024325</v>
      </c>
      <c r="W88" s="199">
        <f t="shared" si="28"/>
        <v>53373903.821003616</v>
      </c>
      <c r="X88" s="199">
        <f t="shared" si="28"/>
        <v>33639480.361013584</v>
      </c>
      <c r="Y88" s="199">
        <f t="shared" si="28"/>
        <v>128391656.67547464</v>
      </c>
      <c r="Z88" s="199">
        <f t="shared" si="28"/>
        <v>26939965.952232081</v>
      </c>
      <c r="AA88" s="199">
        <f t="shared" si="28"/>
        <v>11849433.023348738</v>
      </c>
      <c r="AB88" s="199">
        <f t="shared" si="28"/>
        <v>0</v>
      </c>
      <c r="AC88" s="199">
        <f t="shared" si="28"/>
        <v>0</v>
      </c>
      <c r="AD88" s="199">
        <f t="shared" si="28"/>
        <v>7000000</v>
      </c>
      <c r="AE88" s="199">
        <f t="shared" si="28"/>
        <v>0</v>
      </c>
      <c r="AF88" s="199">
        <f t="shared" si="28"/>
        <v>0</v>
      </c>
      <c r="AG88" s="199">
        <f t="shared" si="28"/>
        <v>0</v>
      </c>
      <c r="AH88" s="199">
        <f t="shared" si="28"/>
        <v>0</v>
      </c>
      <c r="AI88" s="199">
        <f t="shared" si="28"/>
        <v>0</v>
      </c>
      <c r="AJ88" s="199">
        <f t="shared" si="28"/>
        <v>0</v>
      </c>
      <c r="AK88" s="199">
        <f t="shared" si="28"/>
        <v>0</v>
      </c>
      <c r="AL88" s="199">
        <f t="shared" si="28"/>
        <v>0</v>
      </c>
      <c r="AM88" s="199">
        <f t="shared" si="28"/>
        <v>4236728</v>
      </c>
      <c r="AN88" s="199">
        <f t="shared" si="28"/>
        <v>0</v>
      </c>
      <c r="AO88" s="199">
        <f t="shared" si="28"/>
        <v>0</v>
      </c>
      <c r="AP88" s="199">
        <f t="shared" si="28"/>
        <v>0</v>
      </c>
      <c r="AQ88" s="199">
        <f t="shared" si="28"/>
        <v>0</v>
      </c>
      <c r="AR88" s="199">
        <f t="shared" si="28"/>
        <v>0</v>
      </c>
      <c r="AS88" s="199">
        <f t="shared" si="28"/>
        <v>0</v>
      </c>
      <c r="AT88" s="199">
        <f t="shared" si="28"/>
        <v>0</v>
      </c>
      <c r="AU88" s="199">
        <f t="shared" si="28"/>
        <v>0</v>
      </c>
      <c r="AV88" s="199">
        <f t="shared" si="28"/>
        <v>0</v>
      </c>
      <c r="AW88" s="199">
        <f t="shared" si="28"/>
        <v>0</v>
      </c>
      <c r="AX88" s="199">
        <f t="shared" si="28"/>
        <v>0</v>
      </c>
      <c r="AY88" s="199">
        <f t="shared" si="28"/>
        <v>0</v>
      </c>
      <c r="AZ88" s="199">
        <f t="shared" si="28"/>
        <v>0</v>
      </c>
      <c r="BA88" s="199">
        <f t="shared" si="28"/>
        <v>0</v>
      </c>
      <c r="BB88" s="199">
        <f t="shared" si="28"/>
        <v>0</v>
      </c>
      <c r="BC88" s="199">
        <f t="shared" si="28"/>
        <v>0</v>
      </c>
      <c r="BD88" s="199">
        <f t="shared" si="28"/>
        <v>0</v>
      </c>
      <c r="BE88" s="199">
        <f t="shared" si="28"/>
        <v>0</v>
      </c>
      <c r="BF88" s="199">
        <f t="shared" si="28"/>
        <v>0</v>
      </c>
      <c r="BG88" s="199">
        <f t="shared" si="28"/>
        <v>0</v>
      </c>
      <c r="BH88" s="199">
        <f t="shared" si="28"/>
        <v>0</v>
      </c>
      <c r="BI88" s="199">
        <f t="shared" si="22"/>
        <v>777387770.67341447</v>
      </c>
      <c r="BJ88" s="199">
        <f t="shared" si="23"/>
        <v>0</v>
      </c>
      <c r="BK88" s="199">
        <f t="shared" si="24"/>
        <v>11236728</v>
      </c>
      <c r="BL88" s="199">
        <f t="shared" si="25"/>
        <v>0</v>
      </c>
    </row>
    <row r="89" spans="1:64" s="184" customFormat="1" hidden="1" outlineLevel="1" collapsed="1" x14ac:dyDescent="0.3">
      <c r="A89" s="180">
        <v>10</v>
      </c>
      <c r="B89" s="180" t="s">
        <v>29</v>
      </c>
      <c r="C89" s="180" t="s">
        <v>82</v>
      </c>
      <c r="D89" s="180" t="s">
        <v>2926</v>
      </c>
      <c r="E89" s="180" t="s">
        <v>29</v>
      </c>
      <c r="F89" s="180" t="s">
        <v>2791</v>
      </c>
      <c r="G89" s="180"/>
      <c r="H89" s="180" t="s">
        <v>2707</v>
      </c>
      <c r="I89" s="181">
        <f>IFERROR(VLOOKUP($A89,'Bevétel 2a SZH 2022'!$B:$M,MATCH($I$1,'Bevétel 2a SZH 2022'!$B$1:$M$1,0),0), )</f>
        <v>-149838655.15028545</v>
      </c>
      <c r="J89" s="181">
        <f t="shared" ref="J89:J118" si="29">SUM(N89:AM89)</f>
        <v>-149838654.74794871</v>
      </c>
      <c r="K89" s="166">
        <f t="shared" si="12"/>
        <v>-0.40233674645423889</v>
      </c>
      <c r="L89" s="166">
        <f t="shared" ref="L89:L117" si="30">SUM(N89:BH89)</f>
        <v>0.40233677625656128</v>
      </c>
      <c r="M89" s="182"/>
      <c r="N89" s="181">
        <f>SUM(N90:N91)</f>
        <v>-34719455.83608979</v>
      </c>
      <c r="O89" s="181">
        <f>SUM(O90:O91)</f>
        <v>-7536344.9958234169</v>
      </c>
      <c r="P89" s="181">
        <f t="shared" ref="P89:Z89" si="31">SUM(P90:P91)</f>
        <v>-1624772.4785969269</v>
      </c>
      <c r="Q89" s="181">
        <f t="shared" si="31"/>
        <v>-10022315.440346755</v>
      </c>
      <c r="R89" s="181">
        <f t="shared" si="31"/>
        <v>-3652380.2620427217</v>
      </c>
      <c r="S89" s="181">
        <f t="shared" si="31"/>
        <v>-9535840.5374639407</v>
      </c>
      <c r="T89" s="181">
        <f t="shared" si="31"/>
        <v>-6632642.6270281579</v>
      </c>
      <c r="U89" s="181">
        <f t="shared" si="31"/>
        <v>-10821639.678378602</v>
      </c>
      <c r="V89" s="181">
        <f t="shared" si="31"/>
        <v>-14861341.00389462</v>
      </c>
      <c r="W89" s="181">
        <f t="shared" si="31"/>
        <v>-10141041.725990688</v>
      </c>
      <c r="X89" s="181">
        <f t="shared" si="31"/>
        <v>-6391501.2685925812</v>
      </c>
      <c r="Y89" s="181">
        <f t="shared" si="31"/>
        <v>-24394414.768340182</v>
      </c>
      <c r="Z89" s="181">
        <f t="shared" si="31"/>
        <v>-5118593.5309240958</v>
      </c>
      <c r="AA89" s="181">
        <f t="shared" ref="AA89:AM89" si="32">SUM(AA90:AA91)</f>
        <v>-2251392.2744362601</v>
      </c>
      <c r="AB89" s="181">
        <f t="shared" si="32"/>
        <v>0</v>
      </c>
      <c r="AC89" s="181">
        <f t="shared" si="32"/>
        <v>0</v>
      </c>
      <c r="AD89" s="181">
        <f t="shared" si="32"/>
        <v>-1330000</v>
      </c>
      <c r="AE89" s="181">
        <f t="shared" si="32"/>
        <v>0</v>
      </c>
      <c r="AF89" s="181">
        <f>SUM(AF90:AF91)</f>
        <v>0</v>
      </c>
      <c r="AG89" s="181">
        <f>SUM(AG90:AG91)</f>
        <v>0</v>
      </c>
      <c r="AH89" s="181">
        <f t="shared" si="32"/>
        <v>0</v>
      </c>
      <c r="AI89" s="181">
        <f t="shared" si="32"/>
        <v>0</v>
      </c>
      <c r="AJ89" s="181">
        <f t="shared" si="32"/>
        <v>0</v>
      </c>
      <c r="AK89" s="181">
        <f t="shared" si="32"/>
        <v>0</v>
      </c>
      <c r="AL89" s="181">
        <f t="shared" si="32"/>
        <v>0</v>
      </c>
      <c r="AM89" s="181">
        <f t="shared" si="32"/>
        <v>-804978.32000000007</v>
      </c>
      <c r="AN89" s="181"/>
      <c r="AO89" s="181">
        <f>SUM(AO90:AO91)</f>
        <v>149838655.15028548</v>
      </c>
      <c r="AP89" s="181"/>
      <c r="AQ89" s="181"/>
      <c r="AR89" s="181"/>
      <c r="AS89" s="181"/>
      <c r="AT89" s="181"/>
      <c r="AU89" s="181"/>
      <c r="AV89" s="181"/>
      <c r="AW89" s="181"/>
      <c r="AX89" s="181"/>
      <c r="AY89" s="181"/>
      <c r="AZ89" s="183"/>
      <c r="BA89" s="183"/>
      <c r="BB89" s="183"/>
      <c r="BC89" s="183"/>
      <c r="BD89" s="183"/>
      <c r="BE89" s="183"/>
      <c r="BF89" s="183"/>
      <c r="BG89" s="183"/>
      <c r="BH89" s="183"/>
      <c r="BI89" s="183">
        <f t="shared" si="22"/>
        <v>-147703676.42794871</v>
      </c>
      <c r="BJ89" s="183">
        <f t="shared" si="23"/>
        <v>0</v>
      </c>
      <c r="BK89" s="183">
        <f t="shared" si="24"/>
        <v>-2134978.3200000003</v>
      </c>
      <c r="BL89" s="183">
        <f t="shared" si="25"/>
        <v>149838655.15028548</v>
      </c>
    </row>
    <row r="90" spans="1:64" s="187" customFormat="1" hidden="1" outlineLevel="2" x14ac:dyDescent="0.3">
      <c r="A90" s="185"/>
      <c r="B90" s="185"/>
      <c r="C90" s="185"/>
      <c r="D90" s="185"/>
      <c r="E90" s="185" t="s">
        <v>29</v>
      </c>
      <c r="F90" s="180" t="s">
        <v>82</v>
      </c>
      <c r="G90" s="185">
        <v>285</v>
      </c>
      <c r="H90" s="185" t="str">
        <f>IFERROR(VLOOKUP(G90,'2022. tervsor'!C:D,2,0)," ")</f>
        <v>SB ÁKTH ÁTADÁS</v>
      </c>
      <c r="I90" s="166">
        <f>-(I11+I18+I72)*0.19</f>
        <v>-13268442.362727256</v>
      </c>
      <c r="J90" s="166">
        <f t="shared" si="29"/>
        <v>-13268442.020721851</v>
      </c>
      <c r="K90" s="166">
        <f t="shared" ref="K90:K100" si="33">+I90-J90</f>
        <v>-0.342005405575037</v>
      </c>
      <c r="L90" s="166">
        <f t="shared" si="30"/>
        <v>0.342005405575037</v>
      </c>
      <c r="M90" s="190"/>
      <c r="N90" s="166">
        <f t="shared" ref="N90:AM90" si="34">-(N11+N18+N72)*0.19</f>
        <v>-2546113.2156773685</v>
      </c>
      <c r="O90" s="166">
        <f t="shared" si="34"/>
        <v>-391855.6408292916</v>
      </c>
      <c r="P90" s="166">
        <f t="shared" si="34"/>
        <v>-160442.61654305874</v>
      </c>
      <c r="Q90" s="166">
        <f t="shared" si="34"/>
        <v>-812455.11824775022</v>
      </c>
      <c r="R90" s="166">
        <f t="shared" si="34"/>
        <v>-405435.88880520948</v>
      </c>
      <c r="S90" s="166">
        <f t="shared" si="34"/>
        <v>-513804.44511472271</v>
      </c>
      <c r="T90" s="166">
        <f t="shared" si="34"/>
        <v>-457536.15897033026</v>
      </c>
      <c r="U90" s="166">
        <f t="shared" si="34"/>
        <v>-2682769.392815135</v>
      </c>
      <c r="V90" s="166">
        <f t="shared" si="34"/>
        <v>-491095.6366923828</v>
      </c>
      <c r="W90" s="166">
        <f t="shared" si="34"/>
        <v>-563150.36470886052</v>
      </c>
      <c r="X90" s="166">
        <f t="shared" si="34"/>
        <v>-22172.853492545826</v>
      </c>
      <c r="Y90" s="166">
        <f t="shared" si="34"/>
        <v>-1924872.1117495575</v>
      </c>
      <c r="Z90" s="166">
        <f t="shared" si="34"/>
        <v>-161760.25707563784</v>
      </c>
      <c r="AA90" s="166">
        <f t="shared" si="34"/>
        <v>0</v>
      </c>
      <c r="AB90" s="166">
        <f t="shared" si="34"/>
        <v>0</v>
      </c>
      <c r="AC90" s="166">
        <f t="shared" si="34"/>
        <v>0</v>
      </c>
      <c r="AD90" s="166">
        <f t="shared" si="34"/>
        <v>-1330000</v>
      </c>
      <c r="AE90" s="166">
        <f t="shared" si="34"/>
        <v>0</v>
      </c>
      <c r="AF90" s="166">
        <f t="shared" si="34"/>
        <v>0</v>
      </c>
      <c r="AG90" s="166">
        <f t="shared" si="34"/>
        <v>0</v>
      </c>
      <c r="AH90" s="166">
        <f t="shared" si="34"/>
        <v>0</v>
      </c>
      <c r="AI90" s="166">
        <f t="shared" si="34"/>
        <v>0</v>
      </c>
      <c r="AJ90" s="166">
        <f t="shared" si="34"/>
        <v>0</v>
      </c>
      <c r="AK90" s="166">
        <f t="shared" si="34"/>
        <v>0</v>
      </c>
      <c r="AL90" s="166">
        <f t="shared" si="34"/>
        <v>0</v>
      </c>
      <c r="AM90" s="166">
        <f t="shared" si="34"/>
        <v>-804978.32000000007</v>
      </c>
      <c r="AN90" s="166"/>
      <c r="AO90" s="166">
        <f>-I90</f>
        <v>13268442.362727256</v>
      </c>
      <c r="AP90" s="166"/>
      <c r="AQ90" s="166"/>
      <c r="AR90" s="166"/>
      <c r="AS90" s="166"/>
      <c r="AT90" s="166"/>
      <c r="AU90" s="166"/>
      <c r="AV90" s="166"/>
      <c r="AW90" s="166"/>
      <c r="AX90" s="166"/>
      <c r="AY90" s="166"/>
      <c r="AZ90" s="186"/>
      <c r="BA90" s="186"/>
      <c r="BB90" s="186"/>
      <c r="BC90" s="186"/>
      <c r="BD90" s="186"/>
      <c r="BE90" s="186"/>
      <c r="BF90" s="186"/>
      <c r="BG90" s="186"/>
      <c r="BH90" s="186"/>
      <c r="BI90" s="183">
        <f t="shared" si="22"/>
        <v>-11133463.700721851</v>
      </c>
      <c r="BJ90" s="183">
        <f t="shared" si="23"/>
        <v>0</v>
      </c>
      <c r="BK90" s="183">
        <f t="shared" si="24"/>
        <v>-2134978.3200000003</v>
      </c>
      <c r="BL90" s="183">
        <f t="shared" si="25"/>
        <v>13268442.362727256</v>
      </c>
    </row>
    <row r="91" spans="1:64" s="187" customFormat="1" hidden="1" outlineLevel="2" x14ac:dyDescent="0.3">
      <c r="A91" s="185"/>
      <c r="B91" s="185"/>
      <c r="C91" s="185"/>
      <c r="D91" s="185"/>
      <c r="E91" s="185" t="s">
        <v>29</v>
      </c>
      <c r="F91" s="180" t="s">
        <v>82</v>
      </c>
      <c r="G91" s="185">
        <v>332</v>
      </c>
      <c r="H91" s="185" t="str">
        <f>IFERROR(VLOOKUP(G91,'2022. tervsor'!C:D,2,0)," ")</f>
        <v>T ÁKTH ÁTADÁS</v>
      </c>
      <c r="I91" s="166">
        <f>-(I4+I79+I80+I81)*0.19</f>
        <v>-136570212.78755823</v>
      </c>
      <c r="J91" s="166">
        <f t="shared" si="29"/>
        <v>-136570212.72722691</v>
      </c>
      <c r="K91" s="166">
        <f t="shared" si="33"/>
        <v>-6.03313148021698E-2</v>
      </c>
      <c r="L91" s="166">
        <f t="shared" si="30"/>
        <v>6.03313148021698E-2</v>
      </c>
      <c r="M91" s="190"/>
      <c r="N91" s="166">
        <f t="shared" ref="N91:AM91" si="35">-(N4+N79+N80+N81)*0.19</f>
        <v>-32173342.620412424</v>
      </c>
      <c r="O91" s="166">
        <f t="shared" si="35"/>
        <v>-7144489.3549941257</v>
      </c>
      <c r="P91" s="166">
        <f t="shared" si="35"/>
        <v>-1464329.8620538681</v>
      </c>
      <c r="Q91" s="166">
        <f t="shared" si="35"/>
        <v>-9209860.3220990039</v>
      </c>
      <c r="R91" s="166">
        <f t="shared" si="35"/>
        <v>-3246944.3732375121</v>
      </c>
      <c r="S91" s="166">
        <f t="shared" si="35"/>
        <v>-9022036.0923492182</v>
      </c>
      <c r="T91" s="166">
        <f t="shared" si="35"/>
        <v>-6175106.468057828</v>
      </c>
      <c r="U91" s="166">
        <f t="shared" si="35"/>
        <v>-8138870.2855634671</v>
      </c>
      <c r="V91" s="166">
        <f t="shared" si="35"/>
        <v>-14370245.367202237</v>
      </c>
      <c r="W91" s="166">
        <f t="shared" si="35"/>
        <v>-9577891.3612818271</v>
      </c>
      <c r="X91" s="166">
        <f t="shared" si="35"/>
        <v>-6369328.4151000353</v>
      </c>
      <c r="Y91" s="166">
        <f t="shared" si="35"/>
        <v>-22469542.656590626</v>
      </c>
      <c r="Z91" s="166">
        <f t="shared" si="35"/>
        <v>-4956833.2738484582</v>
      </c>
      <c r="AA91" s="166">
        <f t="shared" si="35"/>
        <v>-2251392.2744362601</v>
      </c>
      <c r="AB91" s="166">
        <f t="shared" si="35"/>
        <v>0</v>
      </c>
      <c r="AC91" s="166">
        <f t="shared" si="35"/>
        <v>0</v>
      </c>
      <c r="AD91" s="166">
        <f t="shared" si="35"/>
        <v>0</v>
      </c>
      <c r="AE91" s="166">
        <f t="shared" si="35"/>
        <v>0</v>
      </c>
      <c r="AF91" s="166">
        <f t="shared" si="35"/>
        <v>0</v>
      </c>
      <c r="AG91" s="166">
        <f t="shared" si="35"/>
        <v>0</v>
      </c>
      <c r="AH91" s="166">
        <f t="shared" si="35"/>
        <v>0</v>
      </c>
      <c r="AI91" s="166">
        <f t="shared" si="35"/>
        <v>0</v>
      </c>
      <c r="AJ91" s="166">
        <f t="shared" si="35"/>
        <v>0</v>
      </c>
      <c r="AK91" s="166">
        <f t="shared" si="35"/>
        <v>0</v>
      </c>
      <c r="AL91" s="166">
        <f t="shared" si="35"/>
        <v>0</v>
      </c>
      <c r="AM91" s="166">
        <f t="shared" si="35"/>
        <v>0</v>
      </c>
      <c r="AN91" s="166"/>
      <c r="AO91" s="166">
        <f>-I91</f>
        <v>136570212.78755823</v>
      </c>
      <c r="AP91" s="166"/>
      <c r="AQ91" s="166"/>
      <c r="AR91" s="166"/>
      <c r="AS91" s="166"/>
      <c r="AT91" s="166"/>
      <c r="AU91" s="166"/>
      <c r="AV91" s="166"/>
      <c r="AW91" s="166"/>
      <c r="AX91" s="166"/>
      <c r="AY91" s="166"/>
      <c r="AZ91" s="186"/>
      <c r="BA91" s="186"/>
      <c r="BB91" s="186"/>
      <c r="BC91" s="186"/>
      <c r="BD91" s="186"/>
      <c r="BE91" s="186"/>
      <c r="BF91" s="186"/>
      <c r="BG91" s="186"/>
      <c r="BH91" s="186"/>
      <c r="BI91" s="183">
        <f t="shared" si="22"/>
        <v>-136570212.72722691</v>
      </c>
      <c r="BJ91" s="183">
        <f t="shared" si="23"/>
        <v>0</v>
      </c>
      <c r="BK91" s="183">
        <f t="shared" si="24"/>
        <v>0</v>
      </c>
      <c r="BL91" s="183">
        <f t="shared" si="25"/>
        <v>136570212.78755823</v>
      </c>
    </row>
    <row r="92" spans="1:64" s="184" customFormat="1" hidden="1" outlineLevel="1" collapsed="1" x14ac:dyDescent="0.3">
      <c r="A92" s="180">
        <v>11</v>
      </c>
      <c r="B92" s="350" t="s">
        <v>3380</v>
      </c>
      <c r="C92" s="180" t="s">
        <v>82</v>
      </c>
      <c r="D92" s="180" t="s">
        <v>2927</v>
      </c>
      <c r="E92" s="350" t="s">
        <v>3380</v>
      </c>
      <c r="F92" s="180" t="s">
        <v>2791</v>
      </c>
      <c r="G92" s="180"/>
      <c r="H92" s="180" t="s">
        <v>2707</v>
      </c>
      <c r="I92" s="181">
        <f>IFERROR(VLOOKUP($A92,'Bevétel 2a SZH 2022'!$B:$M,MATCH($I$1,'Bevétel 2a SZH 2022'!$B$1:$M$1,0),0), )</f>
        <v>-3943122.5039548804</v>
      </c>
      <c r="J92" s="181">
        <f t="shared" si="29"/>
        <v>-3943122.4933670722</v>
      </c>
      <c r="K92" s="166">
        <f t="shared" si="33"/>
        <v>-1.0587808210402727E-2</v>
      </c>
      <c r="L92" s="166">
        <f t="shared" si="30"/>
        <v>1.0587808210402727E-2</v>
      </c>
      <c r="M92" s="182"/>
      <c r="N92" s="181">
        <f>SUM(N93:N94)</f>
        <v>-913669.89042341558</v>
      </c>
      <c r="O92" s="181">
        <f>SUM(O93:O94)</f>
        <v>-198324.86831114258</v>
      </c>
      <c r="P92" s="181">
        <f t="shared" ref="P92:Y92" si="36">SUM(P93:P94)</f>
        <v>-42757.170489392811</v>
      </c>
      <c r="Q92" s="181">
        <f t="shared" si="36"/>
        <v>-263745.14316701982</v>
      </c>
      <c r="R92" s="181">
        <f t="shared" si="36"/>
        <v>-96115.270053755827</v>
      </c>
      <c r="S92" s="181">
        <f t="shared" si="36"/>
        <v>-250943.17203852479</v>
      </c>
      <c r="T92" s="181">
        <f t="shared" si="36"/>
        <v>-174543.2270270568</v>
      </c>
      <c r="U92" s="181">
        <f t="shared" si="36"/>
        <v>-284779.99153627898</v>
      </c>
      <c r="V92" s="181">
        <f t="shared" si="36"/>
        <v>-391087.92115512164</v>
      </c>
      <c r="W92" s="181">
        <f t="shared" si="36"/>
        <v>-266869.51910501812</v>
      </c>
      <c r="X92" s="181">
        <f t="shared" si="36"/>
        <v>-168197.4018050679</v>
      </c>
      <c r="Y92" s="181">
        <f t="shared" si="36"/>
        <v>-641958.28337737336</v>
      </c>
      <c r="Z92" s="181">
        <f>SUM(Z93:Z94)</f>
        <v>-134699.82976116042</v>
      </c>
      <c r="AA92" s="181">
        <f t="shared" ref="AA92:AM92" si="37">SUM(AA93:AA94)</f>
        <v>-59247.165116743687</v>
      </c>
      <c r="AB92" s="181">
        <f t="shared" si="37"/>
        <v>0</v>
      </c>
      <c r="AC92" s="181">
        <f t="shared" si="37"/>
        <v>0</v>
      </c>
      <c r="AD92" s="181">
        <f t="shared" si="37"/>
        <v>-35000</v>
      </c>
      <c r="AE92" s="181">
        <f t="shared" si="37"/>
        <v>0</v>
      </c>
      <c r="AF92" s="181">
        <f>SUM(AF93:AF94)</f>
        <v>0</v>
      </c>
      <c r="AG92" s="181">
        <f>SUM(AG93:AG94)</f>
        <v>0</v>
      </c>
      <c r="AH92" s="181">
        <f t="shared" si="37"/>
        <v>0</v>
      </c>
      <c r="AI92" s="181">
        <f t="shared" si="37"/>
        <v>0</v>
      </c>
      <c r="AJ92" s="181">
        <f t="shared" si="37"/>
        <v>0</v>
      </c>
      <c r="AK92" s="181">
        <f t="shared" si="37"/>
        <v>0</v>
      </c>
      <c r="AL92" s="181">
        <f t="shared" si="37"/>
        <v>0</v>
      </c>
      <c r="AM92" s="181">
        <f t="shared" si="37"/>
        <v>-21183.64</v>
      </c>
      <c r="AN92" s="181"/>
      <c r="AO92" s="181"/>
      <c r="AP92" s="181"/>
      <c r="AQ92" s="181"/>
      <c r="AR92" s="181">
        <f>$I92*-1</f>
        <v>3943122.5039548804</v>
      </c>
      <c r="AS92" s="181"/>
      <c r="AT92" s="181"/>
      <c r="AU92" s="181"/>
      <c r="AV92" s="181"/>
      <c r="AW92" s="181"/>
      <c r="AX92" s="181"/>
      <c r="AY92" s="181"/>
      <c r="AZ92" s="183"/>
      <c r="BA92" s="183"/>
      <c r="BB92" s="183"/>
      <c r="BC92" s="183"/>
      <c r="BD92" s="183"/>
      <c r="BE92" s="183"/>
      <c r="BF92" s="183"/>
      <c r="BG92" s="183"/>
      <c r="BH92" s="183"/>
      <c r="BI92" s="183">
        <f t="shared" si="22"/>
        <v>-3886938.8533670721</v>
      </c>
      <c r="BJ92" s="183">
        <f t="shared" si="23"/>
        <v>0</v>
      </c>
      <c r="BK92" s="183">
        <f t="shared" si="24"/>
        <v>-56183.64</v>
      </c>
      <c r="BL92" s="183">
        <f t="shared" si="25"/>
        <v>3943122.5039548804</v>
      </c>
    </row>
    <row r="93" spans="1:64" s="187" customFormat="1" hidden="1" outlineLevel="2" x14ac:dyDescent="0.3">
      <c r="A93" s="185"/>
      <c r="B93" s="185"/>
      <c r="C93" s="185"/>
      <c r="D93" s="185"/>
      <c r="E93" s="185" t="s">
        <v>3476</v>
      </c>
      <c r="F93" s="180" t="s">
        <v>82</v>
      </c>
      <c r="G93" s="185">
        <v>298</v>
      </c>
      <c r="H93" s="185" t="str">
        <f>IFERROR(VLOOKUP(G93,'2022. tervsor'!C:D,2,0)," ")</f>
        <v>SB Kiválósági Alap</v>
      </c>
      <c r="I93" s="166">
        <f>-(I11+I18+I72)*0.005</f>
        <v>-349169.53586124361</v>
      </c>
      <c r="J93" s="166">
        <f t="shared" si="29"/>
        <v>-349169.52686110127</v>
      </c>
      <c r="K93" s="166">
        <f t="shared" si="33"/>
        <v>-9.0001423377543688E-3</v>
      </c>
      <c r="L93" s="166">
        <f t="shared" si="30"/>
        <v>9.0001423377543688E-3</v>
      </c>
      <c r="M93" s="190"/>
      <c r="N93" s="166">
        <f t="shared" ref="N93:AQ93" si="38">-(N11+N18+N72)*0.005</f>
        <v>-67002.97935993076</v>
      </c>
      <c r="O93" s="166">
        <f t="shared" si="38"/>
        <v>-10311.990548139252</v>
      </c>
      <c r="P93" s="166">
        <f t="shared" si="38"/>
        <v>-4222.1741195541772</v>
      </c>
      <c r="Q93" s="166">
        <f t="shared" si="38"/>
        <v>-21380.397848625005</v>
      </c>
      <c r="R93" s="166">
        <f t="shared" si="38"/>
        <v>-10669.365494873933</v>
      </c>
      <c r="S93" s="166">
        <f t="shared" si="38"/>
        <v>-13521.169608282176</v>
      </c>
      <c r="T93" s="166">
        <f t="shared" si="38"/>
        <v>-12040.425236061323</v>
      </c>
      <c r="U93" s="166">
        <f t="shared" si="38"/>
        <v>-70599.194547766703</v>
      </c>
      <c r="V93" s="166">
        <f t="shared" si="38"/>
        <v>-12923.569386641653</v>
      </c>
      <c r="W93" s="166">
        <f t="shared" si="38"/>
        <v>-14819.746439706856</v>
      </c>
      <c r="X93" s="166">
        <f t="shared" si="38"/>
        <v>-583.49614454067967</v>
      </c>
      <c r="Y93" s="166">
        <f t="shared" si="38"/>
        <v>-50654.529256567301</v>
      </c>
      <c r="Z93" s="166">
        <f t="shared" si="38"/>
        <v>-4256.8488704115225</v>
      </c>
      <c r="AA93" s="166">
        <f t="shared" si="38"/>
        <v>0</v>
      </c>
      <c r="AB93" s="166">
        <f t="shared" si="38"/>
        <v>0</v>
      </c>
      <c r="AC93" s="166">
        <f t="shared" si="38"/>
        <v>0</v>
      </c>
      <c r="AD93" s="166">
        <f t="shared" si="38"/>
        <v>-35000</v>
      </c>
      <c r="AE93" s="166">
        <f t="shared" si="38"/>
        <v>0</v>
      </c>
      <c r="AF93" s="166">
        <f t="shared" si="38"/>
        <v>0</v>
      </c>
      <c r="AG93" s="166">
        <f t="shared" si="38"/>
        <v>0</v>
      </c>
      <c r="AH93" s="166">
        <f t="shared" si="38"/>
        <v>0</v>
      </c>
      <c r="AI93" s="166">
        <f t="shared" si="38"/>
        <v>0</v>
      </c>
      <c r="AJ93" s="166">
        <f t="shared" si="38"/>
        <v>0</v>
      </c>
      <c r="AK93" s="166">
        <f t="shared" si="38"/>
        <v>0</v>
      </c>
      <c r="AL93" s="166">
        <f t="shared" si="38"/>
        <v>0</v>
      </c>
      <c r="AM93" s="166">
        <f t="shared" si="38"/>
        <v>-21183.64</v>
      </c>
      <c r="AN93" s="166">
        <f t="shared" si="38"/>
        <v>0</v>
      </c>
      <c r="AO93" s="166">
        <f t="shared" si="38"/>
        <v>0</v>
      </c>
      <c r="AP93" s="166">
        <f t="shared" si="38"/>
        <v>0</v>
      </c>
      <c r="AQ93" s="166">
        <f t="shared" si="38"/>
        <v>0</v>
      </c>
      <c r="AR93" s="166">
        <f>-I93</f>
        <v>349169.53586124361</v>
      </c>
      <c r="AS93" s="166"/>
      <c r="AT93" s="166"/>
      <c r="AU93" s="166"/>
      <c r="AV93" s="166"/>
      <c r="AW93" s="166"/>
      <c r="AX93" s="166"/>
      <c r="AY93" s="166"/>
      <c r="AZ93" s="186"/>
      <c r="BA93" s="186"/>
      <c r="BB93" s="186"/>
      <c r="BC93" s="186"/>
      <c r="BD93" s="186"/>
      <c r="BE93" s="186"/>
      <c r="BF93" s="186"/>
      <c r="BG93" s="186"/>
      <c r="BH93" s="186"/>
      <c r="BI93" s="183">
        <f t="shared" si="22"/>
        <v>-292985.88686110126</v>
      </c>
      <c r="BJ93" s="183">
        <f t="shared" si="23"/>
        <v>0</v>
      </c>
      <c r="BK93" s="183">
        <f t="shared" si="24"/>
        <v>-56183.64</v>
      </c>
      <c r="BL93" s="183">
        <f t="shared" si="25"/>
        <v>349169.53586124361</v>
      </c>
    </row>
    <row r="94" spans="1:64" s="187" customFormat="1" hidden="1" outlineLevel="2" x14ac:dyDescent="0.3">
      <c r="A94" s="185"/>
      <c r="B94" s="185"/>
      <c r="C94" s="185"/>
      <c r="D94" s="185"/>
      <c r="E94" s="185" t="s">
        <v>3477</v>
      </c>
      <c r="F94" s="180" t="s">
        <v>82</v>
      </c>
      <c r="G94" s="185">
        <v>342</v>
      </c>
      <c r="H94" s="185" t="str">
        <f>IFERROR(VLOOKUP(G94,'2022. tervsor'!C:D,2,0)," ")</f>
        <v>T Kiválósági Alap</v>
      </c>
      <c r="I94" s="166">
        <f>-(I4+I79+I80+I81)*0.005</f>
        <v>-3593952.9680936374</v>
      </c>
      <c r="J94" s="166">
        <f t="shared" si="29"/>
        <v>-3593952.9665059713</v>
      </c>
      <c r="K94" s="166">
        <f t="shared" si="33"/>
        <v>-1.587666105479002E-3</v>
      </c>
      <c r="L94" s="166">
        <f t="shared" si="30"/>
        <v>1.587666105479002E-3</v>
      </c>
      <c r="M94" s="190"/>
      <c r="N94" s="166">
        <f t="shared" ref="N94:AM94" si="39">-(N4+N79+N80+N81)*0.005</f>
        <v>-846666.91106348485</v>
      </c>
      <c r="O94" s="166">
        <f t="shared" si="39"/>
        <v>-188012.87776300331</v>
      </c>
      <c r="P94" s="166">
        <f t="shared" si="39"/>
        <v>-38534.996369838635</v>
      </c>
      <c r="Q94" s="166">
        <f t="shared" si="39"/>
        <v>-242364.74531839482</v>
      </c>
      <c r="R94" s="166">
        <f t="shared" si="39"/>
        <v>-85445.904558881899</v>
      </c>
      <c r="S94" s="166">
        <f t="shared" si="39"/>
        <v>-237422.0024302426</v>
      </c>
      <c r="T94" s="166">
        <f t="shared" si="39"/>
        <v>-162502.80179099547</v>
      </c>
      <c r="U94" s="166">
        <f t="shared" si="39"/>
        <v>-214180.79698851227</v>
      </c>
      <c r="V94" s="166">
        <f t="shared" si="39"/>
        <v>-378164.35176847997</v>
      </c>
      <c r="W94" s="166">
        <f t="shared" si="39"/>
        <v>-252049.77266531126</v>
      </c>
      <c r="X94" s="166">
        <f t="shared" si="39"/>
        <v>-167613.90566052723</v>
      </c>
      <c r="Y94" s="166">
        <f t="shared" si="39"/>
        <v>-591303.754120806</v>
      </c>
      <c r="Z94" s="166">
        <f t="shared" si="39"/>
        <v>-130442.98089074889</v>
      </c>
      <c r="AA94" s="166">
        <f t="shared" si="39"/>
        <v>-59247.165116743687</v>
      </c>
      <c r="AB94" s="166">
        <f t="shared" si="39"/>
        <v>0</v>
      </c>
      <c r="AC94" s="166">
        <f t="shared" si="39"/>
        <v>0</v>
      </c>
      <c r="AD94" s="166">
        <f t="shared" si="39"/>
        <v>0</v>
      </c>
      <c r="AE94" s="166">
        <f t="shared" si="39"/>
        <v>0</v>
      </c>
      <c r="AF94" s="166">
        <f t="shared" si="39"/>
        <v>0</v>
      </c>
      <c r="AG94" s="166">
        <f t="shared" si="39"/>
        <v>0</v>
      </c>
      <c r="AH94" s="166">
        <f t="shared" si="39"/>
        <v>0</v>
      </c>
      <c r="AI94" s="166">
        <f t="shared" si="39"/>
        <v>0</v>
      </c>
      <c r="AJ94" s="166">
        <f t="shared" si="39"/>
        <v>0</v>
      </c>
      <c r="AK94" s="166">
        <f t="shared" si="39"/>
        <v>0</v>
      </c>
      <c r="AL94" s="166">
        <f t="shared" si="39"/>
        <v>0</v>
      </c>
      <c r="AM94" s="166">
        <f t="shared" si="39"/>
        <v>0</v>
      </c>
      <c r="AN94" s="166">
        <f>-(AN4+AN79+AN81)*0.005</f>
        <v>0</v>
      </c>
      <c r="AO94" s="166">
        <f>-(AO4+AO79+AO81)*0.005</f>
        <v>0</v>
      </c>
      <c r="AP94" s="166">
        <f>-(AP4+AP79+AP81)*0.005</f>
        <v>0</v>
      </c>
      <c r="AQ94" s="166">
        <f>-(AQ4+AQ79+AQ81)*0.005</f>
        <v>0</v>
      </c>
      <c r="AR94" s="166">
        <f>-I94</f>
        <v>3593952.9680936374</v>
      </c>
      <c r="AS94" s="166"/>
      <c r="AT94" s="166"/>
      <c r="AU94" s="166"/>
      <c r="AV94" s="166"/>
      <c r="AW94" s="166"/>
      <c r="AX94" s="166"/>
      <c r="AY94" s="166"/>
      <c r="AZ94" s="186"/>
      <c r="BA94" s="186"/>
      <c r="BB94" s="186"/>
      <c r="BC94" s="186"/>
      <c r="BD94" s="186"/>
      <c r="BE94" s="186"/>
      <c r="BF94" s="186"/>
      <c r="BG94" s="186"/>
      <c r="BH94" s="186"/>
      <c r="BI94" s="183">
        <f t="shared" si="22"/>
        <v>-3593952.9665059713</v>
      </c>
      <c r="BJ94" s="183">
        <f t="shared" si="23"/>
        <v>0</v>
      </c>
      <c r="BK94" s="183">
        <f t="shared" si="24"/>
        <v>0</v>
      </c>
      <c r="BL94" s="183">
        <f t="shared" si="25"/>
        <v>3593952.9680936374</v>
      </c>
    </row>
    <row r="95" spans="1:64" s="184" customFormat="1" hidden="1" outlineLevel="1" collapsed="1" x14ac:dyDescent="0.3">
      <c r="A95" s="180">
        <v>12</v>
      </c>
      <c r="B95" s="180" t="s">
        <v>30</v>
      </c>
      <c r="C95" s="180" t="s">
        <v>82</v>
      </c>
      <c r="D95" s="180" t="s">
        <v>2928</v>
      </c>
      <c r="E95" s="180" t="s">
        <v>30</v>
      </c>
      <c r="F95" s="180" t="s">
        <v>2791</v>
      </c>
      <c r="G95" s="180"/>
      <c r="H95" s="180" t="s">
        <v>2707</v>
      </c>
      <c r="I95" s="181">
        <f>IFERROR(VLOOKUP($A95,'Bevétel 2a SZH 2022'!$B:$M,MATCH($I$1,'Bevétel 2a SZH 2022'!$B$1:$M$1,0),0), )</f>
        <v>-11829367.51186464</v>
      </c>
      <c r="J95" s="181">
        <f t="shared" si="29"/>
        <v>3.1763428749400191E-2</v>
      </c>
      <c r="K95" s="181">
        <f t="shared" si="33"/>
        <v>-11829367.543628069</v>
      </c>
      <c r="L95" s="166">
        <f t="shared" si="30"/>
        <v>3.1763428749400191E-2</v>
      </c>
      <c r="M95" s="182"/>
      <c r="N95" s="181">
        <f>SUM(N96:N97)</f>
        <v>-2741009.6712702466</v>
      </c>
      <c r="O95" s="181">
        <f>SUM(O96:O97)</f>
        <v>-594974.60493342765</v>
      </c>
      <c r="P95" s="181">
        <f t="shared" ref="P95:Z95" si="40">SUM(P96:P97)</f>
        <v>-128271.51146817843</v>
      </c>
      <c r="Q95" s="181">
        <f t="shared" si="40"/>
        <v>-791235.42950105947</v>
      </c>
      <c r="R95" s="181">
        <f t="shared" si="40"/>
        <v>-288345.81016126747</v>
      </c>
      <c r="S95" s="181">
        <f t="shared" si="40"/>
        <v>-752829.51611557428</v>
      </c>
      <c r="T95" s="181">
        <f t="shared" si="40"/>
        <v>-523629.68108117033</v>
      </c>
      <c r="U95" s="181">
        <f t="shared" si="40"/>
        <v>-854339.97460883693</v>
      </c>
      <c r="V95" s="181">
        <f t="shared" si="40"/>
        <v>-1173263.7634653647</v>
      </c>
      <c r="W95" s="181">
        <f t="shared" si="40"/>
        <v>-800608.55731505423</v>
      </c>
      <c r="X95" s="181">
        <f t="shared" si="40"/>
        <v>-504592.20541520376</v>
      </c>
      <c r="Y95" s="181">
        <f t="shared" si="40"/>
        <v>-1925874.8501321196</v>
      </c>
      <c r="Z95" s="181">
        <f t="shared" si="40"/>
        <v>-404099.48928348121</v>
      </c>
      <c r="AA95" s="181">
        <f t="shared" ref="AA95:AM95" si="41">SUM(AA96:AA97)</f>
        <v>-177741.49535023107</v>
      </c>
      <c r="AB95" s="181">
        <f t="shared" si="41"/>
        <v>0</v>
      </c>
      <c r="AC95" s="181">
        <f t="shared" si="41"/>
        <v>0</v>
      </c>
      <c r="AD95" s="181">
        <f t="shared" si="41"/>
        <v>-105000</v>
      </c>
      <c r="AE95" s="181">
        <f t="shared" si="41"/>
        <v>0</v>
      </c>
      <c r="AF95" s="181">
        <f>SUM(AF96:AF97)</f>
        <v>11829367.511864644</v>
      </c>
      <c r="AG95" s="181">
        <f>SUM(AG96:AG97)</f>
        <v>0</v>
      </c>
      <c r="AH95" s="181">
        <f t="shared" si="41"/>
        <v>0</v>
      </c>
      <c r="AI95" s="181">
        <f t="shared" si="41"/>
        <v>0</v>
      </c>
      <c r="AJ95" s="181">
        <f t="shared" si="41"/>
        <v>0</v>
      </c>
      <c r="AK95" s="181">
        <f t="shared" si="41"/>
        <v>0</v>
      </c>
      <c r="AL95" s="181">
        <f t="shared" si="41"/>
        <v>0</v>
      </c>
      <c r="AM95" s="181">
        <f t="shared" si="41"/>
        <v>-63550.92</v>
      </c>
      <c r="AN95" s="181"/>
      <c r="AO95" s="181"/>
      <c r="AP95" s="181"/>
      <c r="AQ95" s="181"/>
      <c r="AR95" s="181"/>
      <c r="AS95" s="181"/>
      <c r="AT95" s="181"/>
      <c r="AU95" s="181"/>
      <c r="AV95" s="181"/>
      <c r="AW95" s="181"/>
      <c r="AX95" s="181"/>
      <c r="AY95" s="181"/>
      <c r="AZ95" s="183"/>
      <c r="BA95" s="183"/>
      <c r="BB95" s="183"/>
      <c r="BC95" s="183"/>
      <c r="BD95" s="183"/>
      <c r="BE95" s="183"/>
      <c r="BF95" s="183"/>
      <c r="BG95" s="183"/>
      <c r="BH95" s="183"/>
      <c r="BI95" s="183">
        <f t="shared" si="22"/>
        <v>-11660816.560101215</v>
      </c>
      <c r="BJ95" s="183">
        <f t="shared" si="23"/>
        <v>0</v>
      </c>
      <c r="BK95" s="183">
        <f t="shared" si="24"/>
        <v>11660816.591864644</v>
      </c>
      <c r="BL95" s="183">
        <f t="shared" si="25"/>
        <v>0</v>
      </c>
    </row>
    <row r="96" spans="1:64" s="187" customFormat="1" hidden="1" outlineLevel="2" x14ac:dyDescent="0.3">
      <c r="A96" s="185"/>
      <c r="B96" s="185"/>
      <c r="C96" s="185"/>
      <c r="D96" s="185"/>
      <c r="E96" s="185" t="s">
        <v>2809</v>
      </c>
      <c r="F96" s="180" t="s">
        <v>82</v>
      </c>
      <c r="G96" s="185">
        <v>297</v>
      </c>
      <c r="H96" s="185" t="str">
        <f>IFERROR(VLOOKUP(G96,'2022. tervsor'!C:D,2,0)," ")</f>
        <v>SB Kari kiválósági keret</v>
      </c>
      <c r="I96" s="166">
        <f>-(I11+I18+I72)*0.015</f>
        <v>-1047508.6075837308</v>
      </c>
      <c r="J96" s="166">
        <f t="shared" si="29"/>
        <v>2.7000426824088208E-2</v>
      </c>
      <c r="K96" s="181">
        <f t="shared" si="33"/>
        <v>-1047508.6345841576</v>
      </c>
      <c r="L96" s="166">
        <f t="shared" si="30"/>
        <v>2.7000426824088208E-2</v>
      </c>
      <c r="M96" s="190"/>
      <c r="N96" s="166">
        <f t="shared" ref="N96:AB96" si="42">-(N11+N18+N72)*0.015</f>
        <v>-201008.93807979225</v>
      </c>
      <c r="O96" s="166">
        <f t="shared" si="42"/>
        <v>-30935.971644417757</v>
      </c>
      <c r="P96" s="166">
        <f t="shared" si="42"/>
        <v>-12666.522358662531</v>
      </c>
      <c r="Q96" s="166">
        <f t="shared" si="42"/>
        <v>-64141.193545875016</v>
      </c>
      <c r="R96" s="166">
        <f t="shared" si="42"/>
        <v>-32008.096484621798</v>
      </c>
      <c r="S96" s="166">
        <f t="shared" si="42"/>
        <v>-40563.508824846525</v>
      </c>
      <c r="T96" s="166">
        <f t="shared" si="42"/>
        <v>-36121.275708183966</v>
      </c>
      <c r="U96" s="166">
        <f t="shared" si="42"/>
        <v>-211797.58364330011</v>
      </c>
      <c r="V96" s="166">
        <f t="shared" si="42"/>
        <v>-38770.708159924958</v>
      </c>
      <c r="W96" s="166">
        <f t="shared" si="42"/>
        <v>-44459.239319120563</v>
      </c>
      <c r="X96" s="166">
        <f t="shared" si="42"/>
        <v>-1750.4884336220389</v>
      </c>
      <c r="Y96" s="166">
        <f t="shared" si="42"/>
        <v>-151963.5877697019</v>
      </c>
      <c r="Z96" s="166">
        <f t="shared" si="42"/>
        <v>-12770.546611234566</v>
      </c>
      <c r="AA96" s="166">
        <f t="shared" si="42"/>
        <v>0</v>
      </c>
      <c r="AB96" s="166">
        <f t="shared" si="42"/>
        <v>0</v>
      </c>
      <c r="AC96" s="166">
        <f>-(AC11+AC18)*0.015</f>
        <v>0</v>
      </c>
      <c r="AD96" s="166">
        <f>-(AD11+AD18)*0.015</f>
        <v>-105000</v>
      </c>
      <c r="AE96" s="166">
        <f>-(AE11+AE18)*0.015</f>
        <v>0</v>
      </c>
      <c r="AF96" s="166">
        <f>-I96</f>
        <v>1047508.6075837308</v>
      </c>
      <c r="AG96" s="166">
        <f t="shared" ref="AG96:AM96" si="43">-(AG11+AG18)*0.015</f>
        <v>0</v>
      </c>
      <c r="AH96" s="166">
        <f t="shared" si="43"/>
        <v>0</v>
      </c>
      <c r="AI96" s="166">
        <f t="shared" si="43"/>
        <v>0</v>
      </c>
      <c r="AJ96" s="166">
        <f t="shared" si="43"/>
        <v>0</v>
      </c>
      <c r="AK96" s="166">
        <f t="shared" si="43"/>
        <v>0</v>
      </c>
      <c r="AL96" s="166">
        <f t="shared" si="43"/>
        <v>0</v>
      </c>
      <c r="AM96" s="166">
        <f t="shared" si="43"/>
        <v>-63550.92</v>
      </c>
      <c r="AN96" s="166"/>
      <c r="AO96" s="166"/>
      <c r="AP96" s="166"/>
      <c r="AQ96" s="166"/>
      <c r="AR96" s="166"/>
      <c r="AS96" s="166"/>
      <c r="AT96" s="166"/>
      <c r="AU96" s="166"/>
      <c r="AV96" s="166"/>
      <c r="AW96" s="166"/>
      <c r="AX96" s="166"/>
      <c r="AY96" s="166"/>
      <c r="AZ96" s="186"/>
      <c r="BA96" s="186"/>
      <c r="BB96" s="186"/>
      <c r="BC96" s="186"/>
      <c r="BD96" s="186"/>
      <c r="BE96" s="186"/>
      <c r="BF96" s="186"/>
      <c r="BG96" s="186"/>
      <c r="BH96" s="186"/>
      <c r="BI96" s="183">
        <f t="shared" si="22"/>
        <v>-878957.66058330401</v>
      </c>
      <c r="BJ96" s="183">
        <f t="shared" si="23"/>
        <v>0</v>
      </c>
      <c r="BK96" s="183">
        <f t="shared" si="24"/>
        <v>878957.68758373079</v>
      </c>
      <c r="BL96" s="183">
        <f t="shared" si="25"/>
        <v>0</v>
      </c>
    </row>
    <row r="97" spans="1:64" s="187" customFormat="1" hidden="1" outlineLevel="2" x14ac:dyDescent="0.3">
      <c r="A97" s="185"/>
      <c r="B97" s="185"/>
      <c r="C97" s="185"/>
      <c r="D97" s="185"/>
      <c r="E97" s="185" t="s">
        <v>2810</v>
      </c>
      <c r="F97" s="180" t="s">
        <v>82</v>
      </c>
      <c r="G97" s="185">
        <v>341</v>
      </c>
      <c r="H97" s="185" t="str">
        <f>IFERROR(VLOOKUP(G97,'2022. tervsor'!C:D,2,0)," ")</f>
        <v>T Kari kiválósági keret</v>
      </c>
      <c r="I97" s="166">
        <f>+I94*3</f>
        <v>-10781858.904280912</v>
      </c>
      <c r="J97" s="166">
        <f t="shared" si="29"/>
        <v>4.7630015760660172E-3</v>
      </c>
      <c r="K97" s="181">
        <f t="shared" si="33"/>
        <v>-10781858.909043914</v>
      </c>
      <c r="L97" s="166">
        <f t="shared" si="30"/>
        <v>4.7630015760660172E-3</v>
      </c>
      <c r="M97" s="190"/>
      <c r="N97" s="166">
        <f t="shared" ref="N97:AE97" si="44">-(N4+N79+N80+N81)*0.015</f>
        <v>-2540000.7331904545</v>
      </c>
      <c r="O97" s="166">
        <f t="shared" si="44"/>
        <v>-564038.63328900991</v>
      </c>
      <c r="P97" s="166">
        <f t="shared" si="44"/>
        <v>-115604.9891095159</v>
      </c>
      <c r="Q97" s="166">
        <f t="shared" si="44"/>
        <v>-727094.23595518444</v>
      </c>
      <c r="R97" s="166">
        <f t="shared" si="44"/>
        <v>-256337.71367664568</v>
      </c>
      <c r="S97" s="166">
        <f t="shared" si="44"/>
        <v>-712266.00729072781</v>
      </c>
      <c r="T97" s="166">
        <f t="shared" si="44"/>
        <v>-487508.4053729864</v>
      </c>
      <c r="U97" s="166">
        <f t="shared" si="44"/>
        <v>-642542.39096553682</v>
      </c>
      <c r="V97" s="166">
        <f t="shared" si="44"/>
        <v>-1134493.0553054397</v>
      </c>
      <c r="W97" s="166">
        <f t="shared" si="44"/>
        <v>-756149.3179959337</v>
      </c>
      <c r="X97" s="166">
        <f t="shared" si="44"/>
        <v>-502841.7169815817</v>
      </c>
      <c r="Y97" s="166">
        <f t="shared" si="44"/>
        <v>-1773911.2623624178</v>
      </c>
      <c r="Z97" s="166">
        <f t="shared" si="44"/>
        <v>-391328.94267224666</v>
      </c>
      <c r="AA97" s="166">
        <f t="shared" si="44"/>
        <v>-177741.49535023107</v>
      </c>
      <c r="AB97" s="166">
        <f t="shared" si="44"/>
        <v>0</v>
      </c>
      <c r="AC97" s="166">
        <f t="shared" si="44"/>
        <v>0</v>
      </c>
      <c r="AD97" s="166">
        <f t="shared" si="44"/>
        <v>0</v>
      </c>
      <c r="AE97" s="166">
        <f t="shared" si="44"/>
        <v>0</v>
      </c>
      <c r="AF97" s="166">
        <f>-I97</f>
        <v>10781858.904280912</v>
      </c>
      <c r="AG97" s="166">
        <f t="shared" ref="AG97:AM97" si="45">-(AG4+AG79+AG80+AG81)*0.015</f>
        <v>0</v>
      </c>
      <c r="AH97" s="166">
        <f t="shared" si="45"/>
        <v>0</v>
      </c>
      <c r="AI97" s="166">
        <f t="shared" si="45"/>
        <v>0</v>
      </c>
      <c r="AJ97" s="166">
        <f t="shared" si="45"/>
        <v>0</v>
      </c>
      <c r="AK97" s="166">
        <f t="shared" si="45"/>
        <v>0</v>
      </c>
      <c r="AL97" s="166">
        <f t="shared" si="45"/>
        <v>0</v>
      </c>
      <c r="AM97" s="166">
        <f t="shared" si="45"/>
        <v>0</v>
      </c>
      <c r="AN97" s="166"/>
      <c r="AO97" s="166"/>
      <c r="AP97" s="166"/>
      <c r="AQ97" s="166"/>
      <c r="AR97" s="166"/>
      <c r="AS97" s="166"/>
      <c r="AT97" s="166"/>
      <c r="AU97" s="166"/>
      <c r="AV97" s="166"/>
      <c r="AW97" s="166"/>
      <c r="AX97" s="166"/>
      <c r="AY97" s="166"/>
      <c r="AZ97" s="186"/>
      <c r="BA97" s="186"/>
      <c r="BB97" s="186"/>
      <c r="BC97" s="186"/>
      <c r="BD97" s="186"/>
      <c r="BE97" s="186"/>
      <c r="BF97" s="186"/>
      <c r="BG97" s="186"/>
      <c r="BH97" s="186"/>
      <c r="BI97" s="183">
        <f t="shared" si="22"/>
        <v>-10781858.899517911</v>
      </c>
      <c r="BJ97" s="183">
        <f t="shared" si="23"/>
        <v>0</v>
      </c>
      <c r="BK97" s="183">
        <f t="shared" si="24"/>
        <v>10781858.904280912</v>
      </c>
      <c r="BL97" s="183">
        <f t="shared" si="25"/>
        <v>0</v>
      </c>
    </row>
    <row r="98" spans="1:64" s="184" customFormat="1" hidden="1" outlineLevel="1" x14ac:dyDescent="0.3">
      <c r="A98" s="180">
        <v>13</v>
      </c>
      <c r="B98" s="180" t="s">
        <v>31</v>
      </c>
      <c r="C98" s="180" t="s">
        <v>82</v>
      </c>
      <c r="D98" s="180" t="s">
        <v>2929</v>
      </c>
      <c r="E98" s="180" t="s">
        <v>31</v>
      </c>
      <c r="F98" s="180" t="s">
        <v>2791</v>
      </c>
      <c r="G98" s="185">
        <v>1</v>
      </c>
      <c r="H98" s="200" t="s">
        <v>2761</v>
      </c>
      <c r="I98" s="181">
        <f>IFERROR(VLOOKUP($A98,'Bevétel 2a SZH 2022'!$B:$M,MATCH($I$1,'Bevétel 2a SZH 2022'!$B$1:$M$1,0),0), )</f>
        <v>11829367.51186464</v>
      </c>
      <c r="J98" s="181">
        <f t="shared" si="29"/>
        <v>0</v>
      </c>
      <c r="K98" s="181">
        <f t="shared" si="33"/>
        <v>11829367.51186464</v>
      </c>
      <c r="L98" s="166">
        <f t="shared" si="30"/>
        <v>0</v>
      </c>
      <c r="M98" s="182"/>
      <c r="N98" s="181"/>
      <c r="O98" s="181"/>
      <c r="P98" s="181"/>
      <c r="Q98" s="181"/>
      <c r="R98" s="181"/>
      <c r="S98" s="181"/>
      <c r="T98" s="181"/>
      <c r="U98" s="181"/>
      <c r="V98" s="181"/>
      <c r="W98" s="181"/>
      <c r="X98" s="181"/>
      <c r="Y98" s="181"/>
      <c r="Z98" s="181"/>
      <c r="AA98" s="181"/>
      <c r="AB98" s="181"/>
      <c r="AC98" s="181"/>
      <c r="AD98" s="181"/>
      <c r="AE98" s="181"/>
      <c r="AF98" s="181"/>
      <c r="AG98" s="181"/>
      <c r="AH98" s="181"/>
      <c r="AI98" s="181"/>
      <c r="AJ98" s="181"/>
      <c r="AK98" s="181"/>
      <c r="AL98" s="181"/>
      <c r="AM98" s="181"/>
      <c r="AN98" s="181"/>
      <c r="AO98" s="181"/>
      <c r="AP98" s="181"/>
      <c r="AQ98" s="181"/>
      <c r="AR98" s="181"/>
      <c r="AS98" s="181"/>
      <c r="AT98" s="181"/>
      <c r="AU98" s="181"/>
      <c r="AV98" s="181"/>
      <c r="AW98" s="181"/>
      <c r="AX98" s="181"/>
      <c r="AY98" s="181"/>
      <c r="AZ98" s="183"/>
      <c r="BA98" s="183"/>
      <c r="BB98" s="183"/>
      <c r="BC98" s="183"/>
      <c r="BD98" s="183"/>
      <c r="BE98" s="183"/>
      <c r="BF98" s="183"/>
      <c r="BG98" s="183"/>
      <c r="BH98" s="183"/>
      <c r="BI98" s="183">
        <f t="shared" si="22"/>
        <v>0</v>
      </c>
      <c r="BJ98" s="183">
        <f t="shared" si="23"/>
        <v>0</v>
      </c>
      <c r="BK98" s="183">
        <f t="shared" si="24"/>
        <v>0</v>
      </c>
      <c r="BL98" s="183">
        <f t="shared" si="25"/>
        <v>0</v>
      </c>
    </row>
    <row r="99" spans="1:64" s="187" customFormat="1" hidden="1" outlineLevel="1" x14ac:dyDescent="0.3">
      <c r="A99" s="180">
        <v>14</v>
      </c>
      <c r="B99" s="350" t="s">
        <v>35</v>
      </c>
      <c r="C99" s="180" t="s">
        <v>82</v>
      </c>
      <c r="D99" s="180" t="s">
        <v>2930</v>
      </c>
      <c r="E99" s="350" t="s">
        <v>35</v>
      </c>
      <c r="F99" s="180" t="s">
        <v>2791</v>
      </c>
      <c r="G99" s="180">
        <v>346</v>
      </c>
      <c r="H99" s="185" t="str">
        <f>IFERROR(VLOOKUP(G99,'2022. tervsor'!C:D,2,0)," ")</f>
        <v>T tanárképzés közös ktg</v>
      </c>
      <c r="I99" s="181">
        <f>IFERROR(VLOOKUP($A99,'Bevétel 2a SZH 2022'!$B:$M,MATCH($I$1,'Bevétel 2a SZH 2022'!$B$1:$M$1,0),0), )</f>
        <v>-9239068.3874350004</v>
      </c>
      <c r="J99" s="181">
        <f t="shared" si="29"/>
        <v>-9239068.3874350004</v>
      </c>
      <c r="K99" s="166">
        <f t="shared" si="33"/>
        <v>0</v>
      </c>
      <c r="L99" s="166">
        <f t="shared" si="30"/>
        <v>0</v>
      </c>
      <c r="M99" s="193">
        <v>6</v>
      </c>
      <c r="N99" s="166">
        <f>IFERROR(VLOOKUP($M99,'1 b felosztások'!$A:$U,'1 b felosztások'!C$2,0)*$I99,0)</f>
        <v>-3053457.013905264</v>
      </c>
      <c r="O99" s="166">
        <f>IFERROR(VLOOKUP($M99,'1 b felosztások'!$A:$U,'1 b felosztások'!D$2,0)*$I99,0)</f>
        <v>-338398.5865925937</v>
      </c>
      <c r="P99" s="166">
        <f>IFERROR(VLOOKUP($M99,'1 b felosztások'!$A:$U,'1 b felosztások'!E$2,0)*$I99,0)</f>
        <v>-94436.814863049396</v>
      </c>
      <c r="Q99" s="166">
        <f>IFERROR(VLOOKUP($M99,'1 b felosztások'!$A:$U,'1 b felosztások'!F$2,0)*$I99,0)</f>
        <v>-409226.19773988076</v>
      </c>
      <c r="R99" s="166">
        <f>IFERROR(VLOOKUP($M99,'1 b felosztások'!$A:$U,'1 b felosztások'!G$2,0)*$I99,0)</f>
        <v>-141655.22229457411</v>
      </c>
      <c r="S99" s="166">
        <f>IFERROR(VLOOKUP($M99,'1 b felosztások'!$A:$U,'1 b felosztások'!H$2,0)*$I99,0)</f>
        <v>-405291.33045392035</v>
      </c>
      <c r="T99" s="166">
        <f>IFERROR(VLOOKUP($M99,'1 b felosztások'!$A:$U,'1 b felosztások'!I$2,0)*$I99,0)</f>
        <v>-405291.33045392035</v>
      </c>
      <c r="U99" s="166">
        <f>IFERROR(VLOOKUP($M99,'1 b felosztások'!$A:$U,'1 b felosztások'!J$2,0)*$I99,0)</f>
        <v>-676797.17318518739</v>
      </c>
      <c r="V99" s="166">
        <f>IFERROR(VLOOKUP($M99,'1 b felosztások'!$A:$U,'1 b felosztások'!K$2,0)*$I99,0)</f>
        <v>-1204069.3895038799</v>
      </c>
      <c r="W99" s="166">
        <f>IFERROR(VLOOKUP($M99,'1 b felosztások'!$A:$U,'1 b felosztások'!L$2,0)*$I99,0)</f>
        <v>-495793.27803100937</v>
      </c>
      <c r="X99" s="166">
        <f>IFERROR(VLOOKUP($M99,'1 b felosztások'!$A:$U,'1 b felosztások'!M$2,0)*$I99,0)</f>
        <v>-86567.08029112863</v>
      </c>
      <c r="Y99" s="166">
        <f>IFERROR(VLOOKUP($M99,'1 b felosztások'!$A:$U,'1 b felosztások'!N$2,0)*$I99,0)</f>
        <v>-1817908.686113701</v>
      </c>
      <c r="Z99" s="166">
        <f>IFERROR(VLOOKUP($M99,'1 b felosztások'!$A:$U,'1 b felosztások'!O$2,0)*$I99,0)</f>
        <v>-110176.28400689099</v>
      </c>
      <c r="AA99" s="166">
        <f>IFERROR(VLOOKUP($M99,'1 b felosztások'!$A:$U,'1 b felosztások'!P$2,0)*$I99,0)</f>
        <v>0</v>
      </c>
      <c r="AB99" s="166">
        <f>IFERROR(VLOOKUP($M99,'1 b felosztások'!$A:$U,'1 b felosztások'!Q$2,0)*$I99,0)</f>
        <v>0</v>
      </c>
      <c r="AC99" s="166"/>
      <c r="AD99" s="166"/>
      <c r="AE99" s="166"/>
      <c r="AF99" s="166"/>
      <c r="AG99" s="166"/>
      <c r="AH99" s="166"/>
      <c r="AI99" s="166"/>
      <c r="AJ99" s="166"/>
      <c r="AK99" s="166"/>
      <c r="AL99" s="166"/>
      <c r="AM99" s="166"/>
      <c r="AN99" s="166"/>
      <c r="AO99" s="166"/>
      <c r="AP99" s="166"/>
      <c r="AQ99" s="166"/>
      <c r="AR99" s="166"/>
      <c r="AS99" s="166"/>
      <c r="AT99" s="166"/>
      <c r="AU99" s="166"/>
      <c r="AV99" s="166"/>
      <c r="AW99" s="166"/>
      <c r="AX99" s="166"/>
      <c r="AY99" s="181">
        <f>-I99</f>
        <v>9239068.3874350004</v>
      </c>
      <c r="AZ99" s="186"/>
      <c r="BA99" s="186"/>
      <c r="BB99" s="186"/>
      <c r="BC99" s="186"/>
      <c r="BD99" s="186"/>
      <c r="BE99" s="186"/>
      <c r="BF99" s="186"/>
      <c r="BG99" s="186"/>
      <c r="BH99" s="186"/>
      <c r="BI99" s="183">
        <f t="shared" si="22"/>
        <v>-9239068.3874350004</v>
      </c>
      <c r="BJ99" s="183">
        <f t="shared" si="23"/>
        <v>0</v>
      </c>
      <c r="BK99" s="183">
        <f t="shared" si="24"/>
        <v>0</v>
      </c>
      <c r="BL99" s="183">
        <f t="shared" si="25"/>
        <v>9239068.3874350004</v>
      </c>
    </row>
    <row r="100" spans="1:64" s="187" customFormat="1" hidden="1" outlineLevel="1" x14ac:dyDescent="0.3">
      <c r="A100" s="201">
        <v>15</v>
      </c>
      <c r="B100" s="351" t="s">
        <v>3382</v>
      </c>
      <c r="C100" s="201" t="s">
        <v>82</v>
      </c>
      <c r="D100" s="201" t="s">
        <v>2992</v>
      </c>
      <c r="E100" s="351" t="s">
        <v>3382</v>
      </c>
      <c r="F100" s="201" t="s">
        <v>2791</v>
      </c>
      <c r="G100" s="201">
        <v>344</v>
      </c>
      <c r="H100" s="185" t="str">
        <f>IFERROR(VLOOKUP(G100,'2022. tervsor'!C:D,2,0)," ")</f>
        <v>T Belső működésre átadás</v>
      </c>
      <c r="I100" s="181">
        <f>IFERROR(VLOOKUP($A100,'Bevétel 2a SZH 2022'!$B:$M,MATCH($I$1,'Bevétel 2a SZH 2022'!$B$1:$M$1,0),0), )</f>
        <v>-19339744</v>
      </c>
      <c r="J100" s="181">
        <f t="shared" si="29"/>
        <v>-19339743.999999996</v>
      </c>
      <c r="K100" s="166">
        <f t="shared" si="33"/>
        <v>0</v>
      </c>
      <c r="L100" s="166">
        <f t="shared" si="30"/>
        <v>0</v>
      </c>
      <c r="M100" s="193">
        <v>6</v>
      </c>
      <c r="N100" s="166">
        <f>IFERROR(VLOOKUP($M100,'1 b felosztások'!$A:$U,'1 b felosztások'!C$2,0)*$I100,0)</f>
        <v>-6391670.078364565</v>
      </c>
      <c r="O100" s="166">
        <f>IFERROR(VLOOKUP($M100,'1 b felosztások'!$A:$U,'1 b felosztások'!D$2,0)*$I100,0)</f>
        <v>-708355.1890971039</v>
      </c>
      <c r="P100" s="166">
        <f>IFERROR(VLOOKUP($M100,'1 b felosztások'!$A:$U,'1 b felosztások'!E$2,0)*$I100,0)</f>
        <v>-197680.51788756388</v>
      </c>
      <c r="Q100" s="166">
        <f>IFERROR(VLOOKUP($M100,'1 b felosztások'!$A:$U,'1 b felosztások'!F$2,0)*$I100,0)</f>
        <v>-856615.57751277683</v>
      </c>
      <c r="R100" s="166">
        <f>IFERROR(VLOOKUP($M100,'1 b felosztások'!$A:$U,'1 b felosztások'!G$2,0)*$I100,0)</f>
        <v>-296520.77683134581</v>
      </c>
      <c r="S100" s="166">
        <f>IFERROR(VLOOKUP($M100,'1 b felosztások'!$A:$U,'1 b felosztások'!H$2,0)*$I100,0)</f>
        <v>-848378.88926746161</v>
      </c>
      <c r="T100" s="166">
        <f>IFERROR(VLOOKUP($M100,'1 b felosztások'!$A:$U,'1 b felosztások'!I$2,0)*$I100,0)</f>
        <v>-848378.88926746161</v>
      </c>
      <c r="U100" s="166">
        <f>IFERROR(VLOOKUP($M100,'1 b felosztások'!$A:$U,'1 b felosztások'!J$2,0)*$I100,0)</f>
        <v>-1416710.3781942078</v>
      </c>
      <c r="V100" s="166">
        <f>IFERROR(VLOOKUP($M100,'1 b felosztások'!$A:$U,'1 b felosztások'!K$2,0)*$I100,0)</f>
        <v>-2520426.6030664393</v>
      </c>
      <c r="W100" s="166">
        <f>IFERROR(VLOOKUP($M100,'1 b felosztások'!$A:$U,'1 b felosztások'!L$2,0)*$I100,0)</f>
        <v>-1037822.7189097104</v>
      </c>
      <c r="X100" s="166">
        <f>IFERROR(VLOOKUP($M100,'1 b felosztások'!$A:$U,'1 b felosztások'!M$2,0)*$I100,0)</f>
        <v>-181207.14139693356</v>
      </c>
      <c r="Y100" s="166">
        <f>IFERROR(VLOOKUP($M100,'1 b felosztások'!$A:$U,'1 b felosztások'!N$2,0)*$I100,0)</f>
        <v>-3805349.9693356045</v>
      </c>
      <c r="Z100" s="166">
        <f>IFERROR(VLOOKUP($M100,'1 b felosztások'!$A:$U,'1 b felosztások'!O$2,0)*$I100,0)</f>
        <v>-230627.27086882453</v>
      </c>
      <c r="AA100" s="166">
        <f>IFERROR(VLOOKUP($M100,'1 b felosztások'!$A:$U,'1 b felosztások'!P$2,0)*$I100,0)</f>
        <v>0</v>
      </c>
      <c r="AB100" s="166">
        <f>IFERROR(VLOOKUP($M100,'1 b felosztások'!$A:$U,'1 b felosztások'!Q$2,0)*$I100,0)</f>
        <v>0</v>
      </c>
      <c r="AC100" s="166"/>
      <c r="AD100" s="166"/>
      <c r="AE100" s="166"/>
      <c r="AF100" s="166"/>
      <c r="AG100" s="166"/>
      <c r="AH100" s="166"/>
      <c r="AI100" s="166"/>
      <c r="AJ100" s="166"/>
      <c r="AK100" s="166"/>
      <c r="AL100" s="166"/>
      <c r="AM100" s="166"/>
      <c r="AN100" s="166"/>
      <c r="AO100" s="166"/>
      <c r="AP100" s="166"/>
      <c r="AQ100" s="166"/>
      <c r="AR100" s="166"/>
      <c r="AS100" s="166"/>
      <c r="AT100" s="166"/>
      <c r="AU100" s="166"/>
      <c r="AV100" s="166"/>
      <c r="AW100" s="166"/>
      <c r="AX100" s="166"/>
      <c r="AY100" s="166"/>
      <c r="AZ100" s="186"/>
      <c r="BA100" s="186"/>
      <c r="BB100" s="186"/>
      <c r="BC100" s="186"/>
      <c r="BD100" s="186"/>
      <c r="BE100" s="186"/>
      <c r="BF100" s="183">
        <f>-I100</f>
        <v>19339744</v>
      </c>
      <c r="BG100" s="183"/>
      <c r="BH100" s="186"/>
      <c r="BI100" s="183">
        <f t="shared" si="22"/>
        <v>-19339743.999999996</v>
      </c>
      <c r="BJ100" s="183">
        <f t="shared" si="23"/>
        <v>0</v>
      </c>
      <c r="BK100" s="183">
        <f t="shared" si="24"/>
        <v>0</v>
      </c>
      <c r="BL100" s="183">
        <f t="shared" si="25"/>
        <v>19339744</v>
      </c>
    </row>
    <row r="101" spans="1:64" s="184" customFormat="1" hidden="1" outlineLevel="1" x14ac:dyDescent="0.3">
      <c r="A101" s="180">
        <v>17</v>
      </c>
      <c r="B101" s="180" t="s">
        <v>38</v>
      </c>
      <c r="C101" s="180" t="s">
        <v>82</v>
      </c>
      <c r="D101" s="180" t="s">
        <v>2931</v>
      </c>
      <c r="E101" s="180" t="str">
        <f>B101</f>
        <v>Szocho elvonás</v>
      </c>
      <c r="F101" s="180" t="s">
        <v>2791</v>
      </c>
      <c r="G101" s="180">
        <v>335</v>
      </c>
      <c r="H101" s="185" t="str">
        <f>IFERROR(VLOOKUP(G101,'2022. tervsor'!C:D,2,0)," ")</f>
        <v>T SZOCHO megtakarítás</v>
      </c>
      <c r="I101" s="181">
        <f>IFERROR(VLOOKUP($A101,'Bevétel 2a SZH 2022'!$B:$M,MATCH($I$1,'Bevétel 2a SZH 2022'!$B$1:$M$1,0),0), )</f>
        <v>-40180860</v>
      </c>
      <c r="J101" s="181">
        <f t="shared" si="29"/>
        <v>-40180860.000000007</v>
      </c>
      <c r="K101" s="166">
        <f t="shared" ref="K101:K108" si="46">+I101-J101</f>
        <v>0</v>
      </c>
      <c r="L101" s="166">
        <f t="shared" si="30"/>
        <v>0</v>
      </c>
      <c r="M101" s="193">
        <v>13</v>
      </c>
      <c r="N101" s="166">
        <f>IFERROR(VLOOKUP($M101,'1 b felosztások'!$A:$U,'1 b felosztások'!C$2,0)*$I101,0)</f>
        <v>-3934346.0908724861</v>
      </c>
      <c r="O101" s="166">
        <f>IFERROR(VLOOKUP($M101,'1 b felosztások'!$A:$U,'1 b felosztások'!D$2,0)*$I101,0)</f>
        <v>-4644567.7168155322</v>
      </c>
      <c r="P101" s="166">
        <f>IFERROR(VLOOKUP($M101,'1 b felosztások'!$A:$U,'1 b felosztások'!E$2,0)*$I101,0)</f>
        <v>-846679.99748339725</v>
      </c>
      <c r="Q101" s="166">
        <f>IFERROR(VLOOKUP($M101,'1 b felosztások'!$A:$U,'1 b felosztások'!F$2,0)*$I101,0)</f>
        <v>-4888337.0092284502</v>
      </c>
      <c r="R101" s="166">
        <f>IFERROR(VLOOKUP($M101,'1 b felosztások'!$A:$U,'1 b felosztások'!G$2,0)*$I101,0)</f>
        <v>-1710116.0339428498</v>
      </c>
      <c r="S101" s="166">
        <f>IFERROR(VLOOKUP($M101,'1 b felosztások'!$A:$U,'1 b felosztások'!H$2,0)*$I101,0)</f>
        <v>-2882795.833104345</v>
      </c>
      <c r="T101" s="166">
        <f>IFERROR(VLOOKUP($M101,'1 b felosztások'!$A:$U,'1 b felosztások'!I$2,0)*$I101,0)</f>
        <v>-1304146.988619514</v>
      </c>
      <c r="U101" s="166">
        <f>IFERROR(VLOOKUP($M101,'1 b felosztások'!$A:$U,'1 b felosztások'!J$2,0)*$I101,0)</f>
        <v>-2884151.1753895297</v>
      </c>
      <c r="V101" s="166">
        <f>IFERROR(VLOOKUP($M101,'1 b felosztások'!$A:$U,'1 b felosztások'!K$2,0)*$I101,0)</f>
        <v>-3647409.2985071787</v>
      </c>
      <c r="W101" s="166">
        <f>IFERROR(VLOOKUP($M101,'1 b felosztások'!$A:$U,'1 b felosztások'!L$2,0)*$I101,0)</f>
        <v>-1148858.5703791773</v>
      </c>
      <c r="X101" s="166">
        <f>IFERROR(VLOOKUP($M101,'1 b felosztások'!$A:$U,'1 b felosztások'!M$2,0)*$I101,0)</f>
        <v>-1973510.9660625912</v>
      </c>
      <c r="Y101" s="166">
        <f>IFERROR(VLOOKUP($M101,'1 b felosztások'!$A:$U,'1 b felosztások'!N$2,0)*$I101,0)</f>
        <v>-3449572.849678555</v>
      </c>
      <c r="Z101" s="166">
        <f>IFERROR(VLOOKUP($M101,'1 b felosztások'!$A:$U,'1 b felosztások'!O$2,0)*$I101,0)</f>
        <v>-2495329.8923166078</v>
      </c>
      <c r="AA101" s="166">
        <f>IFERROR(VLOOKUP($M101,'1 b felosztások'!$A:$U,'1 b felosztások'!P$2,0)*$I101,0)</f>
        <v>-3532324.6444380358</v>
      </c>
      <c r="AB101" s="166">
        <f>IFERROR(VLOOKUP($M101,'1 b felosztások'!$A:$U,'1 b felosztások'!Q$2,0)*$I101,0)</f>
        <v>-691762.04621570953</v>
      </c>
      <c r="AC101" s="166">
        <f>IFERROR(VLOOKUP($M101,'1 b felosztások'!$A:$U,'1 b felosztások'!R$2,0)*$I101,0)</f>
        <v>-146950.88694604131</v>
      </c>
      <c r="AD101" s="166">
        <f>IFERROR(VLOOKUP($M101,'1 b felosztások'!$A:$U,'1 b felosztások'!S$2,0)*$I101,0)</f>
        <v>0</v>
      </c>
      <c r="AE101" s="166">
        <f>IFERROR(VLOOKUP($M101,'1 b felosztások'!$A:$U,'1 b felosztások'!T$2,0)*$I101,0)</f>
        <v>0</v>
      </c>
      <c r="AF101" s="181"/>
      <c r="AG101" s="181"/>
      <c r="AH101" s="181"/>
      <c r="AI101" s="181"/>
      <c r="AJ101" s="181"/>
      <c r="AK101" s="181"/>
      <c r="AL101" s="181"/>
      <c r="AM101" s="166"/>
      <c r="AN101" s="181"/>
      <c r="AO101" s="181"/>
      <c r="AP101" s="181">
        <f>-I101</f>
        <v>40180860</v>
      </c>
      <c r="AQ101" s="181"/>
      <c r="AR101" s="181"/>
      <c r="AS101" s="181"/>
      <c r="AT101" s="181"/>
      <c r="AU101" s="181"/>
      <c r="AV101" s="181"/>
      <c r="AW101" s="181"/>
      <c r="AX101" s="181"/>
      <c r="AY101" s="181"/>
      <c r="AZ101" s="183"/>
      <c r="BA101" s="183"/>
      <c r="BB101" s="183"/>
      <c r="BC101" s="183"/>
      <c r="BD101" s="183"/>
      <c r="BE101" s="183"/>
      <c r="BF101" s="183"/>
      <c r="BG101" s="183"/>
      <c r="BH101" s="183"/>
      <c r="BI101" s="183">
        <f t="shared" si="22"/>
        <v>-39342147.06683825</v>
      </c>
      <c r="BJ101" s="183">
        <f t="shared" si="23"/>
        <v>-691762.04621570953</v>
      </c>
      <c r="BK101" s="183">
        <f t="shared" si="24"/>
        <v>-146950.88694604131</v>
      </c>
      <c r="BL101" s="183">
        <f t="shared" si="25"/>
        <v>40180860</v>
      </c>
    </row>
    <row r="102" spans="1:64" s="184" customFormat="1" hidden="1" outlineLevel="1" collapsed="1" x14ac:dyDescent="0.3">
      <c r="A102" s="180" t="s">
        <v>2768</v>
      </c>
      <c r="B102" s="350" t="s">
        <v>2771</v>
      </c>
      <c r="C102" s="180" t="s">
        <v>82</v>
      </c>
      <c r="D102" s="180" t="s">
        <v>2932</v>
      </c>
      <c r="E102" s="350" t="s">
        <v>2771</v>
      </c>
      <c r="F102" s="180" t="s">
        <v>2791</v>
      </c>
      <c r="G102" s="185"/>
      <c r="H102" s="180" t="s">
        <v>2707</v>
      </c>
      <c r="I102" s="181">
        <f>IFERROR(VLOOKUP($A102,'Bevétel 2a SZH 2022'!$B:$M,MATCH($I$1,'Bevétel 2a SZH 2022'!$B$1:$M$1,0),0), )</f>
        <v>0</v>
      </c>
      <c r="J102" s="181">
        <f t="shared" si="29"/>
        <v>0</v>
      </c>
      <c r="K102" s="166">
        <f t="shared" si="46"/>
        <v>0</v>
      </c>
      <c r="L102" s="166">
        <f t="shared" si="30"/>
        <v>0</v>
      </c>
      <c r="M102" s="182"/>
      <c r="N102" s="181">
        <f>+N103+N106</f>
        <v>0</v>
      </c>
      <c r="O102" s="181">
        <f t="shared" ref="O102:Z102" si="47">+O103+O106</f>
        <v>0</v>
      </c>
      <c r="P102" s="181">
        <f t="shared" si="47"/>
        <v>0</v>
      </c>
      <c r="Q102" s="181">
        <f t="shared" si="47"/>
        <v>0</v>
      </c>
      <c r="R102" s="181">
        <f t="shared" si="47"/>
        <v>0</v>
      </c>
      <c r="S102" s="181">
        <f t="shared" si="47"/>
        <v>0</v>
      </c>
      <c r="T102" s="181">
        <f t="shared" si="47"/>
        <v>0</v>
      </c>
      <c r="U102" s="181">
        <f t="shared" si="47"/>
        <v>0</v>
      </c>
      <c r="V102" s="181">
        <f t="shared" si="47"/>
        <v>0</v>
      </c>
      <c r="W102" s="181">
        <f t="shared" si="47"/>
        <v>0</v>
      </c>
      <c r="X102" s="181">
        <f t="shared" si="47"/>
        <v>0</v>
      </c>
      <c r="Y102" s="181">
        <f t="shared" si="47"/>
        <v>0</v>
      </c>
      <c r="Z102" s="181">
        <f t="shared" si="47"/>
        <v>0</v>
      </c>
      <c r="AA102" s="181">
        <f>+AA103+AA106</f>
        <v>0</v>
      </c>
      <c r="AB102" s="181">
        <f>+AB103+AB106</f>
        <v>0</v>
      </c>
      <c r="AC102" s="181"/>
      <c r="AD102" s="181"/>
      <c r="AE102" s="181"/>
      <c r="AF102" s="181"/>
      <c r="AG102" s="181"/>
      <c r="AH102" s="181"/>
      <c r="AI102" s="181"/>
      <c r="AJ102" s="181"/>
      <c r="AK102" s="181"/>
      <c r="AL102" s="181"/>
      <c r="AM102" s="181"/>
      <c r="AN102" s="181"/>
      <c r="AO102" s="181"/>
      <c r="AP102" s="181"/>
      <c r="AQ102" s="181"/>
      <c r="AR102" s="181"/>
      <c r="AS102" s="181"/>
      <c r="AT102" s="181">
        <f>+AT103+AT106</f>
        <v>0</v>
      </c>
      <c r="AU102" s="181">
        <f>+AU103+AU106</f>
        <v>0</v>
      </c>
      <c r="AV102" s="181"/>
      <c r="AW102" s="181"/>
      <c r="AX102" s="181"/>
      <c r="AY102" s="181"/>
      <c r="AZ102" s="183"/>
      <c r="BA102" s="183"/>
      <c r="BB102" s="183"/>
      <c r="BC102" s="183"/>
      <c r="BD102" s="183"/>
      <c r="BE102" s="183"/>
      <c r="BF102" s="183"/>
      <c r="BG102" s="183"/>
      <c r="BH102" s="183"/>
      <c r="BI102" s="183">
        <f t="shared" si="22"/>
        <v>0</v>
      </c>
      <c r="BJ102" s="183">
        <f t="shared" si="23"/>
        <v>0</v>
      </c>
      <c r="BK102" s="183">
        <f t="shared" si="24"/>
        <v>0</v>
      </c>
      <c r="BL102" s="183">
        <f t="shared" si="25"/>
        <v>0</v>
      </c>
    </row>
    <row r="103" spans="1:64" s="184" customFormat="1" hidden="1" outlineLevel="2" x14ac:dyDescent="0.3">
      <c r="A103" s="180"/>
      <c r="B103" s="180"/>
      <c r="C103" s="180"/>
      <c r="D103" s="180"/>
      <c r="E103" s="180" t="s">
        <v>122</v>
      </c>
      <c r="F103" s="180"/>
      <c r="G103" s="185"/>
      <c r="H103" s="180" t="s">
        <v>2707</v>
      </c>
      <c r="I103" s="181">
        <f>-IFERROR(VLOOKUP($I$1,'12.c - folyórat'!$A:$B,2,0),0)</f>
        <v>0</v>
      </c>
      <c r="J103" s="181">
        <f t="shared" si="29"/>
        <v>0</v>
      </c>
      <c r="K103" s="166">
        <f t="shared" si="46"/>
        <v>0</v>
      </c>
      <c r="L103" s="166">
        <f t="shared" si="30"/>
        <v>0</v>
      </c>
      <c r="M103" s="182"/>
      <c r="N103" s="181">
        <f>SUM(N104:N105)</f>
        <v>0</v>
      </c>
      <c r="O103" s="181">
        <f>SUM(O104:O105)</f>
        <v>0</v>
      </c>
      <c r="P103" s="181">
        <f t="shared" ref="P103:Y103" si="48">SUM(P104:P105)</f>
        <v>0</v>
      </c>
      <c r="Q103" s="181">
        <f t="shared" si="48"/>
        <v>0</v>
      </c>
      <c r="R103" s="181">
        <f t="shared" si="48"/>
        <v>0</v>
      </c>
      <c r="S103" s="181">
        <f t="shared" si="48"/>
        <v>0</v>
      </c>
      <c r="T103" s="181">
        <f t="shared" si="48"/>
        <v>0</v>
      </c>
      <c r="U103" s="181">
        <f t="shared" si="48"/>
        <v>0</v>
      </c>
      <c r="V103" s="181">
        <f t="shared" si="48"/>
        <v>0</v>
      </c>
      <c r="W103" s="181">
        <f t="shared" si="48"/>
        <v>0</v>
      </c>
      <c r="X103" s="181">
        <f t="shared" si="48"/>
        <v>0</v>
      </c>
      <c r="Y103" s="181">
        <f t="shared" si="48"/>
        <v>0</v>
      </c>
      <c r="Z103" s="181">
        <f>SUM(Z104:Z105)</f>
        <v>0</v>
      </c>
      <c r="AA103" s="181">
        <f>SUM(AA104:AA105)</f>
        <v>0</v>
      </c>
      <c r="AB103" s="181">
        <f>SUM(AB104:AB105)</f>
        <v>0</v>
      </c>
      <c r="AC103" s="181"/>
      <c r="AD103" s="181"/>
      <c r="AE103" s="181"/>
      <c r="AF103" s="181"/>
      <c r="AG103" s="181"/>
      <c r="AH103" s="181"/>
      <c r="AI103" s="181"/>
      <c r="AJ103" s="181"/>
      <c r="AK103" s="181"/>
      <c r="AL103" s="181"/>
      <c r="AM103" s="181"/>
      <c r="AN103" s="181"/>
      <c r="AO103" s="181"/>
      <c r="AP103" s="181"/>
      <c r="AQ103" s="181"/>
      <c r="AR103" s="181"/>
      <c r="AS103" s="181"/>
      <c r="AT103" s="181">
        <f>SUM(AT104:AT105)</f>
        <v>0</v>
      </c>
      <c r="AU103" s="181"/>
      <c r="AV103" s="181"/>
      <c r="AW103" s="181"/>
      <c r="AX103" s="181"/>
      <c r="AY103" s="181"/>
      <c r="AZ103" s="183"/>
      <c r="BA103" s="183"/>
      <c r="BB103" s="183"/>
      <c r="BC103" s="183"/>
      <c r="BD103" s="183"/>
      <c r="BE103" s="183"/>
      <c r="BF103" s="183"/>
      <c r="BG103" s="183"/>
      <c r="BH103" s="183"/>
      <c r="BI103" s="183">
        <f t="shared" si="22"/>
        <v>0</v>
      </c>
      <c r="BJ103" s="183">
        <f t="shared" si="23"/>
        <v>0</v>
      </c>
      <c r="BK103" s="183">
        <f t="shared" si="24"/>
        <v>0</v>
      </c>
      <c r="BL103" s="183">
        <f t="shared" si="25"/>
        <v>0</v>
      </c>
    </row>
    <row r="104" spans="1:64" s="187" customFormat="1" hidden="1" outlineLevel="2" x14ac:dyDescent="0.3">
      <c r="A104" s="185"/>
      <c r="B104" s="185"/>
      <c r="C104" s="185"/>
      <c r="D104" s="185"/>
      <c r="E104" s="185" t="s">
        <v>3478</v>
      </c>
      <c r="F104" s="185" t="s">
        <v>82</v>
      </c>
      <c r="G104" s="185">
        <v>293</v>
      </c>
      <c r="H104" s="185" t="str">
        <f>IFERROR(VLOOKUP(G104,'2022. tervsor'!C:D,2,0)," ")</f>
        <v>SB Folyóiratok finanszírozása</v>
      </c>
      <c r="I104" s="202"/>
      <c r="J104" s="181">
        <f t="shared" si="29"/>
        <v>0</v>
      </c>
      <c r="K104" s="166">
        <f t="shared" si="46"/>
        <v>0</v>
      </c>
      <c r="L104" s="166">
        <f t="shared" si="30"/>
        <v>0</v>
      </c>
      <c r="M104" s="193">
        <v>7</v>
      </c>
      <c r="N104" s="166">
        <f>IFERROR(VLOOKUP($M104,'1 b felosztások'!$A:$E,'1 b felosztások'!C$2,0)*$I104,0)</f>
        <v>0</v>
      </c>
      <c r="O104" s="166">
        <f>IFERROR(VLOOKUP($M104,'1 b felosztások'!$A:$E,'1 b felosztások'!D$2,0)*$I104,0)</f>
        <v>0</v>
      </c>
      <c r="P104" s="166">
        <f>IFERROR(VLOOKUP($M104,'1 b felosztások'!$A:$E,'1 b felosztások'!E$2,0)*$I104,0)</f>
        <v>0</v>
      </c>
      <c r="Q104" s="166">
        <f>IFERROR(VLOOKUP($M104,'1 b felosztások'!$A:$E,'1 b felosztások'!F$2,0)*$I104,0)</f>
        <v>0</v>
      </c>
      <c r="R104" s="166">
        <f>IFERROR(VLOOKUP($M104,'1 b felosztások'!$A:$E,'1 b felosztások'!G$2,0)*$I104,0)</f>
        <v>0</v>
      </c>
      <c r="S104" s="166">
        <f>IFERROR(VLOOKUP($M104,'1 b felosztások'!$A:$E,'1 b felosztások'!H$2,0)*$I104,0)</f>
        <v>0</v>
      </c>
      <c r="T104" s="166">
        <f>IFERROR(VLOOKUP($M104,'1 b felosztások'!$A:$E,'1 b felosztások'!I$2,0)*$I104,0)</f>
        <v>0</v>
      </c>
      <c r="U104" s="166">
        <f>IFERROR(VLOOKUP($M104,'1 b felosztások'!$A:$E,'1 b felosztások'!J$2,0)*$I104,0)</f>
        <v>0</v>
      </c>
      <c r="V104" s="166">
        <f>IFERROR(VLOOKUP($M104,'1 b felosztások'!$A:$E,'1 b felosztások'!K$2,0)*$I104,0)</f>
        <v>0</v>
      </c>
      <c r="W104" s="166">
        <f>IFERROR(VLOOKUP($M104,'1 b felosztások'!$A:$E,'1 b felosztások'!L$2,0)*$I104,0)</f>
        <v>0</v>
      </c>
      <c r="X104" s="166">
        <f>IFERROR(VLOOKUP($M104,'1 b felosztások'!$A:$E,'1 b felosztások'!M$2,0)*$I104,0)</f>
        <v>0</v>
      </c>
      <c r="Y104" s="166">
        <f>IFERROR(VLOOKUP($M104,'1 b felosztások'!$A:$E,'1 b felosztások'!N$2,0)*$I104,0)</f>
        <v>0</v>
      </c>
      <c r="Z104" s="166">
        <f>IFERROR(VLOOKUP($M104,'1 b felosztások'!$A:$E,'1 b felosztások'!C$2,0)*$I104,0)</f>
        <v>0</v>
      </c>
      <c r="AA104" s="166">
        <f>IFERROR(VLOOKUP($M104,'1 b felosztások'!$A:$E,'1 b felosztások'!D$2,0)*$I104,0)</f>
        <v>0</v>
      </c>
      <c r="AB104" s="166">
        <f>IFERROR(VLOOKUP($M104,'1 b felosztások'!$A:$E,'1 b felosztások'!E$2,0)*$I104,0)</f>
        <v>0</v>
      </c>
      <c r="AC104" s="166"/>
      <c r="AD104" s="166"/>
      <c r="AE104" s="166"/>
      <c r="AF104" s="166"/>
      <c r="AG104" s="166"/>
      <c r="AH104" s="166"/>
      <c r="AI104" s="166"/>
      <c r="AJ104" s="166"/>
      <c r="AK104" s="166"/>
      <c r="AL104" s="166"/>
      <c r="AM104" s="166"/>
      <c r="AN104" s="166"/>
      <c r="AO104" s="166"/>
      <c r="AP104" s="166"/>
      <c r="AQ104" s="166"/>
      <c r="AR104" s="166"/>
      <c r="AS104" s="166"/>
      <c r="AT104" s="166">
        <f>-I104</f>
        <v>0</v>
      </c>
      <c r="AU104" s="166"/>
      <c r="AV104" s="166"/>
      <c r="AW104" s="166"/>
      <c r="AX104" s="166"/>
      <c r="AY104" s="166"/>
      <c r="AZ104" s="186"/>
      <c r="BA104" s="186"/>
      <c r="BB104" s="186"/>
      <c r="BC104" s="186"/>
      <c r="BD104" s="186"/>
      <c r="BE104" s="186"/>
      <c r="BF104" s="186"/>
      <c r="BG104" s="186"/>
      <c r="BH104" s="186"/>
      <c r="BI104" s="183">
        <f t="shared" ref="BI104:BI117" si="49">+SUM(N104:AA104)</f>
        <v>0</v>
      </c>
      <c r="BJ104" s="183">
        <f t="shared" ref="BJ104:BJ117" si="50">+AB104</f>
        <v>0</v>
      </c>
      <c r="BK104" s="183">
        <f t="shared" ref="BK104:BK117" si="51">+SUM(AC104:AM104)</f>
        <v>0</v>
      </c>
      <c r="BL104" s="183">
        <f t="shared" ref="BL104:BL117" si="52">+SUM(AN104:BH104)</f>
        <v>0</v>
      </c>
    </row>
    <row r="105" spans="1:64" s="187" customFormat="1" hidden="1" outlineLevel="2" x14ac:dyDescent="0.3">
      <c r="A105" s="185"/>
      <c r="B105" s="185"/>
      <c r="C105" s="185"/>
      <c r="D105" s="185"/>
      <c r="E105" s="185" t="s">
        <v>3479</v>
      </c>
      <c r="F105" s="185" t="s">
        <v>82</v>
      </c>
      <c r="G105" s="185">
        <v>340</v>
      </c>
      <c r="H105" s="185" t="str">
        <f>IFERROR(VLOOKUP(G105,'2022. tervsor'!C:D,2,0)," ")</f>
        <v>T Folyóiratok finanszírozása</v>
      </c>
      <c r="I105" s="202">
        <f>I103-I104</f>
        <v>0</v>
      </c>
      <c r="J105" s="181">
        <f t="shared" si="29"/>
        <v>0</v>
      </c>
      <c r="K105" s="166">
        <f t="shared" si="46"/>
        <v>0</v>
      </c>
      <c r="L105" s="166">
        <f t="shared" si="30"/>
        <v>0</v>
      </c>
      <c r="M105" s="193">
        <v>7</v>
      </c>
      <c r="N105" s="166">
        <f>IFERROR(VLOOKUP($M105,'1 b felosztások'!$A:$E,'1 b felosztások'!C$2,0)*$I105,0)</f>
        <v>0</v>
      </c>
      <c r="O105" s="166">
        <f>IFERROR(VLOOKUP($M105,'1 b felosztások'!$A:$E,'1 b felosztások'!D$2,0)*$I105,0)</f>
        <v>0</v>
      </c>
      <c r="P105" s="166">
        <f>IFERROR(VLOOKUP($M105,'1 b felosztások'!$A:$E,'1 b felosztások'!E$2,0)*$I105,0)</f>
        <v>0</v>
      </c>
      <c r="Q105" s="166">
        <f>IFERROR(VLOOKUP($M105,'1 b felosztások'!$A:$E,'1 b felosztások'!F$2,0)*$I105,0)</f>
        <v>0</v>
      </c>
      <c r="R105" s="166">
        <f>IFERROR(VLOOKUP($M105,'1 b felosztások'!$A:$E,'1 b felosztások'!G$2,0)*$I105,0)</f>
        <v>0</v>
      </c>
      <c r="S105" s="166">
        <f>IFERROR(VLOOKUP($M105,'1 b felosztások'!$A:$E,'1 b felosztások'!H$2,0)*$I105,0)</f>
        <v>0</v>
      </c>
      <c r="T105" s="166">
        <f>IFERROR(VLOOKUP($M105,'1 b felosztások'!$A:$E,'1 b felosztások'!I$2,0)*$I105,0)</f>
        <v>0</v>
      </c>
      <c r="U105" s="166">
        <f>IFERROR(VLOOKUP($M105,'1 b felosztások'!$A:$E,'1 b felosztások'!J$2,0)*$I105,0)</f>
        <v>0</v>
      </c>
      <c r="V105" s="166">
        <f>IFERROR(VLOOKUP($M105,'1 b felosztások'!$A:$E,'1 b felosztások'!K$2,0)*$I105,0)</f>
        <v>0</v>
      </c>
      <c r="W105" s="166">
        <f>IFERROR(VLOOKUP($M105,'1 b felosztások'!$A:$E,'1 b felosztások'!L$2,0)*$I105,0)</f>
        <v>0</v>
      </c>
      <c r="X105" s="166">
        <f>IFERROR(VLOOKUP($M105,'1 b felosztások'!$A:$E,'1 b felosztások'!M$2,0)*$I105,0)</f>
        <v>0</v>
      </c>
      <c r="Y105" s="166">
        <f>IFERROR(VLOOKUP($M105,'1 b felosztások'!$A:$E,'1 b felosztások'!N$2,0)*$I105,0)</f>
        <v>0</v>
      </c>
      <c r="Z105" s="166">
        <f>IFERROR(VLOOKUP($M105,'1 b felosztások'!$A:$E,'1 b felosztások'!C$2,0)*$I105,0)</f>
        <v>0</v>
      </c>
      <c r="AA105" s="166">
        <f>IFERROR(VLOOKUP($M105,'1 b felosztások'!$A:$E,'1 b felosztások'!D$2,0)*$I105,0)</f>
        <v>0</v>
      </c>
      <c r="AB105" s="166">
        <f>IFERROR(VLOOKUP($M105,'1 b felosztások'!$A:$E,'1 b felosztások'!E$2,0)*$I105,0)</f>
        <v>0</v>
      </c>
      <c r="AC105" s="166"/>
      <c r="AD105" s="166"/>
      <c r="AE105" s="166"/>
      <c r="AF105" s="166"/>
      <c r="AG105" s="166"/>
      <c r="AH105" s="166"/>
      <c r="AI105" s="166"/>
      <c r="AJ105" s="166"/>
      <c r="AK105" s="166"/>
      <c r="AL105" s="166"/>
      <c r="AM105" s="166"/>
      <c r="AN105" s="166"/>
      <c r="AO105" s="166"/>
      <c r="AP105" s="166"/>
      <c r="AQ105" s="166"/>
      <c r="AR105" s="166"/>
      <c r="AS105" s="166"/>
      <c r="AT105" s="166">
        <f>-I105</f>
        <v>0</v>
      </c>
      <c r="AU105" s="166"/>
      <c r="AV105" s="166"/>
      <c r="AW105" s="166"/>
      <c r="AX105" s="166"/>
      <c r="AY105" s="166"/>
      <c r="AZ105" s="186"/>
      <c r="BA105" s="186"/>
      <c r="BB105" s="186"/>
      <c r="BC105" s="186"/>
      <c r="BD105" s="186"/>
      <c r="BE105" s="186"/>
      <c r="BF105" s="186"/>
      <c r="BG105" s="186"/>
      <c r="BH105" s="186"/>
      <c r="BI105" s="183">
        <f t="shared" si="49"/>
        <v>0</v>
      </c>
      <c r="BJ105" s="183">
        <f t="shared" si="50"/>
        <v>0</v>
      </c>
      <c r="BK105" s="183">
        <f t="shared" si="51"/>
        <v>0</v>
      </c>
      <c r="BL105" s="183">
        <f t="shared" si="52"/>
        <v>0</v>
      </c>
    </row>
    <row r="106" spans="1:64" s="184" customFormat="1" hidden="1" outlineLevel="2" x14ac:dyDescent="0.3">
      <c r="A106" s="180"/>
      <c r="B106" s="180"/>
      <c r="C106" s="180"/>
      <c r="D106" s="180"/>
      <c r="E106" s="180" t="s">
        <v>123</v>
      </c>
      <c r="F106" s="180"/>
      <c r="G106" s="185"/>
      <c r="H106" s="180" t="s">
        <v>2707</v>
      </c>
      <c r="I106" s="181">
        <f>-IFERROR(VLOOKUP($I$1,'12.c - folyórat'!$D:$G,4,0),0)</f>
        <v>0</v>
      </c>
      <c r="J106" s="181">
        <f t="shared" si="29"/>
        <v>0</v>
      </c>
      <c r="K106" s="166">
        <f t="shared" si="46"/>
        <v>0</v>
      </c>
      <c r="L106" s="166">
        <f t="shared" si="30"/>
        <v>0</v>
      </c>
      <c r="M106" s="182"/>
      <c r="N106" s="181">
        <f>SUM(N107:N108)</f>
        <v>0</v>
      </c>
      <c r="O106" s="181">
        <f>SUM(O107:O108)</f>
        <v>0</v>
      </c>
      <c r="P106" s="181">
        <f t="shared" ref="P106:Y106" si="53">SUM(P107:P108)</f>
        <v>0</v>
      </c>
      <c r="Q106" s="181">
        <f t="shared" si="53"/>
        <v>0</v>
      </c>
      <c r="R106" s="181">
        <f t="shared" si="53"/>
        <v>0</v>
      </c>
      <c r="S106" s="181">
        <f t="shared" si="53"/>
        <v>0</v>
      </c>
      <c r="T106" s="181">
        <f t="shared" si="53"/>
        <v>0</v>
      </c>
      <c r="U106" s="181">
        <f t="shared" si="53"/>
        <v>0</v>
      </c>
      <c r="V106" s="181">
        <f t="shared" si="53"/>
        <v>0</v>
      </c>
      <c r="W106" s="181">
        <f t="shared" si="53"/>
        <v>0</v>
      </c>
      <c r="X106" s="181">
        <f t="shared" si="53"/>
        <v>0</v>
      </c>
      <c r="Y106" s="181">
        <f t="shared" si="53"/>
        <v>0</v>
      </c>
      <c r="Z106" s="181">
        <f>SUM(Z107:Z108)</f>
        <v>0</v>
      </c>
      <c r="AA106" s="181">
        <f>SUM(AA107:AA108)</f>
        <v>0</v>
      </c>
      <c r="AB106" s="181">
        <f>SUM(AB107:AB108)</f>
        <v>0</v>
      </c>
      <c r="AC106" s="181"/>
      <c r="AD106" s="181"/>
      <c r="AE106" s="181"/>
      <c r="AF106" s="181"/>
      <c r="AG106" s="181"/>
      <c r="AH106" s="181"/>
      <c r="AI106" s="181"/>
      <c r="AJ106" s="181"/>
      <c r="AK106" s="181"/>
      <c r="AL106" s="181"/>
      <c r="AM106" s="181"/>
      <c r="AN106" s="181"/>
      <c r="AO106" s="181"/>
      <c r="AP106" s="181"/>
      <c r="AQ106" s="181"/>
      <c r="AR106" s="181"/>
      <c r="AS106" s="181"/>
      <c r="AT106" s="181"/>
      <c r="AU106" s="181">
        <f>SUM(AU107:AU108)</f>
        <v>0</v>
      </c>
      <c r="AV106" s="181"/>
      <c r="AW106" s="181"/>
      <c r="AX106" s="181"/>
      <c r="AY106" s="181"/>
      <c r="AZ106" s="183"/>
      <c r="BA106" s="183"/>
      <c r="BB106" s="183"/>
      <c r="BC106" s="183"/>
      <c r="BD106" s="183"/>
      <c r="BE106" s="183"/>
      <c r="BF106" s="183"/>
      <c r="BG106" s="183"/>
      <c r="BH106" s="183"/>
      <c r="BI106" s="183">
        <f t="shared" si="49"/>
        <v>0</v>
      </c>
      <c r="BJ106" s="183">
        <f t="shared" si="50"/>
        <v>0</v>
      </c>
      <c r="BK106" s="183">
        <f t="shared" si="51"/>
        <v>0</v>
      </c>
      <c r="BL106" s="183">
        <f t="shared" si="52"/>
        <v>0</v>
      </c>
    </row>
    <row r="107" spans="1:64" s="187" customFormat="1" hidden="1" outlineLevel="2" x14ac:dyDescent="0.3">
      <c r="A107" s="185"/>
      <c r="B107" s="185"/>
      <c r="C107" s="185"/>
      <c r="D107" s="185"/>
      <c r="E107" s="185" t="s">
        <v>3478</v>
      </c>
      <c r="F107" s="185" t="s">
        <v>82</v>
      </c>
      <c r="G107" s="185">
        <v>293</v>
      </c>
      <c r="H107" s="185" t="str">
        <f>IFERROR(VLOOKUP(G107,'2022. tervsor'!C:D,2,0)," ")</f>
        <v>SB Folyóiratok finanszírozása</v>
      </c>
      <c r="I107" s="202">
        <f>+I106*0</f>
        <v>0</v>
      </c>
      <c r="J107" s="181">
        <f t="shared" si="29"/>
        <v>0</v>
      </c>
      <c r="K107" s="166">
        <f t="shared" si="46"/>
        <v>0</v>
      </c>
      <c r="L107" s="166">
        <f t="shared" si="30"/>
        <v>0</v>
      </c>
      <c r="M107" s="193">
        <v>7</v>
      </c>
      <c r="N107" s="166">
        <f>IFERROR(VLOOKUP($M107,'1 b felosztások'!$A:$E,'1 b felosztások'!C$2,0)*$I107,0)</f>
        <v>0</v>
      </c>
      <c r="O107" s="166">
        <f>IFERROR(VLOOKUP($M107,'1 b felosztások'!$A:$E,'1 b felosztások'!D$2,0)*$I107,0)</f>
        <v>0</v>
      </c>
      <c r="P107" s="166">
        <f>IFERROR(VLOOKUP($M107,'1 b felosztások'!$A:$E,'1 b felosztások'!E$2,0)*$I107,0)</f>
        <v>0</v>
      </c>
      <c r="Q107" s="166">
        <f>IFERROR(VLOOKUP($M107,'1 b felosztások'!$A:$E,'1 b felosztások'!F$2,0)*$I107,0)</f>
        <v>0</v>
      </c>
      <c r="R107" s="166">
        <f>IFERROR(VLOOKUP($M107,'1 b felosztások'!$A:$E,'1 b felosztások'!G$2,0)*$I107,0)</f>
        <v>0</v>
      </c>
      <c r="S107" s="166">
        <f>IFERROR(VLOOKUP($M107,'1 b felosztások'!$A:$E,'1 b felosztások'!H$2,0)*$I107,0)</f>
        <v>0</v>
      </c>
      <c r="T107" s="166">
        <f>IFERROR(VLOOKUP($M107,'1 b felosztások'!$A:$E,'1 b felosztások'!I$2,0)*$I107,0)</f>
        <v>0</v>
      </c>
      <c r="U107" s="166">
        <f>IFERROR(VLOOKUP($M107,'1 b felosztások'!$A:$E,'1 b felosztások'!J$2,0)*$I107,0)</f>
        <v>0</v>
      </c>
      <c r="V107" s="166">
        <f>IFERROR(VLOOKUP($M107,'1 b felosztások'!$A:$E,'1 b felosztások'!K$2,0)*$I107,0)</f>
        <v>0</v>
      </c>
      <c r="W107" s="166">
        <f>IFERROR(VLOOKUP($M107,'1 b felosztások'!$A:$E,'1 b felosztások'!L$2,0)*$I107,0)</f>
        <v>0</v>
      </c>
      <c r="X107" s="166">
        <f>IFERROR(VLOOKUP($M107,'1 b felosztások'!$A:$E,'1 b felosztások'!M$2,0)*$I107,0)</f>
        <v>0</v>
      </c>
      <c r="Y107" s="166">
        <f>IFERROR(VLOOKUP($M107,'1 b felosztások'!$A:$E,'1 b felosztások'!N$2,0)*$I107,0)</f>
        <v>0</v>
      </c>
      <c r="Z107" s="166">
        <f>IFERROR(VLOOKUP($M107,'1 b felosztások'!$A:$E,'1 b felosztások'!C$2,0)*$I107,0)</f>
        <v>0</v>
      </c>
      <c r="AA107" s="166">
        <f>IFERROR(VLOOKUP($M107,'1 b felosztások'!$A:$E,'1 b felosztások'!D$2,0)*$I107,0)</f>
        <v>0</v>
      </c>
      <c r="AB107" s="166">
        <f>IFERROR(VLOOKUP($M107,'1 b felosztások'!$A:$E,'1 b felosztások'!E$2,0)*$I107,0)</f>
        <v>0</v>
      </c>
      <c r="AC107" s="166"/>
      <c r="AD107" s="166"/>
      <c r="AE107" s="166"/>
      <c r="AF107" s="166"/>
      <c r="AG107" s="166"/>
      <c r="AH107" s="166"/>
      <c r="AI107" s="166"/>
      <c r="AJ107" s="166"/>
      <c r="AK107" s="166"/>
      <c r="AL107" s="166"/>
      <c r="AM107" s="166"/>
      <c r="AN107" s="166"/>
      <c r="AO107" s="166"/>
      <c r="AP107" s="166"/>
      <c r="AQ107" s="166"/>
      <c r="AR107" s="166"/>
      <c r="AS107" s="166"/>
      <c r="AT107" s="166"/>
      <c r="AU107" s="166">
        <f>-I107</f>
        <v>0</v>
      </c>
      <c r="AV107" s="166"/>
      <c r="AW107" s="166"/>
      <c r="AX107" s="166"/>
      <c r="AY107" s="166"/>
      <c r="AZ107" s="186"/>
      <c r="BA107" s="186"/>
      <c r="BB107" s="186"/>
      <c r="BC107" s="186"/>
      <c r="BD107" s="186"/>
      <c r="BE107" s="186"/>
      <c r="BF107" s="186"/>
      <c r="BG107" s="186"/>
      <c r="BH107" s="186"/>
      <c r="BI107" s="183">
        <f t="shared" si="49"/>
        <v>0</v>
      </c>
      <c r="BJ107" s="183">
        <f t="shared" si="50"/>
        <v>0</v>
      </c>
      <c r="BK107" s="183">
        <f t="shared" si="51"/>
        <v>0</v>
      </c>
      <c r="BL107" s="183">
        <f t="shared" si="52"/>
        <v>0</v>
      </c>
    </row>
    <row r="108" spans="1:64" s="187" customFormat="1" hidden="1" outlineLevel="2" x14ac:dyDescent="0.3">
      <c r="A108" s="185"/>
      <c r="B108" s="185"/>
      <c r="C108" s="185"/>
      <c r="D108" s="185"/>
      <c r="E108" s="185" t="s">
        <v>3479</v>
      </c>
      <c r="F108" s="185" t="s">
        <v>82</v>
      </c>
      <c r="G108" s="185">
        <v>340</v>
      </c>
      <c r="H108" s="185" t="str">
        <f>IFERROR(VLOOKUP(G108,'2022. tervsor'!C:D,2,0)," ")</f>
        <v>T Folyóiratok finanszírozása</v>
      </c>
      <c r="I108" s="202">
        <f>I106-I107</f>
        <v>0</v>
      </c>
      <c r="J108" s="181">
        <f t="shared" si="29"/>
        <v>0</v>
      </c>
      <c r="K108" s="166">
        <f t="shared" si="46"/>
        <v>0</v>
      </c>
      <c r="L108" s="166">
        <f t="shared" si="30"/>
        <v>0</v>
      </c>
      <c r="M108" s="193">
        <v>7</v>
      </c>
      <c r="N108" s="166">
        <f>IFERROR(VLOOKUP($M108,'1 b felosztások'!$A:$E,'1 b felosztások'!C$2,0)*$I108,0)</f>
        <v>0</v>
      </c>
      <c r="O108" s="166">
        <f>IFERROR(VLOOKUP($M108,'1 b felosztások'!$A:$E,'1 b felosztások'!D$2,0)*$I108,0)</f>
        <v>0</v>
      </c>
      <c r="P108" s="166">
        <f>IFERROR(VLOOKUP($M108,'1 b felosztások'!$A:$E,'1 b felosztások'!E$2,0)*$I108,0)</f>
        <v>0</v>
      </c>
      <c r="Q108" s="166">
        <f>IFERROR(VLOOKUP($M108,'1 b felosztások'!$A:$E,'1 b felosztások'!F$2,0)*$I108,0)</f>
        <v>0</v>
      </c>
      <c r="R108" s="166">
        <f>IFERROR(VLOOKUP($M108,'1 b felosztások'!$A:$E,'1 b felosztások'!G$2,0)*$I108,0)</f>
        <v>0</v>
      </c>
      <c r="S108" s="166">
        <f>IFERROR(VLOOKUP($M108,'1 b felosztások'!$A:$E,'1 b felosztások'!H$2,0)*$I108,0)</f>
        <v>0</v>
      </c>
      <c r="T108" s="166">
        <f>IFERROR(VLOOKUP($M108,'1 b felosztások'!$A:$E,'1 b felosztások'!I$2,0)*$I108,0)</f>
        <v>0</v>
      </c>
      <c r="U108" s="166">
        <f>IFERROR(VLOOKUP($M108,'1 b felosztások'!$A:$E,'1 b felosztások'!J$2,0)*$I108,0)</f>
        <v>0</v>
      </c>
      <c r="V108" s="166">
        <f>IFERROR(VLOOKUP($M108,'1 b felosztások'!$A:$E,'1 b felosztások'!K$2,0)*$I108,0)</f>
        <v>0</v>
      </c>
      <c r="W108" s="166">
        <f>IFERROR(VLOOKUP($M108,'1 b felosztások'!$A:$E,'1 b felosztások'!L$2,0)*$I108,0)</f>
        <v>0</v>
      </c>
      <c r="X108" s="166">
        <f>IFERROR(VLOOKUP($M108,'1 b felosztások'!$A:$E,'1 b felosztások'!M$2,0)*$I108,0)</f>
        <v>0</v>
      </c>
      <c r="Y108" s="166">
        <f>IFERROR(VLOOKUP($M108,'1 b felosztások'!$A:$E,'1 b felosztások'!N$2,0)*$I108,0)</f>
        <v>0</v>
      </c>
      <c r="Z108" s="166">
        <f>IFERROR(VLOOKUP($M108,'1 b felosztások'!$A:$E,'1 b felosztások'!C$2,0)*$I108,0)</f>
        <v>0</v>
      </c>
      <c r="AA108" s="166">
        <f>IFERROR(VLOOKUP($M108,'1 b felosztások'!$A:$E,'1 b felosztások'!D$2,0)*$I108,0)</f>
        <v>0</v>
      </c>
      <c r="AB108" s="166">
        <f>IFERROR(VLOOKUP($M108,'1 b felosztások'!$A:$E,'1 b felosztások'!E$2,0)*$I108,0)</f>
        <v>0</v>
      </c>
      <c r="AC108" s="166"/>
      <c r="AD108" s="166"/>
      <c r="AE108" s="166"/>
      <c r="AF108" s="166"/>
      <c r="AG108" s="166"/>
      <c r="AH108" s="166"/>
      <c r="AI108" s="166"/>
      <c r="AJ108" s="166"/>
      <c r="AK108" s="166"/>
      <c r="AL108" s="166"/>
      <c r="AM108" s="166"/>
      <c r="AN108" s="166"/>
      <c r="AO108" s="166"/>
      <c r="AP108" s="166"/>
      <c r="AQ108" s="166"/>
      <c r="AR108" s="166"/>
      <c r="AS108" s="166"/>
      <c r="AT108" s="166"/>
      <c r="AU108" s="166">
        <f>-I108</f>
        <v>0</v>
      </c>
      <c r="AV108" s="166"/>
      <c r="AW108" s="166"/>
      <c r="AX108" s="166"/>
      <c r="AY108" s="166"/>
      <c r="AZ108" s="186"/>
      <c r="BA108" s="186"/>
      <c r="BB108" s="186"/>
      <c r="BC108" s="186"/>
      <c r="BD108" s="186"/>
      <c r="BE108" s="186"/>
      <c r="BF108" s="186"/>
      <c r="BG108" s="186"/>
      <c r="BH108" s="186"/>
      <c r="BI108" s="183">
        <f t="shared" si="49"/>
        <v>0</v>
      </c>
      <c r="BJ108" s="183">
        <f t="shared" si="50"/>
        <v>0</v>
      </c>
      <c r="BK108" s="183">
        <f t="shared" si="51"/>
        <v>0</v>
      </c>
      <c r="BL108" s="183">
        <f t="shared" si="52"/>
        <v>0</v>
      </c>
    </row>
    <row r="109" spans="1:64" s="187" customFormat="1" hidden="1" outlineLevel="1" collapsed="1" x14ac:dyDescent="0.3">
      <c r="A109" s="203" t="s">
        <v>2769</v>
      </c>
      <c r="B109" s="351" t="s">
        <v>2772</v>
      </c>
      <c r="C109" s="201" t="s">
        <v>82</v>
      </c>
      <c r="D109" s="201" t="s">
        <v>2933</v>
      </c>
      <c r="E109" s="351" t="s">
        <v>2772</v>
      </c>
      <c r="F109" s="180" t="s">
        <v>2791</v>
      </c>
      <c r="G109" s="185"/>
      <c r="H109" s="180" t="s">
        <v>2707</v>
      </c>
      <c r="I109" s="181">
        <f>IFERROR(VLOOKUP($A109,'Bevétel 2a SZH 2022'!$B:$M,MATCH($I$1,'Bevétel 2a SZH 2022'!$B$1:$M$1,0),0), )</f>
        <v>0</v>
      </c>
      <c r="J109" s="181">
        <f t="shared" si="29"/>
        <v>0</v>
      </c>
      <c r="K109" s="166">
        <f t="shared" ref="K109:K114" si="54">+I109-J109</f>
        <v>0</v>
      </c>
      <c r="L109" s="166">
        <f t="shared" si="30"/>
        <v>0</v>
      </c>
      <c r="M109" s="182"/>
      <c r="N109" s="181">
        <f>SUM(N110:N111)</f>
        <v>0</v>
      </c>
      <c r="O109" s="181">
        <f>SUM(O110:O111)</f>
        <v>0</v>
      </c>
      <c r="P109" s="181">
        <f t="shared" ref="P109:Y109" si="55">SUM(P110:P111)</f>
        <v>0</v>
      </c>
      <c r="Q109" s="181">
        <f t="shared" si="55"/>
        <v>0</v>
      </c>
      <c r="R109" s="181">
        <f t="shared" si="55"/>
        <v>0</v>
      </c>
      <c r="S109" s="181">
        <f t="shared" si="55"/>
        <v>0</v>
      </c>
      <c r="T109" s="181">
        <f t="shared" si="55"/>
        <v>0</v>
      </c>
      <c r="U109" s="181">
        <f t="shared" si="55"/>
        <v>0</v>
      </c>
      <c r="V109" s="181">
        <f t="shared" si="55"/>
        <v>0</v>
      </c>
      <c r="W109" s="181">
        <f t="shared" si="55"/>
        <v>0</v>
      </c>
      <c r="X109" s="181">
        <f t="shared" si="55"/>
        <v>0</v>
      </c>
      <c r="Y109" s="181">
        <f t="shared" si="55"/>
        <v>0</v>
      </c>
      <c r="Z109" s="181">
        <f>SUM(Z110:Z111)</f>
        <v>0</v>
      </c>
      <c r="AA109" s="181">
        <f>SUM(AA110:AA111)</f>
        <v>0</v>
      </c>
      <c r="AB109" s="181">
        <f>SUM(AB110:AB111)</f>
        <v>0</v>
      </c>
      <c r="AC109" s="166"/>
      <c r="AD109" s="166"/>
      <c r="AE109" s="166"/>
      <c r="AF109" s="166"/>
      <c r="AG109" s="166"/>
      <c r="AH109" s="166"/>
      <c r="AI109" s="166"/>
      <c r="AJ109" s="166"/>
      <c r="AK109" s="166"/>
      <c r="AL109" s="166"/>
      <c r="AM109" s="166"/>
      <c r="AN109" s="166"/>
      <c r="AO109" s="166"/>
      <c r="AP109" s="166"/>
      <c r="AQ109" s="166"/>
      <c r="AR109" s="166"/>
      <c r="AS109" s="166">
        <f>SUM(AS110:AS111)</f>
        <v>0</v>
      </c>
      <c r="AT109" s="166"/>
      <c r="AU109" s="166"/>
      <c r="AV109" s="166"/>
      <c r="AW109" s="166"/>
      <c r="AX109" s="166"/>
      <c r="AY109" s="166"/>
      <c r="AZ109" s="186"/>
      <c r="BA109" s="186"/>
      <c r="BB109" s="186"/>
      <c r="BC109" s="186"/>
      <c r="BD109" s="186"/>
      <c r="BE109" s="186"/>
      <c r="BF109" s="186"/>
      <c r="BG109" s="186"/>
      <c r="BH109" s="186"/>
      <c r="BI109" s="183">
        <f t="shared" si="49"/>
        <v>0</v>
      </c>
      <c r="BJ109" s="183">
        <f t="shared" si="50"/>
        <v>0</v>
      </c>
      <c r="BK109" s="183">
        <f t="shared" si="51"/>
        <v>0</v>
      </c>
      <c r="BL109" s="183">
        <f t="shared" si="52"/>
        <v>0</v>
      </c>
    </row>
    <row r="110" spans="1:64" s="187" customFormat="1" hidden="1" outlineLevel="2" x14ac:dyDescent="0.3">
      <c r="A110" s="204"/>
      <c r="B110" s="204"/>
      <c r="C110" s="204"/>
      <c r="D110" s="204"/>
      <c r="E110" s="185" t="s">
        <v>2811</v>
      </c>
      <c r="F110" s="185" t="s">
        <v>82</v>
      </c>
      <c r="G110" s="185">
        <v>293</v>
      </c>
      <c r="H110" s="185" t="str">
        <f>IFERROR(VLOOKUP(G110,'2022. tervsor'!C:D,2,0)," ")</f>
        <v>SB Folyóiratok finanszírozása</v>
      </c>
      <c r="I110" s="202">
        <f>+I109/2</f>
        <v>0</v>
      </c>
      <c r="J110" s="181">
        <f t="shared" si="29"/>
        <v>0</v>
      </c>
      <c r="K110" s="166">
        <f t="shared" si="54"/>
        <v>0</v>
      </c>
      <c r="L110" s="166">
        <f t="shared" si="30"/>
        <v>0</v>
      </c>
      <c r="M110" s="193">
        <v>7</v>
      </c>
      <c r="N110" s="166">
        <f>IFERROR(VLOOKUP($M110,'1 b felosztások'!$A:$E,'1 b felosztások'!C$2,0)*$I110,0)</f>
        <v>0</v>
      </c>
      <c r="O110" s="166">
        <f>IFERROR(VLOOKUP($M110,'1 b felosztások'!$A:$E,'1 b felosztások'!D$2,0)*$I110,0)</f>
        <v>0</v>
      </c>
      <c r="P110" s="166">
        <f>IFERROR(VLOOKUP($M110,'1 b felosztások'!$A:$E,'1 b felosztások'!E$2,0)*$I110,0)</f>
        <v>0</v>
      </c>
      <c r="Q110" s="166">
        <f>IFERROR(VLOOKUP($M110,'1 b felosztások'!$A:$E,'1 b felosztások'!F$2,0)*$I110,0)</f>
        <v>0</v>
      </c>
      <c r="R110" s="166">
        <f>IFERROR(VLOOKUP($M110,'1 b felosztások'!$A:$E,'1 b felosztások'!G$2,0)*$I110,0)</f>
        <v>0</v>
      </c>
      <c r="S110" s="166">
        <f>IFERROR(VLOOKUP($M110,'1 b felosztások'!$A:$E,'1 b felosztások'!H$2,0)*$I110,0)</f>
        <v>0</v>
      </c>
      <c r="T110" s="166">
        <f>IFERROR(VLOOKUP($M110,'1 b felosztások'!$A:$E,'1 b felosztások'!I$2,0)*$I110,0)</f>
        <v>0</v>
      </c>
      <c r="U110" s="166">
        <f>IFERROR(VLOOKUP($M110,'1 b felosztások'!$A:$E,'1 b felosztások'!J$2,0)*$I110,0)</f>
        <v>0</v>
      </c>
      <c r="V110" s="166">
        <f>IFERROR(VLOOKUP($M110,'1 b felosztások'!$A:$E,'1 b felosztások'!K$2,0)*$I110,0)</f>
        <v>0</v>
      </c>
      <c r="W110" s="166">
        <f>IFERROR(VLOOKUP($M110,'1 b felosztások'!$A:$E,'1 b felosztások'!L$2,0)*$I110,0)</f>
        <v>0</v>
      </c>
      <c r="X110" s="166">
        <f>IFERROR(VLOOKUP($M110,'1 b felosztások'!$A:$E,'1 b felosztások'!M$2,0)*$I110,0)</f>
        <v>0</v>
      </c>
      <c r="Y110" s="166">
        <f>IFERROR(VLOOKUP($M110,'1 b felosztások'!$A:$E,'1 b felosztások'!N$2,0)*$I110,0)</f>
        <v>0</v>
      </c>
      <c r="Z110" s="166">
        <f>IFERROR(VLOOKUP($M110,'1 b felosztások'!$A:$E,'1 b felosztások'!C$2,0)*$I110,0)</f>
        <v>0</v>
      </c>
      <c r="AA110" s="166">
        <f>IFERROR(VLOOKUP($M110,'1 b felosztások'!$A:$E,'1 b felosztások'!D$2,0)*$I110,0)</f>
        <v>0</v>
      </c>
      <c r="AB110" s="166">
        <f>IFERROR(VLOOKUP($M110,'1 b felosztások'!$A:$E,'1 b felosztások'!E$2,0)*$I110,0)</f>
        <v>0</v>
      </c>
      <c r="AC110" s="166"/>
      <c r="AD110" s="166"/>
      <c r="AE110" s="166"/>
      <c r="AF110" s="166"/>
      <c r="AG110" s="166"/>
      <c r="AH110" s="166"/>
      <c r="AI110" s="166"/>
      <c r="AJ110" s="166"/>
      <c r="AK110" s="166"/>
      <c r="AL110" s="166"/>
      <c r="AM110" s="166"/>
      <c r="AN110" s="166"/>
      <c r="AO110" s="166"/>
      <c r="AP110" s="166"/>
      <c r="AQ110" s="166"/>
      <c r="AR110" s="166"/>
      <c r="AS110" s="166">
        <f>-I110</f>
        <v>0</v>
      </c>
      <c r="AT110" s="166"/>
      <c r="AU110" s="166"/>
      <c r="AV110" s="166"/>
      <c r="AW110" s="166"/>
      <c r="AX110" s="166"/>
      <c r="AY110" s="166"/>
      <c r="AZ110" s="186"/>
      <c r="BA110" s="186"/>
      <c r="BB110" s="186"/>
      <c r="BC110" s="186"/>
      <c r="BD110" s="186"/>
      <c r="BE110" s="186"/>
      <c r="BF110" s="186"/>
      <c r="BG110" s="186"/>
      <c r="BH110" s="186"/>
      <c r="BI110" s="183">
        <f t="shared" si="49"/>
        <v>0</v>
      </c>
      <c r="BJ110" s="183">
        <f t="shared" si="50"/>
        <v>0</v>
      </c>
      <c r="BK110" s="183">
        <f t="shared" si="51"/>
        <v>0</v>
      </c>
      <c r="BL110" s="183">
        <f t="shared" si="52"/>
        <v>0</v>
      </c>
    </row>
    <row r="111" spans="1:64" s="187" customFormat="1" hidden="1" outlineLevel="2" x14ac:dyDescent="0.3">
      <c r="A111" s="204"/>
      <c r="B111" s="204"/>
      <c r="C111" s="204"/>
      <c r="D111" s="204"/>
      <c r="E111" s="185" t="s">
        <v>2812</v>
      </c>
      <c r="F111" s="185" t="s">
        <v>82</v>
      </c>
      <c r="G111" s="185">
        <v>340</v>
      </c>
      <c r="H111" s="185" t="str">
        <f>IFERROR(VLOOKUP(G111,'2022. tervsor'!C:D,2,0)," ")</f>
        <v>T Folyóiratok finanszírozása</v>
      </c>
      <c r="I111" s="202">
        <f>+I109-I110</f>
        <v>0</v>
      </c>
      <c r="J111" s="181">
        <f t="shared" si="29"/>
        <v>0</v>
      </c>
      <c r="K111" s="166">
        <f t="shared" si="54"/>
        <v>0</v>
      </c>
      <c r="L111" s="166">
        <f t="shared" si="30"/>
        <v>0</v>
      </c>
      <c r="M111" s="193">
        <v>7</v>
      </c>
      <c r="N111" s="166">
        <f>IFERROR(VLOOKUP($M111,'1 b felosztások'!$A:$E,'1 b felosztások'!C$2,0)*$I111,0)</f>
        <v>0</v>
      </c>
      <c r="O111" s="166">
        <f>IFERROR(VLOOKUP($M111,'1 b felosztások'!$A:$E,'1 b felosztások'!D$2,0)*$I111,0)</f>
        <v>0</v>
      </c>
      <c r="P111" s="166">
        <f>IFERROR(VLOOKUP($M111,'1 b felosztások'!$A:$E,'1 b felosztások'!E$2,0)*$I111,0)</f>
        <v>0</v>
      </c>
      <c r="Q111" s="166">
        <f>IFERROR(VLOOKUP($M111,'1 b felosztások'!$A:$E,'1 b felosztások'!F$2,0)*$I111,0)</f>
        <v>0</v>
      </c>
      <c r="R111" s="166">
        <f>IFERROR(VLOOKUP($M111,'1 b felosztások'!$A:$E,'1 b felosztások'!G$2,0)*$I111,0)</f>
        <v>0</v>
      </c>
      <c r="S111" s="166">
        <f>IFERROR(VLOOKUP($M111,'1 b felosztások'!$A:$E,'1 b felosztások'!H$2,0)*$I111,0)</f>
        <v>0</v>
      </c>
      <c r="T111" s="166">
        <f>IFERROR(VLOOKUP($M111,'1 b felosztások'!$A:$E,'1 b felosztások'!I$2,0)*$I111,0)</f>
        <v>0</v>
      </c>
      <c r="U111" s="166">
        <f>IFERROR(VLOOKUP($M111,'1 b felosztások'!$A:$E,'1 b felosztások'!J$2,0)*$I111,0)</f>
        <v>0</v>
      </c>
      <c r="V111" s="166">
        <f>IFERROR(VLOOKUP($M111,'1 b felosztások'!$A:$E,'1 b felosztások'!K$2,0)*$I111,0)</f>
        <v>0</v>
      </c>
      <c r="W111" s="166">
        <f>IFERROR(VLOOKUP($M111,'1 b felosztások'!$A:$E,'1 b felosztások'!L$2,0)*$I111,0)</f>
        <v>0</v>
      </c>
      <c r="X111" s="166">
        <f>IFERROR(VLOOKUP($M111,'1 b felosztások'!$A:$E,'1 b felosztások'!M$2,0)*$I111,0)</f>
        <v>0</v>
      </c>
      <c r="Y111" s="166">
        <f>IFERROR(VLOOKUP($M111,'1 b felosztások'!$A:$E,'1 b felosztások'!N$2,0)*$I111,0)</f>
        <v>0</v>
      </c>
      <c r="Z111" s="166">
        <f>IFERROR(VLOOKUP($M111,'1 b felosztások'!$A:$E,'1 b felosztások'!C$2,0)*$I111,0)</f>
        <v>0</v>
      </c>
      <c r="AA111" s="166">
        <f>IFERROR(VLOOKUP($M111,'1 b felosztások'!$A:$E,'1 b felosztások'!D$2,0)*$I111,0)</f>
        <v>0</v>
      </c>
      <c r="AB111" s="166">
        <f>IFERROR(VLOOKUP($M111,'1 b felosztások'!$A:$E,'1 b felosztások'!E$2,0)*$I111,0)</f>
        <v>0</v>
      </c>
      <c r="AC111" s="166"/>
      <c r="AD111" s="166"/>
      <c r="AE111" s="166"/>
      <c r="AF111" s="166"/>
      <c r="AG111" s="166"/>
      <c r="AH111" s="166"/>
      <c r="AI111" s="166"/>
      <c r="AJ111" s="166"/>
      <c r="AK111" s="166"/>
      <c r="AL111" s="166"/>
      <c r="AM111" s="166"/>
      <c r="AN111" s="166"/>
      <c r="AO111" s="166"/>
      <c r="AP111" s="166"/>
      <c r="AQ111" s="166"/>
      <c r="AR111" s="166"/>
      <c r="AS111" s="166">
        <f>-I111</f>
        <v>0</v>
      </c>
      <c r="AT111" s="166"/>
      <c r="AU111" s="166"/>
      <c r="AV111" s="166"/>
      <c r="AW111" s="166"/>
      <c r="AX111" s="166"/>
      <c r="AY111" s="166"/>
      <c r="AZ111" s="186"/>
      <c r="BA111" s="186"/>
      <c r="BB111" s="186"/>
      <c r="BC111" s="186"/>
      <c r="BD111" s="186"/>
      <c r="BE111" s="186"/>
      <c r="BF111" s="186"/>
      <c r="BG111" s="186"/>
      <c r="BH111" s="186"/>
      <c r="BI111" s="183">
        <f t="shared" si="49"/>
        <v>0</v>
      </c>
      <c r="BJ111" s="183">
        <f t="shared" si="50"/>
        <v>0</v>
      </c>
      <c r="BK111" s="183">
        <f t="shared" si="51"/>
        <v>0</v>
      </c>
      <c r="BL111" s="183">
        <f t="shared" si="52"/>
        <v>0</v>
      </c>
    </row>
    <row r="112" spans="1:64" s="187" customFormat="1" hidden="1" outlineLevel="1" collapsed="1" x14ac:dyDescent="0.3">
      <c r="A112" s="203" t="s">
        <v>2770</v>
      </c>
      <c r="B112" s="201" t="s">
        <v>2773</v>
      </c>
      <c r="C112" s="201" t="s">
        <v>82</v>
      </c>
      <c r="D112" s="201" t="s">
        <v>2934</v>
      </c>
      <c r="E112" s="201" t="s">
        <v>2773</v>
      </c>
      <c r="F112" s="180" t="s">
        <v>2791</v>
      </c>
      <c r="G112" s="185"/>
      <c r="H112" s="180" t="s">
        <v>2707</v>
      </c>
      <c r="I112" s="181">
        <f>IFERROR(VLOOKUP($A112,'Bevétel 2a SZH 2022'!$B:$M,MATCH($I$1,'Bevétel 2a SZH 2022'!$B$1:$M$1,0),0), )</f>
        <v>-1911197</v>
      </c>
      <c r="J112" s="181">
        <f t="shared" si="29"/>
        <v>-1911197</v>
      </c>
      <c r="K112" s="166">
        <f t="shared" si="54"/>
        <v>0</v>
      </c>
      <c r="L112" s="166">
        <f t="shared" si="30"/>
        <v>0</v>
      </c>
      <c r="M112" s="190"/>
      <c r="N112" s="181">
        <f>+N113+N114</f>
        <v>-516417.91877954936</v>
      </c>
      <c r="O112" s="181">
        <f>+O113+O114</f>
        <v>-119307.59673257661</v>
      </c>
      <c r="P112" s="181">
        <f t="shared" ref="P112:Z112" si="56">+P113+P114</f>
        <v>-28900.438910476041</v>
      </c>
      <c r="Q112" s="181">
        <f t="shared" si="56"/>
        <v>-136688.10119633251</v>
      </c>
      <c r="R112" s="181">
        <f t="shared" si="56"/>
        <v>-51940.307803916316</v>
      </c>
      <c r="S112" s="181">
        <f t="shared" si="56"/>
        <v>-101841.12260877054</v>
      </c>
      <c r="T112" s="181">
        <f t="shared" si="56"/>
        <v>-76072.174294163808</v>
      </c>
      <c r="U112" s="181">
        <f t="shared" si="56"/>
        <v>-135539.40020672628</v>
      </c>
      <c r="V112" s="181">
        <f t="shared" si="56"/>
        <v>-218161.73094003022</v>
      </c>
      <c r="W112" s="181">
        <f t="shared" si="56"/>
        <v>-130253.18068449362</v>
      </c>
      <c r="X112" s="181">
        <f t="shared" si="56"/>
        <v>-45102.976117374579</v>
      </c>
      <c r="Y112" s="181">
        <f t="shared" si="56"/>
        <v>-294349.1411614953</v>
      </c>
      <c r="Z112" s="181">
        <f t="shared" si="56"/>
        <v>-56622.910564094709</v>
      </c>
      <c r="AA112" s="181">
        <f>+AA113+AA114</f>
        <v>0</v>
      </c>
      <c r="AB112" s="181">
        <f>+AB113+AB114</f>
        <v>0</v>
      </c>
      <c r="AC112" s="166"/>
      <c r="AD112" s="166"/>
      <c r="AE112" s="166"/>
      <c r="AF112" s="166"/>
      <c r="AG112" s="166"/>
      <c r="AH112" s="166"/>
      <c r="AI112" s="166"/>
      <c r="AJ112" s="166"/>
      <c r="AK112" s="166"/>
      <c r="AL112" s="166"/>
      <c r="AM112" s="166"/>
      <c r="AN112" s="181">
        <f>+AN113+AN114</f>
        <v>1911197</v>
      </c>
      <c r="AO112" s="166"/>
      <c r="AP112" s="166"/>
      <c r="AQ112" s="166"/>
      <c r="AR112" s="166"/>
      <c r="AS112" s="166"/>
      <c r="AT112" s="166"/>
      <c r="AU112" s="166"/>
      <c r="AV112" s="166"/>
      <c r="AW112" s="166"/>
      <c r="AX112" s="166"/>
      <c r="AY112" s="166"/>
      <c r="AZ112" s="186"/>
      <c r="BA112" s="186"/>
      <c r="BB112" s="186"/>
      <c r="BC112" s="186"/>
      <c r="BD112" s="186"/>
      <c r="BE112" s="186"/>
      <c r="BF112" s="186"/>
      <c r="BG112" s="186"/>
      <c r="BH112" s="186"/>
      <c r="BI112" s="183">
        <f t="shared" si="49"/>
        <v>-1911197</v>
      </c>
      <c r="BJ112" s="183">
        <f t="shared" si="50"/>
        <v>0</v>
      </c>
      <c r="BK112" s="183">
        <f t="shared" si="51"/>
        <v>0</v>
      </c>
      <c r="BL112" s="183">
        <f t="shared" si="52"/>
        <v>1911197</v>
      </c>
    </row>
    <row r="113" spans="1:64" s="187" customFormat="1" hidden="1" outlineLevel="2" x14ac:dyDescent="0.3">
      <c r="A113" s="185"/>
      <c r="B113" s="185"/>
      <c r="C113" s="185"/>
      <c r="D113" s="185"/>
      <c r="E113" s="204" t="s">
        <v>2813</v>
      </c>
      <c r="F113" s="185" t="s">
        <v>82</v>
      </c>
      <c r="G113" s="185">
        <v>290</v>
      </c>
      <c r="H113" s="185" t="str">
        <f>IFERROR(VLOOKUP(G113,'2022. tervsor'!C:D,2,0)," ")</f>
        <v>SB Közterületesítési különbözet</v>
      </c>
      <c r="I113" s="202"/>
      <c r="J113" s="181">
        <f t="shared" si="29"/>
        <v>0</v>
      </c>
      <c r="K113" s="166">
        <f t="shared" si="54"/>
        <v>0</v>
      </c>
      <c r="L113" s="166">
        <f t="shared" si="30"/>
        <v>0</v>
      </c>
      <c r="M113" s="193">
        <v>7</v>
      </c>
      <c r="N113" s="166">
        <f>IFERROR(VLOOKUP($M113,'1 b felosztások'!$A:$U,'1 b felosztások'!C$2,0)*$I113,0)</f>
        <v>0</v>
      </c>
      <c r="O113" s="166">
        <f>IFERROR(VLOOKUP($M113,'1 b felosztások'!$A:$U,'1 b felosztások'!D$2,0)*$I113,0)</f>
        <v>0</v>
      </c>
      <c r="P113" s="166">
        <f>IFERROR(VLOOKUP($M113,'1 b felosztások'!$A:$U,'1 b felosztások'!E$2,0)*$I113,0)</f>
        <v>0</v>
      </c>
      <c r="Q113" s="166">
        <f>IFERROR(VLOOKUP($M113,'1 b felosztások'!$A:$U,'1 b felosztások'!F$2,0)*$I113,0)</f>
        <v>0</v>
      </c>
      <c r="R113" s="166">
        <f>IFERROR(VLOOKUP($M113,'1 b felosztások'!$A:$U,'1 b felosztások'!G$2,0)*$I113,0)</f>
        <v>0</v>
      </c>
      <c r="S113" s="166">
        <f>IFERROR(VLOOKUP($M113,'1 b felosztások'!$A:$U,'1 b felosztások'!H$2,0)*$I113,0)</f>
        <v>0</v>
      </c>
      <c r="T113" s="166">
        <f>IFERROR(VLOOKUP($M113,'1 b felosztások'!$A:$U,'1 b felosztások'!I$2,0)*$I113,0)</f>
        <v>0</v>
      </c>
      <c r="U113" s="166">
        <f>IFERROR(VLOOKUP($M113,'1 b felosztások'!$A:$U,'1 b felosztások'!J$2,0)*$I113,0)</f>
        <v>0</v>
      </c>
      <c r="V113" s="166">
        <f>IFERROR(VLOOKUP($M113,'1 b felosztások'!$A:$U,'1 b felosztások'!K$2,0)*$I113,0)</f>
        <v>0</v>
      </c>
      <c r="W113" s="166">
        <f>IFERROR(VLOOKUP($M113,'1 b felosztások'!$A:$U,'1 b felosztások'!L$2,0)*$I113,0)</f>
        <v>0</v>
      </c>
      <c r="X113" s="166">
        <f>IFERROR(VLOOKUP($M113,'1 b felosztások'!$A:$U,'1 b felosztások'!M$2,0)*$I113,0)</f>
        <v>0</v>
      </c>
      <c r="Y113" s="166">
        <f>IFERROR(VLOOKUP($M113,'1 b felosztások'!$A:$U,'1 b felosztások'!N$2,0)*$I113,0)</f>
        <v>0</v>
      </c>
      <c r="Z113" s="166">
        <f>IFERROR(VLOOKUP($M113,'1 b felosztások'!$A:$U,'1 b felosztások'!O$2,0)*$I113,0)</f>
        <v>0</v>
      </c>
      <c r="AA113" s="166">
        <f>IFERROR(VLOOKUP($M113,'1 b felosztások'!$A:$U,'1 b felosztások'!P$2,0)*$I113,0)</f>
        <v>0</v>
      </c>
      <c r="AB113" s="166">
        <f>IFERROR(VLOOKUP($M113,'1 b felosztások'!$A:$U,'1 b felosztások'!Q$2,0)*$I113,0)</f>
        <v>0</v>
      </c>
      <c r="AC113" s="166"/>
      <c r="AD113" s="166"/>
      <c r="AE113" s="166"/>
      <c r="AF113" s="166"/>
      <c r="AG113" s="166"/>
      <c r="AH113" s="166"/>
      <c r="AI113" s="166"/>
      <c r="AJ113" s="166"/>
      <c r="AK113" s="166"/>
      <c r="AL113" s="166"/>
      <c r="AM113" s="166"/>
      <c r="AN113" s="166">
        <f>-I113</f>
        <v>0</v>
      </c>
      <c r="AO113" s="166"/>
      <c r="AP113" s="166"/>
      <c r="AQ113" s="166"/>
      <c r="AR113" s="166"/>
      <c r="AS113" s="166"/>
      <c r="AT113" s="166"/>
      <c r="AU113" s="166"/>
      <c r="AV113" s="166"/>
      <c r="AW113" s="166"/>
      <c r="AX113" s="166"/>
      <c r="AY113" s="166"/>
      <c r="AZ113" s="186"/>
      <c r="BA113" s="186"/>
      <c r="BB113" s="186"/>
      <c r="BC113" s="186"/>
      <c r="BD113" s="186"/>
      <c r="BE113" s="186"/>
      <c r="BF113" s="186"/>
      <c r="BG113" s="186"/>
      <c r="BH113" s="186"/>
      <c r="BI113" s="183">
        <f t="shared" si="49"/>
        <v>0</v>
      </c>
      <c r="BJ113" s="183">
        <f t="shared" si="50"/>
        <v>0</v>
      </c>
      <c r="BK113" s="183">
        <f t="shared" si="51"/>
        <v>0</v>
      </c>
      <c r="BL113" s="183">
        <f t="shared" si="52"/>
        <v>0</v>
      </c>
    </row>
    <row r="114" spans="1:64" s="187" customFormat="1" hidden="1" outlineLevel="2" x14ac:dyDescent="0.3">
      <c r="A114" s="185"/>
      <c r="B114" s="185"/>
      <c r="C114" s="185"/>
      <c r="D114" s="185"/>
      <c r="E114" s="204" t="s">
        <v>2814</v>
      </c>
      <c r="F114" s="185" t="s">
        <v>82</v>
      </c>
      <c r="G114" s="185">
        <v>336</v>
      </c>
      <c r="H114" s="185" t="str">
        <f>IFERROR(VLOOKUP(G114,'2022. tervsor'!C:D,2,0)," ")</f>
        <v>T Közterületesítési különbözet</v>
      </c>
      <c r="I114" s="202">
        <v>-1911197</v>
      </c>
      <c r="J114" s="181">
        <f t="shared" si="29"/>
        <v>-1911197</v>
      </c>
      <c r="K114" s="166">
        <f t="shared" si="54"/>
        <v>0</v>
      </c>
      <c r="L114" s="166">
        <f t="shared" si="30"/>
        <v>0</v>
      </c>
      <c r="M114" s="193">
        <v>7</v>
      </c>
      <c r="N114" s="166">
        <f>IFERROR(VLOOKUP($M114,'1 b felosztások'!$A:$U,'1 b felosztások'!C$2,0)*$I114,0)</f>
        <v>-516417.91877954936</v>
      </c>
      <c r="O114" s="166">
        <f>IFERROR(VLOOKUP($M114,'1 b felosztások'!$A:$U,'1 b felosztások'!D$2,0)*$I114,0)</f>
        <v>-119307.59673257661</v>
      </c>
      <c r="P114" s="166">
        <f>IFERROR(VLOOKUP($M114,'1 b felosztások'!$A:$U,'1 b felosztások'!E$2,0)*$I114,0)</f>
        <v>-28900.438910476041</v>
      </c>
      <c r="Q114" s="166">
        <f>IFERROR(VLOOKUP($M114,'1 b felosztások'!$A:$U,'1 b felosztások'!F$2,0)*$I114,0)</f>
        <v>-136688.10119633251</v>
      </c>
      <c r="R114" s="166">
        <f>IFERROR(VLOOKUP($M114,'1 b felosztások'!$A:$U,'1 b felosztások'!G$2,0)*$I114,0)</f>
        <v>-51940.307803916316</v>
      </c>
      <c r="S114" s="166">
        <f>IFERROR(VLOOKUP($M114,'1 b felosztások'!$A:$U,'1 b felosztások'!H$2,0)*$I114,0)</f>
        <v>-101841.12260877054</v>
      </c>
      <c r="T114" s="166">
        <f>IFERROR(VLOOKUP($M114,'1 b felosztások'!$A:$U,'1 b felosztások'!I$2,0)*$I114,0)</f>
        <v>-76072.174294163808</v>
      </c>
      <c r="U114" s="166">
        <f>IFERROR(VLOOKUP($M114,'1 b felosztások'!$A:$U,'1 b felosztások'!J$2,0)*$I114,0)</f>
        <v>-135539.40020672628</v>
      </c>
      <c r="V114" s="166">
        <f>IFERROR(VLOOKUP($M114,'1 b felosztások'!$A:$U,'1 b felosztások'!K$2,0)*$I114,0)</f>
        <v>-218161.73094003022</v>
      </c>
      <c r="W114" s="166">
        <f>IFERROR(VLOOKUP($M114,'1 b felosztások'!$A:$U,'1 b felosztások'!L$2,0)*$I114,0)</f>
        <v>-130253.18068449362</v>
      </c>
      <c r="X114" s="166">
        <f>IFERROR(VLOOKUP($M114,'1 b felosztások'!$A:$U,'1 b felosztások'!M$2,0)*$I114,0)</f>
        <v>-45102.976117374579</v>
      </c>
      <c r="Y114" s="166">
        <f>IFERROR(VLOOKUP($M114,'1 b felosztások'!$A:$U,'1 b felosztások'!N$2,0)*$I114,0)</f>
        <v>-294349.1411614953</v>
      </c>
      <c r="Z114" s="166">
        <f>IFERROR(VLOOKUP($M114,'1 b felosztások'!$A:$U,'1 b felosztások'!O$2,0)*$I114,0)</f>
        <v>-56622.910564094709</v>
      </c>
      <c r="AA114" s="166">
        <f>IFERROR(VLOOKUP($M114,'1 b felosztások'!$A:$U,'1 b felosztások'!P$2,0)*$I114,0)</f>
        <v>0</v>
      </c>
      <c r="AB114" s="166">
        <f>IFERROR(VLOOKUP($M114,'1 b felosztások'!$A:$U,'1 b felosztások'!Q$2,0)*$I114,0)</f>
        <v>0</v>
      </c>
      <c r="AC114" s="166"/>
      <c r="AD114" s="166"/>
      <c r="AE114" s="166"/>
      <c r="AF114" s="166"/>
      <c r="AG114" s="166"/>
      <c r="AH114" s="166"/>
      <c r="AI114" s="166"/>
      <c r="AJ114" s="166"/>
      <c r="AK114" s="166"/>
      <c r="AL114" s="166"/>
      <c r="AM114" s="166"/>
      <c r="AN114" s="166">
        <f>-I114</f>
        <v>1911197</v>
      </c>
      <c r="AO114" s="166"/>
      <c r="AP114" s="166"/>
      <c r="AQ114" s="166"/>
      <c r="AR114" s="166"/>
      <c r="AS114" s="166"/>
      <c r="AT114" s="166"/>
      <c r="AU114" s="166"/>
      <c r="AV114" s="166"/>
      <c r="AW114" s="166"/>
      <c r="AX114" s="166"/>
      <c r="AY114" s="166"/>
      <c r="AZ114" s="186"/>
      <c r="BA114" s="186"/>
      <c r="BB114" s="186"/>
      <c r="BC114" s="186"/>
      <c r="BD114" s="186"/>
      <c r="BE114" s="186"/>
      <c r="BF114" s="186"/>
      <c r="BG114" s="186"/>
      <c r="BH114" s="186"/>
      <c r="BI114" s="183">
        <f t="shared" si="49"/>
        <v>-1911197</v>
      </c>
      <c r="BJ114" s="183">
        <f t="shared" si="50"/>
        <v>0</v>
      </c>
      <c r="BK114" s="183">
        <f t="shared" si="51"/>
        <v>0</v>
      </c>
      <c r="BL114" s="183">
        <f t="shared" si="52"/>
        <v>1911197</v>
      </c>
    </row>
    <row r="115" spans="1:64" s="187" customFormat="1" hidden="1" outlineLevel="1" collapsed="1" x14ac:dyDescent="0.3">
      <c r="A115" s="185"/>
      <c r="B115" s="185"/>
      <c r="C115" s="185"/>
      <c r="D115" s="185"/>
      <c r="E115" s="204" t="s">
        <v>2795</v>
      </c>
      <c r="F115" s="185" t="s">
        <v>2791</v>
      </c>
      <c r="G115" s="185"/>
      <c r="H115" s="185" t="s">
        <v>2707</v>
      </c>
      <c r="I115" s="181">
        <f>-I264</f>
        <v>0</v>
      </c>
      <c r="J115" s="181">
        <f t="shared" si="29"/>
        <v>0</v>
      </c>
      <c r="K115" s="166">
        <f t="shared" ref="K115:K125" si="57">+I115-J115</f>
        <v>0</v>
      </c>
      <c r="L115" s="166">
        <f t="shared" si="30"/>
        <v>0</v>
      </c>
      <c r="M115" s="190"/>
      <c r="N115" s="166">
        <f>SUM(N116:N117)</f>
        <v>0</v>
      </c>
      <c r="O115" s="166">
        <f>SUM(O116:O117)</f>
        <v>0</v>
      </c>
      <c r="P115" s="166">
        <f t="shared" ref="P115:Y115" si="58">SUM(P116:P117)</f>
        <v>0</v>
      </c>
      <c r="Q115" s="166">
        <f t="shared" si="58"/>
        <v>0</v>
      </c>
      <c r="R115" s="166">
        <f t="shared" si="58"/>
        <v>0</v>
      </c>
      <c r="S115" s="166">
        <f t="shared" si="58"/>
        <v>0</v>
      </c>
      <c r="T115" s="166">
        <f t="shared" si="58"/>
        <v>0</v>
      </c>
      <c r="U115" s="166">
        <f t="shared" si="58"/>
        <v>0</v>
      </c>
      <c r="V115" s="166">
        <f t="shared" si="58"/>
        <v>0</v>
      </c>
      <c r="W115" s="166">
        <f t="shared" si="58"/>
        <v>0</v>
      </c>
      <c r="X115" s="166">
        <f t="shared" si="58"/>
        <v>0</v>
      </c>
      <c r="Y115" s="166">
        <f t="shared" si="58"/>
        <v>0</v>
      </c>
      <c r="Z115" s="166">
        <f>SUM(Z116:Z117)</f>
        <v>0</v>
      </c>
      <c r="AA115" s="166">
        <f>SUM(AA116:AA117)</f>
        <v>0</v>
      </c>
      <c r="AB115" s="166">
        <f>SUM(AB116:AB117)</f>
        <v>0</v>
      </c>
      <c r="AC115" s="166"/>
      <c r="AD115" s="166"/>
      <c r="AE115" s="166"/>
      <c r="AF115" s="166"/>
      <c r="AG115" s="166"/>
      <c r="AH115" s="166"/>
      <c r="AI115" s="166">
        <f>SUM(AI116:AI117)</f>
        <v>0</v>
      </c>
      <c r="AJ115" s="166"/>
      <c r="AK115" s="166"/>
      <c r="AL115" s="166"/>
      <c r="AM115" s="166"/>
      <c r="AN115" s="166"/>
      <c r="AO115" s="166"/>
      <c r="AP115" s="166"/>
      <c r="AQ115" s="166"/>
      <c r="AR115" s="166"/>
      <c r="AS115" s="166"/>
      <c r="AT115" s="166"/>
      <c r="AU115" s="166"/>
      <c r="AV115" s="166"/>
      <c r="AW115" s="166"/>
      <c r="AX115" s="166"/>
      <c r="AY115" s="166"/>
      <c r="AZ115" s="186"/>
      <c r="BA115" s="186"/>
      <c r="BB115" s="186"/>
      <c r="BC115" s="186"/>
      <c r="BD115" s="186"/>
      <c r="BE115" s="186"/>
      <c r="BF115" s="186"/>
      <c r="BG115" s="186"/>
      <c r="BH115" s="186"/>
      <c r="BI115" s="183">
        <f t="shared" si="49"/>
        <v>0</v>
      </c>
      <c r="BJ115" s="183">
        <f t="shared" si="50"/>
        <v>0</v>
      </c>
      <c r="BK115" s="183">
        <f t="shared" si="51"/>
        <v>0</v>
      </c>
      <c r="BL115" s="183">
        <f t="shared" si="52"/>
        <v>0</v>
      </c>
    </row>
    <row r="116" spans="1:64" s="187" customFormat="1" hidden="1" outlineLevel="2" x14ac:dyDescent="0.3">
      <c r="A116" s="185"/>
      <c r="B116" s="185"/>
      <c r="C116" s="185"/>
      <c r="D116" s="185"/>
      <c r="E116" s="204" t="s">
        <v>2796</v>
      </c>
      <c r="F116" s="185" t="s">
        <v>82</v>
      </c>
      <c r="G116" s="185">
        <v>291</v>
      </c>
      <c r="H116" s="185" t="str">
        <f>IFERROR(VLOOKUP(G116,'2022. tervsor'!C:D,2,0)," ")</f>
        <v>SB Informatikai közvetlen költségek</v>
      </c>
      <c r="I116" s="202">
        <f>I115*0.5</f>
        <v>0</v>
      </c>
      <c r="J116" s="166">
        <f t="shared" si="29"/>
        <v>0</v>
      </c>
      <c r="K116" s="166">
        <f t="shared" si="57"/>
        <v>0</v>
      </c>
      <c r="L116" s="166">
        <f t="shared" si="30"/>
        <v>0</v>
      </c>
      <c r="M116" s="193"/>
      <c r="N116" s="166">
        <f>IFERROR(VLOOKUP($M116,'1 b felosztások'!$A:$E,'1 b felosztások'!C$2,0)*$I116,0)</f>
        <v>0</v>
      </c>
      <c r="O116" s="166">
        <f>IFERROR(VLOOKUP($M116,'1 b felosztások'!$A:$E,'1 b felosztások'!D$2,0)*$I116,0)</f>
        <v>0</v>
      </c>
      <c r="P116" s="166">
        <f>IFERROR(VLOOKUP($M116,'1 b felosztások'!$A:$E,'1 b felosztások'!E$2,0)*$I116,0)</f>
        <v>0</v>
      </c>
      <c r="Q116" s="166">
        <f>IFERROR(VLOOKUP($M116,'1 b felosztások'!$A:$E,'1 b felosztások'!F$2,0)*$I116,0)</f>
        <v>0</v>
      </c>
      <c r="R116" s="166">
        <f>IFERROR(VLOOKUP($M116,'1 b felosztások'!$A:$E,'1 b felosztások'!G$2,0)*$I116,0)</f>
        <v>0</v>
      </c>
      <c r="S116" s="166">
        <f>IFERROR(VLOOKUP($M116,'1 b felosztások'!$A:$E,'1 b felosztások'!H$2,0)*$I116,0)</f>
        <v>0</v>
      </c>
      <c r="T116" s="166">
        <f>IFERROR(VLOOKUP($M116,'1 b felosztások'!$A:$E,'1 b felosztások'!I$2,0)*$I116,0)</f>
        <v>0</v>
      </c>
      <c r="U116" s="166">
        <f>IFERROR(VLOOKUP($M116,'1 b felosztások'!$A:$E,'1 b felosztások'!J$2,0)*$I116,0)</f>
        <v>0</v>
      </c>
      <c r="V116" s="166">
        <f>IFERROR(VLOOKUP($M116,'1 b felosztások'!$A:$E,'1 b felosztások'!K$2,0)*$I116,0)</f>
        <v>0</v>
      </c>
      <c r="W116" s="166">
        <f>IFERROR(VLOOKUP($M116,'1 b felosztások'!$A:$E,'1 b felosztások'!L$2,0)*$I116,0)</f>
        <v>0</v>
      </c>
      <c r="X116" s="166">
        <f>IFERROR(VLOOKUP($M116,'1 b felosztások'!$A:$E,'1 b felosztások'!M$2,0)*$I116,0)</f>
        <v>0</v>
      </c>
      <c r="Y116" s="166">
        <f>IFERROR(VLOOKUP($M116,'1 b felosztások'!$A:$E,'1 b felosztások'!N$2,0)*$I116,0)</f>
        <v>0</v>
      </c>
      <c r="Z116" s="166">
        <f>IFERROR(VLOOKUP($M116,'1 b felosztások'!$A:$E,'1 b felosztások'!C$2,0)*$I116,0)</f>
        <v>0</v>
      </c>
      <c r="AA116" s="166">
        <f>IFERROR(VLOOKUP($M116,'1 b felosztások'!$A:$E,'1 b felosztások'!D$2,0)*$I116,0)</f>
        <v>0</v>
      </c>
      <c r="AB116" s="166">
        <f>IFERROR(VLOOKUP($M116,'1 b felosztások'!$A:$E,'1 b felosztások'!E$2,0)*$I116,0)</f>
        <v>0</v>
      </c>
      <c r="AC116" s="166"/>
      <c r="AD116" s="166"/>
      <c r="AE116" s="166"/>
      <c r="AF116" s="166"/>
      <c r="AG116" s="166"/>
      <c r="AH116" s="166"/>
      <c r="AI116" s="166">
        <f>-I116</f>
        <v>0</v>
      </c>
      <c r="AJ116" s="166"/>
      <c r="AK116" s="166"/>
      <c r="AL116" s="166"/>
      <c r="AM116" s="166"/>
      <c r="AN116" s="166"/>
      <c r="AO116" s="166"/>
      <c r="AP116" s="166"/>
      <c r="AQ116" s="166"/>
      <c r="AR116" s="166"/>
      <c r="AS116" s="166"/>
      <c r="AT116" s="166"/>
      <c r="AU116" s="166"/>
      <c r="AV116" s="166"/>
      <c r="AW116" s="166"/>
      <c r="AX116" s="166"/>
      <c r="AY116" s="166"/>
      <c r="AZ116" s="186"/>
      <c r="BA116" s="186"/>
      <c r="BB116" s="186"/>
      <c r="BC116" s="186"/>
      <c r="BD116" s="186"/>
      <c r="BE116" s="186"/>
      <c r="BF116" s="186"/>
      <c r="BG116" s="186"/>
      <c r="BH116" s="186"/>
      <c r="BI116" s="183">
        <f t="shared" si="49"/>
        <v>0</v>
      </c>
      <c r="BJ116" s="183">
        <f t="shared" si="50"/>
        <v>0</v>
      </c>
      <c r="BK116" s="183">
        <f t="shared" si="51"/>
        <v>0</v>
      </c>
      <c r="BL116" s="183">
        <f t="shared" si="52"/>
        <v>0</v>
      </c>
    </row>
    <row r="117" spans="1:64" s="187" customFormat="1" hidden="1" outlineLevel="2" x14ac:dyDescent="0.3">
      <c r="A117" s="185"/>
      <c r="B117" s="185"/>
      <c r="C117" s="185"/>
      <c r="D117" s="185"/>
      <c r="E117" s="204" t="s">
        <v>2797</v>
      </c>
      <c r="F117" s="185" t="s">
        <v>82</v>
      </c>
      <c r="G117" s="185">
        <v>337</v>
      </c>
      <c r="H117" s="185" t="str">
        <f>IFERROR(VLOOKUP(G117,'2022. tervsor'!C:D,2,0)," ")</f>
        <v>T Informatikai közvetlen költségek</v>
      </c>
      <c r="I117" s="202">
        <f>I115*0.5</f>
        <v>0</v>
      </c>
      <c r="J117" s="166">
        <f t="shared" si="29"/>
        <v>0</v>
      </c>
      <c r="K117" s="166">
        <f t="shared" si="57"/>
        <v>0</v>
      </c>
      <c r="L117" s="166">
        <f t="shared" si="30"/>
        <v>0</v>
      </c>
      <c r="M117" s="193"/>
      <c r="N117" s="166">
        <f>IFERROR(VLOOKUP($M117,'1 b felosztások'!$A:$E,'1 b felosztások'!C$2,0)*$I117,0)</f>
        <v>0</v>
      </c>
      <c r="O117" s="166">
        <f>IFERROR(VLOOKUP($M117,'1 b felosztások'!$A:$E,'1 b felosztások'!D$2,0)*$I117,0)</f>
        <v>0</v>
      </c>
      <c r="P117" s="166">
        <f>IFERROR(VLOOKUP($M117,'1 b felosztások'!$A:$E,'1 b felosztások'!E$2,0)*$I117,0)</f>
        <v>0</v>
      </c>
      <c r="Q117" s="166">
        <f>IFERROR(VLOOKUP($M117,'1 b felosztások'!$A:$E,'1 b felosztások'!F$2,0)*$I117,0)</f>
        <v>0</v>
      </c>
      <c r="R117" s="166">
        <f>IFERROR(VLOOKUP($M117,'1 b felosztások'!$A:$E,'1 b felosztások'!G$2,0)*$I117,0)</f>
        <v>0</v>
      </c>
      <c r="S117" s="166">
        <f>IFERROR(VLOOKUP($M117,'1 b felosztások'!$A:$E,'1 b felosztások'!H$2,0)*$I117,0)</f>
        <v>0</v>
      </c>
      <c r="T117" s="166">
        <f>IFERROR(VLOOKUP($M117,'1 b felosztások'!$A:$E,'1 b felosztások'!I$2,0)*$I117,0)</f>
        <v>0</v>
      </c>
      <c r="U117" s="166">
        <f>IFERROR(VLOOKUP($M117,'1 b felosztások'!$A:$E,'1 b felosztások'!J$2,0)*$I117,0)</f>
        <v>0</v>
      </c>
      <c r="V117" s="166">
        <f>IFERROR(VLOOKUP($M117,'1 b felosztások'!$A:$E,'1 b felosztások'!K$2,0)*$I117,0)</f>
        <v>0</v>
      </c>
      <c r="W117" s="166">
        <f>IFERROR(VLOOKUP($M117,'1 b felosztások'!$A:$E,'1 b felosztások'!L$2,0)*$I117,0)</f>
        <v>0</v>
      </c>
      <c r="X117" s="166">
        <f>IFERROR(VLOOKUP($M117,'1 b felosztások'!$A:$E,'1 b felosztások'!M$2,0)*$I117,0)</f>
        <v>0</v>
      </c>
      <c r="Y117" s="166">
        <f>IFERROR(VLOOKUP($M117,'1 b felosztások'!$A:$E,'1 b felosztások'!N$2,0)*$I117,0)</f>
        <v>0</v>
      </c>
      <c r="Z117" s="166">
        <f>IFERROR(VLOOKUP($M117,'1 b felosztások'!$A:$E,'1 b felosztások'!C$2,0)*$I117,0)</f>
        <v>0</v>
      </c>
      <c r="AA117" s="166">
        <f>IFERROR(VLOOKUP($M117,'1 b felosztások'!$A:$E,'1 b felosztások'!D$2,0)*$I117,0)</f>
        <v>0</v>
      </c>
      <c r="AB117" s="166">
        <f>IFERROR(VLOOKUP($M117,'1 b felosztások'!$A:$E,'1 b felosztások'!E$2,0)*$I117,0)</f>
        <v>0</v>
      </c>
      <c r="AC117" s="166"/>
      <c r="AD117" s="166"/>
      <c r="AE117" s="166"/>
      <c r="AF117" s="166"/>
      <c r="AG117" s="166"/>
      <c r="AH117" s="166"/>
      <c r="AI117" s="166">
        <f>-I117</f>
        <v>0</v>
      </c>
      <c r="AJ117" s="166"/>
      <c r="AK117" s="166"/>
      <c r="AL117" s="166"/>
      <c r="AM117" s="166"/>
      <c r="AN117" s="166"/>
      <c r="AO117" s="166"/>
      <c r="AP117" s="166"/>
      <c r="AQ117" s="166"/>
      <c r="AR117" s="166"/>
      <c r="AS117" s="166"/>
      <c r="AT117" s="166"/>
      <c r="AU117" s="166"/>
      <c r="AV117" s="166"/>
      <c r="AW117" s="166"/>
      <c r="AX117" s="166"/>
      <c r="AY117" s="166"/>
      <c r="AZ117" s="186"/>
      <c r="BA117" s="186"/>
      <c r="BB117" s="186"/>
      <c r="BC117" s="186"/>
      <c r="BD117" s="186"/>
      <c r="BE117" s="186"/>
      <c r="BF117" s="186"/>
      <c r="BG117" s="186"/>
      <c r="BH117" s="186"/>
      <c r="BI117" s="183">
        <f t="shared" si="49"/>
        <v>0</v>
      </c>
      <c r="BJ117" s="183">
        <f t="shared" si="50"/>
        <v>0</v>
      </c>
      <c r="BK117" s="183">
        <f t="shared" si="51"/>
        <v>0</v>
      </c>
      <c r="BL117" s="183">
        <f t="shared" si="52"/>
        <v>0</v>
      </c>
    </row>
    <row r="118" spans="1:64" s="187" customFormat="1" hidden="1" outlineLevel="2" x14ac:dyDescent="0.3">
      <c r="A118" s="185"/>
      <c r="B118" s="185"/>
      <c r="C118" s="185"/>
      <c r="D118" s="185"/>
      <c r="E118" s="201" t="s">
        <v>2911</v>
      </c>
      <c r="F118" s="185" t="s">
        <v>2791</v>
      </c>
      <c r="G118" s="185">
        <v>1</v>
      </c>
      <c r="H118" s="180" t="s">
        <v>2761</v>
      </c>
      <c r="I118" s="181">
        <f>-I115</f>
        <v>0</v>
      </c>
      <c r="J118" s="166">
        <f t="shared" si="29"/>
        <v>0</v>
      </c>
      <c r="K118" s="166">
        <f t="shared" si="57"/>
        <v>0</v>
      </c>
      <c r="L118" s="166"/>
      <c r="M118" s="190"/>
      <c r="N118" s="166"/>
      <c r="O118" s="166"/>
      <c r="P118" s="166"/>
      <c r="Q118" s="166"/>
      <c r="R118" s="166"/>
      <c r="S118" s="166"/>
      <c r="T118" s="166"/>
      <c r="U118" s="166"/>
      <c r="V118" s="166"/>
      <c r="W118" s="166"/>
      <c r="X118" s="166"/>
      <c r="Y118" s="166"/>
      <c r="Z118" s="166"/>
      <c r="AA118" s="166"/>
      <c r="AB118" s="166"/>
      <c r="AC118" s="166"/>
      <c r="AD118" s="166"/>
      <c r="AE118" s="166"/>
      <c r="AF118" s="166"/>
      <c r="AG118" s="166"/>
      <c r="AH118" s="166"/>
      <c r="AI118" s="166"/>
      <c r="AJ118" s="166"/>
      <c r="AK118" s="166"/>
      <c r="AL118" s="166"/>
      <c r="AM118" s="166"/>
      <c r="AN118" s="166"/>
      <c r="AO118" s="166"/>
      <c r="AP118" s="166"/>
      <c r="AQ118" s="166"/>
      <c r="AR118" s="166"/>
      <c r="AS118" s="166"/>
      <c r="AT118" s="166"/>
      <c r="AU118" s="166"/>
      <c r="AV118" s="166"/>
      <c r="AW118" s="166"/>
      <c r="AX118" s="166"/>
      <c r="AY118" s="166"/>
      <c r="AZ118" s="186"/>
      <c r="BA118" s="186"/>
      <c r="BB118" s="186"/>
      <c r="BC118" s="186"/>
      <c r="BD118" s="186"/>
      <c r="BE118" s="186"/>
      <c r="BF118" s="186"/>
      <c r="BG118" s="186"/>
      <c r="BH118" s="186"/>
      <c r="BI118" s="183"/>
      <c r="BJ118" s="183"/>
      <c r="BK118" s="183"/>
      <c r="BL118" s="183"/>
    </row>
    <row r="119" spans="1:64" s="187" customFormat="1" hidden="1" outlineLevel="1" collapsed="1" x14ac:dyDescent="0.3">
      <c r="A119" s="185"/>
      <c r="B119" s="185"/>
      <c r="C119" s="185"/>
      <c r="D119" s="185"/>
      <c r="E119" s="204" t="s">
        <v>2786</v>
      </c>
      <c r="F119" s="185" t="s">
        <v>2791</v>
      </c>
      <c r="G119" s="185"/>
      <c r="H119" s="185" t="s">
        <v>2707</v>
      </c>
      <c r="I119" s="181">
        <f>-VLOOKUP($I$1,'7.'!$A:$O,12,0)</f>
        <v>-117949452</v>
      </c>
      <c r="J119" s="181">
        <f>SUM(N119:AM119)</f>
        <v>0</v>
      </c>
      <c r="K119" s="166">
        <f t="shared" si="57"/>
        <v>-117949452</v>
      </c>
      <c r="L119" s="166">
        <f>SUM(N119:BH119)</f>
        <v>0</v>
      </c>
      <c r="M119" s="190"/>
      <c r="N119" s="166">
        <f>SUM(N120:N121)</f>
        <v>-31870712.711995862</v>
      </c>
      <c r="O119" s="166">
        <f>SUM(O120:O121)</f>
        <v>-7363063.9091859199</v>
      </c>
      <c r="P119" s="166">
        <f t="shared" ref="P119:Y119" si="59">SUM(P120:P121)</f>
        <v>-1783589.5159160078</v>
      </c>
      <c r="Q119" s="166">
        <f t="shared" si="59"/>
        <v>-8435701.0978083182</v>
      </c>
      <c r="R119" s="166">
        <f t="shared" si="59"/>
        <v>-3205494.1705032252</v>
      </c>
      <c r="S119" s="166">
        <f t="shared" si="59"/>
        <v>-6285121.1061807321</v>
      </c>
      <c r="T119" s="166">
        <f t="shared" si="59"/>
        <v>-4694791.4162930921</v>
      </c>
      <c r="U119" s="166">
        <f t="shared" si="59"/>
        <v>-8364809.0588212777</v>
      </c>
      <c r="V119" s="166">
        <f t="shared" si="59"/>
        <v>-13463843.136917863</v>
      </c>
      <c r="W119" s="166">
        <f t="shared" si="59"/>
        <v>-8038570.216986008</v>
      </c>
      <c r="X119" s="166">
        <f t="shared" si="59"/>
        <v>-2783528.4989529699</v>
      </c>
      <c r="Y119" s="166">
        <f t="shared" si="59"/>
        <v>-18165746.334192138</v>
      </c>
      <c r="Z119" s="166">
        <f>SUM(Z120:Z121)</f>
        <v>-3494480.8262465782</v>
      </c>
      <c r="AA119" s="166">
        <f>SUM(AA120:AA121)</f>
        <v>0</v>
      </c>
      <c r="AB119" s="166">
        <f>SUM(AB120:AB121)</f>
        <v>0</v>
      </c>
      <c r="AC119" s="166"/>
      <c r="AD119" s="166"/>
      <c r="AE119" s="166"/>
      <c r="AF119" s="166"/>
      <c r="AG119" s="166"/>
      <c r="AH119" s="166"/>
      <c r="AI119" s="166"/>
      <c r="AJ119" s="166"/>
      <c r="AK119" s="166"/>
      <c r="AL119" s="166"/>
      <c r="AM119" s="166">
        <f>SUM(AM120:AM121)</f>
        <v>117949452</v>
      </c>
      <c r="AN119" s="166"/>
      <c r="AO119" s="166"/>
      <c r="AP119" s="166"/>
      <c r="AQ119" s="166"/>
      <c r="AR119" s="166"/>
      <c r="AS119" s="166"/>
      <c r="AT119" s="166"/>
      <c r="AU119" s="166"/>
      <c r="AV119" s="166"/>
      <c r="AW119" s="166"/>
      <c r="AX119" s="166"/>
      <c r="AY119" s="166"/>
      <c r="AZ119" s="186"/>
      <c r="BA119" s="186"/>
      <c r="BB119" s="186"/>
      <c r="BC119" s="186"/>
      <c r="BD119" s="186"/>
      <c r="BE119" s="186"/>
      <c r="BF119" s="186"/>
      <c r="BG119" s="186"/>
      <c r="BH119" s="186"/>
      <c r="BI119" s="183">
        <f>+SUM(N119:AA119)</f>
        <v>-117949451.99999999</v>
      </c>
      <c r="BJ119" s="183">
        <f>+AB119</f>
        <v>0</v>
      </c>
      <c r="BK119" s="183">
        <f>+SUM(AC119:AM119)</f>
        <v>117949452</v>
      </c>
      <c r="BL119" s="183">
        <f>+SUM(AN119:BH119)</f>
        <v>0</v>
      </c>
    </row>
    <row r="120" spans="1:64" s="187" customFormat="1" hidden="1" outlineLevel="2" x14ac:dyDescent="0.3">
      <c r="A120" s="185"/>
      <c r="B120" s="185"/>
      <c r="C120" s="185"/>
      <c r="D120" s="185"/>
      <c r="E120" s="204" t="s">
        <v>2787</v>
      </c>
      <c r="F120" s="185" t="s">
        <v>82</v>
      </c>
      <c r="G120" s="185">
        <v>288</v>
      </c>
      <c r="H120" s="185" t="str">
        <f>IFERROR(VLOOKUP(G120,'2022. tervsor'!C:D,2,0)," ")</f>
        <v>SB Üzemeltetési feladatok</v>
      </c>
      <c r="I120" s="202"/>
      <c r="J120" s="181">
        <f>SUM(N120:AM120)</f>
        <v>0</v>
      </c>
      <c r="K120" s="166">
        <f t="shared" si="57"/>
        <v>0</v>
      </c>
      <c r="L120" s="166">
        <f>SUM(N120:BH120)</f>
        <v>0</v>
      </c>
      <c r="M120" s="716">
        <v>7</v>
      </c>
      <c r="N120" s="166">
        <f>IFERROR(VLOOKUP($M120,'1 b felosztások'!$A:$U,'1 b felosztások'!C$2,0)*$I120,0)</f>
        <v>0</v>
      </c>
      <c r="O120" s="166">
        <f>IFERROR(VLOOKUP($M120,'1 b felosztások'!$A:$U,'1 b felosztások'!D$2,0)*$I120,0)</f>
        <v>0</v>
      </c>
      <c r="P120" s="166">
        <f>IFERROR(VLOOKUP($M120,'1 b felosztások'!$A:$U,'1 b felosztások'!E$2,0)*$I120,0)</f>
        <v>0</v>
      </c>
      <c r="Q120" s="166">
        <f>IFERROR(VLOOKUP($M120,'1 b felosztások'!$A:$U,'1 b felosztások'!F$2,0)*$I120,0)</f>
        <v>0</v>
      </c>
      <c r="R120" s="166">
        <f>IFERROR(VLOOKUP($M120,'1 b felosztások'!$A:$U,'1 b felosztások'!G$2,0)*$I120,0)</f>
        <v>0</v>
      </c>
      <c r="S120" s="166">
        <f>IFERROR(VLOOKUP($M120,'1 b felosztások'!$A:$U,'1 b felosztások'!H$2,0)*$I120,0)</f>
        <v>0</v>
      </c>
      <c r="T120" s="166">
        <f>IFERROR(VLOOKUP($M120,'1 b felosztások'!$A:$U,'1 b felosztások'!I$2,0)*$I120,0)</f>
        <v>0</v>
      </c>
      <c r="U120" s="166">
        <f>IFERROR(VLOOKUP($M120,'1 b felosztások'!$A:$U,'1 b felosztások'!J$2,0)*$I120,0)</f>
        <v>0</v>
      </c>
      <c r="V120" s="166">
        <f>IFERROR(VLOOKUP($M120,'1 b felosztások'!$A:$U,'1 b felosztások'!K$2,0)*$I120,0)</f>
        <v>0</v>
      </c>
      <c r="W120" s="166">
        <f>IFERROR(VLOOKUP($M120,'1 b felosztások'!$A:$U,'1 b felosztások'!L$2,0)*$I120,0)</f>
        <v>0</v>
      </c>
      <c r="X120" s="166">
        <f>IFERROR(VLOOKUP($M120,'1 b felosztások'!$A:$U,'1 b felosztások'!M$2,0)*$I120,0)</f>
        <v>0</v>
      </c>
      <c r="Y120" s="166">
        <f>IFERROR(VLOOKUP($M120,'1 b felosztások'!$A:$U,'1 b felosztások'!N$2,0)*$I120,0)</f>
        <v>0</v>
      </c>
      <c r="Z120" s="166">
        <f>IFERROR(VLOOKUP($M120,'1 b felosztások'!$A:$U,'1 b felosztások'!O$2,0)*$I120,0)</f>
        <v>0</v>
      </c>
      <c r="AA120" s="166">
        <f>IFERROR(VLOOKUP($M120,'1 b felosztások'!$A:$U,'1 b felosztások'!P$2,0)*$I120,0)</f>
        <v>0</v>
      </c>
      <c r="AB120" s="166">
        <f>IFERROR(VLOOKUP($M120,'1 b felosztások'!$A:$U,'1 b felosztások'!Q$2,0)*$I120,0)</f>
        <v>0</v>
      </c>
      <c r="AC120" s="166"/>
      <c r="AD120" s="166"/>
      <c r="AE120" s="166"/>
      <c r="AF120" s="166"/>
      <c r="AG120" s="166"/>
      <c r="AH120" s="166"/>
      <c r="AI120" s="166"/>
      <c r="AJ120" s="166"/>
      <c r="AK120" s="166"/>
      <c r="AL120" s="166"/>
      <c r="AM120" s="166">
        <f>-I120</f>
        <v>0</v>
      </c>
      <c r="AN120" s="166"/>
      <c r="AO120" s="166"/>
      <c r="AP120" s="166"/>
      <c r="AQ120" s="166"/>
      <c r="AR120" s="166"/>
      <c r="AS120" s="166"/>
      <c r="AT120" s="166"/>
      <c r="AU120" s="166"/>
      <c r="AV120" s="166"/>
      <c r="AW120" s="166"/>
      <c r="AX120" s="166"/>
      <c r="AY120" s="166"/>
      <c r="AZ120" s="186"/>
      <c r="BA120" s="186"/>
      <c r="BB120" s="186"/>
      <c r="BC120" s="186"/>
      <c r="BD120" s="186"/>
      <c r="BE120" s="186"/>
      <c r="BF120" s="186"/>
      <c r="BG120" s="186"/>
      <c r="BH120" s="186"/>
      <c r="BI120" s="183">
        <f>+SUM(N120:AA120)</f>
        <v>0</v>
      </c>
      <c r="BJ120" s="183">
        <f>+AB120</f>
        <v>0</v>
      </c>
      <c r="BK120" s="183">
        <f>+SUM(AC120:AM120)</f>
        <v>0</v>
      </c>
      <c r="BL120" s="183">
        <f>+SUM(AN120:BH120)</f>
        <v>0</v>
      </c>
    </row>
    <row r="121" spans="1:64" s="187" customFormat="1" hidden="1" outlineLevel="2" x14ac:dyDescent="0.3">
      <c r="A121" s="185"/>
      <c r="B121" s="185"/>
      <c r="C121" s="185"/>
      <c r="D121" s="185"/>
      <c r="E121" s="204" t="s">
        <v>2788</v>
      </c>
      <c r="F121" s="185" t="s">
        <v>82</v>
      </c>
      <c r="G121" s="185">
        <v>350</v>
      </c>
      <c r="H121" s="185" t="str">
        <f>IFERROR(VLOOKUP(G121,'2022. tervsor'!C:D,2,0)," ")</f>
        <v>T Üzemeltetési feladatok</v>
      </c>
      <c r="I121" s="202">
        <f>+I119</f>
        <v>-117949452</v>
      </c>
      <c r="J121" s="181">
        <f>SUM(N121:AM121)</f>
        <v>0</v>
      </c>
      <c r="K121" s="166">
        <f t="shared" si="57"/>
        <v>-117949452</v>
      </c>
      <c r="L121" s="166">
        <f>SUM(N121:BH121)</f>
        <v>0</v>
      </c>
      <c r="M121" s="716">
        <v>7</v>
      </c>
      <c r="N121" s="166">
        <f>IFERROR(VLOOKUP($M121,'1 b felosztások'!$A:$U,'1 b felosztások'!C$2,0)*$I121,0)</f>
        <v>-31870712.711995862</v>
      </c>
      <c r="O121" s="166">
        <f>IFERROR(VLOOKUP($M121,'1 b felosztások'!$A:$U,'1 b felosztások'!D$2,0)*$I121,0)</f>
        <v>-7363063.9091859199</v>
      </c>
      <c r="P121" s="166">
        <f>IFERROR(VLOOKUP($M121,'1 b felosztások'!$A:$U,'1 b felosztások'!E$2,0)*$I121,0)</f>
        <v>-1783589.5159160078</v>
      </c>
      <c r="Q121" s="166">
        <f>IFERROR(VLOOKUP($M121,'1 b felosztások'!$A:$U,'1 b felosztások'!F$2,0)*$I121,0)</f>
        <v>-8435701.0978083182</v>
      </c>
      <c r="R121" s="166">
        <f>IFERROR(VLOOKUP($M121,'1 b felosztások'!$A:$U,'1 b felosztások'!G$2,0)*$I121,0)</f>
        <v>-3205494.1705032252</v>
      </c>
      <c r="S121" s="166">
        <f>IFERROR(VLOOKUP($M121,'1 b felosztások'!$A:$U,'1 b felosztások'!H$2,0)*$I121,0)</f>
        <v>-6285121.1061807321</v>
      </c>
      <c r="T121" s="166">
        <f>IFERROR(VLOOKUP($M121,'1 b felosztások'!$A:$U,'1 b felosztások'!I$2,0)*$I121,0)</f>
        <v>-4694791.4162930921</v>
      </c>
      <c r="U121" s="166">
        <f>IFERROR(VLOOKUP($M121,'1 b felosztások'!$A:$U,'1 b felosztások'!J$2,0)*$I121,0)</f>
        <v>-8364809.0588212777</v>
      </c>
      <c r="V121" s="166">
        <f>IFERROR(VLOOKUP($M121,'1 b felosztások'!$A:$U,'1 b felosztások'!K$2,0)*$I121,0)</f>
        <v>-13463843.136917863</v>
      </c>
      <c r="W121" s="166">
        <f>IFERROR(VLOOKUP($M121,'1 b felosztások'!$A:$U,'1 b felosztások'!L$2,0)*$I121,0)</f>
        <v>-8038570.216986008</v>
      </c>
      <c r="X121" s="166">
        <f>IFERROR(VLOOKUP($M121,'1 b felosztások'!$A:$U,'1 b felosztások'!M$2,0)*$I121,0)</f>
        <v>-2783528.4989529699</v>
      </c>
      <c r="Y121" s="166">
        <f>IFERROR(VLOOKUP($M121,'1 b felosztások'!$A:$U,'1 b felosztások'!N$2,0)*$I121,0)</f>
        <v>-18165746.334192138</v>
      </c>
      <c r="Z121" s="166">
        <f>IFERROR(VLOOKUP($M121,'1 b felosztások'!$A:$U,'1 b felosztások'!O$2,0)*$I121,0)</f>
        <v>-3494480.8262465782</v>
      </c>
      <c r="AA121" s="166">
        <f>IFERROR(VLOOKUP($M121,'1 b felosztások'!$A:$U,'1 b felosztások'!P$2,0)*$I121,0)</f>
        <v>0</v>
      </c>
      <c r="AB121" s="166">
        <f>IFERROR(VLOOKUP($M121,'1 b felosztások'!$A:$U,'1 b felosztások'!Q$2,0)*$I121,0)</f>
        <v>0</v>
      </c>
      <c r="AC121" s="166"/>
      <c r="AD121" s="166"/>
      <c r="AE121" s="166"/>
      <c r="AF121" s="166"/>
      <c r="AG121" s="166"/>
      <c r="AH121" s="166"/>
      <c r="AI121" s="166"/>
      <c r="AJ121" s="166"/>
      <c r="AK121" s="166"/>
      <c r="AL121" s="166"/>
      <c r="AM121" s="166">
        <f>-I121</f>
        <v>117949452</v>
      </c>
      <c r="AN121" s="166"/>
      <c r="AO121" s="166"/>
      <c r="AP121" s="166"/>
      <c r="AQ121" s="166"/>
      <c r="AR121" s="166"/>
      <c r="AS121" s="166"/>
      <c r="AT121" s="166"/>
      <c r="AU121" s="166"/>
      <c r="AV121" s="166"/>
      <c r="AW121" s="166"/>
      <c r="AX121" s="166"/>
      <c r="AY121" s="166"/>
      <c r="AZ121" s="186"/>
      <c r="BA121" s="186"/>
      <c r="BB121" s="186"/>
      <c r="BC121" s="186"/>
      <c r="BD121" s="186"/>
      <c r="BE121" s="186"/>
      <c r="BF121" s="186"/>
      <c r="BG121" s="186"/>
      <c r="BH121" s="186"/>
      <c r="BI121" s="183">
        <f>+SUM(N121:AA121)</f>
        <v>-117949451.99999999</v>
      </c>
      <c r="BJ121" s="183">
        <f>+AB121</f>
        <v>0</v>
      </c>
      <c r="BK121" s="183">
        <f>+SUM(AC121:AM121)</f>
        <v>117949452</v>
      </c>
      <c r="BL121" s="183">
        <f>+SUM(AN121:BH121)</f>
        <v>0</v>
      </c>
    </row>
    <row r="122" spans="1:64" s="187" customFormat="1" hidden="1" outlineLevel="2" x14ac:dyDescent="0.3">
      <c r="A122" s="185"/>
      <c r="B122" s="185"/>
      <c r="C122" s="185"/>
      <c r="D122" s="185"/>
      <c r="E122" s="201" t="s">
        <v>2912</v>
      </c>
      <c r="F122" s="185" t="s">
        <v>2791</v>
      </c>
      <c r="G122" s="185">
        <v>1</v>
      </c>
      <c r="H122" s="180" t="s">
        <v>2761</v>
      </c>
      <c r="I122" s="181">
        <f>-I119</f>
        <v>117949452</v>
      </c>
      <c r="J122" s="181"/>
      <c r="K122" s="166">
        <f t="shared" si="57"/>
        <v>117949452</v>
      </c>
      <c r="L122" s="166"/>
      <c r="M122" s="190"/>
      <c r="N122" s="166"/>
      <c r="O122" s="166"/>
      <c r="P122" s="166"/>
      <c r="Q122" s="166"/>
      <c r="R122" s="166"/>
      <c r="S122" s="166"/>
      <c r="T122" s="166"/>
      <c r="U122" s="166"/>
      <c r="V122" s="166"/>
      <c r="W122" s="166"/>
      <c r="X122" s="166"/>
      <c r="Y122" s="166"/>
      <c r="Z122" s="166"/>
      <c r="AA122" s="166"/>
      <c r="AB122" s="166"/>
      <c r="AC122" s="166"/>
      <c r="AD122" s="166"/>
      <c r="AE122" s="166"/>
      <c r="AF122" s="166"/>
      <c r="AG122" s="166"/>
      <c r="AH122" s="166"/>
      <c r="AI122" s="166"/>
      <c r="AJ122" s="166"/>
      <c r="AK122" s="166"/>
      <c r="AL122" s="166"/>
      <c r="AM122" s="166"/>
      <c r="AN122" s="166"/>
      <c r="AO122" s="166"/>
      <c r="AP122" s="166"/>
      <c r="AQ122" s="166"/>
      <c r="AR122" s="166"/>
      <c r="AS122" s="166"/>
      <c r="AT122" s="166"/>
      <c r="AU122" s="166"/>
      <c r="AV122" s="166"/>
      <c r="AW122" s="166"/>
      <c r="AX122" s="166"/>
      <c r="AY122" s="166"/>
      <c r="AZ122" s="186"/>
      <c r="BA122" s="186"/>
      <c r="BB122" s="186"/>
      <c r="BC122" s="186"/>
      <c r="BD122" s="186"/>
      <c r="BE122" s="186"/>
      <c r="BF122" s="186"/>
      <c r="BG122" s="186"/>
      <c r="BH122" s="186"/>
      <c r="BI122" s="183"/>
      <c r="BJ122" s="183"/>
      <c r="BK122" s="183"/>
      <c r="BL122" s="183"/>
    </row>
    <row r="123" spans="1:64" s="187" customFormat="1" hidden="1" outlineLevel="1" x14ac:dyDescent="0.3">
      <c r="A123" s="180">
        <v>19</v>
      </c>
      <c r="B123" s="180" t="s">
        <v>39</v>
      </c>
      <c r="C123" s="180" t="s">
        <v>82</v>
      </c>
      <c r="D123" s="180" t="s">
        <v>2935</v>
      </c>
      <c r="E123" s="180" t="s">
        <v>39</v>
      </c>
      <c r="F123" s="180" t="s">
        <v>2791</v>
      </c>
      <c r="G123" s="180"/>
      <c r="H123" s="185" t="s">
        <v>2707</v>
      </c>
      <c r="I123" s="181">
        <f>IFERROR(VLOOKUP($A123,'Bevétel 2a SZH 2022'!$B:$M,MATCH($I$1,'Bevétel 2a SZH 2022'!$B$1:$M$1,0),0), )</f>
        <v>-157177.689758725</v>
      </c>
      <c r="J123" s="181">
        <f>SUM(N123:AM123)</f>
        <v>-157177.68975872546</v>
      </c>
      <c r="K123" s="181">
        <f t="shared" si="57"/>
        <v>4.6566128730773926E-10</v>
      </c>
      <c r="L123" s="181">
        <f>SUM(N123:AR123)</f>
        <v>0</v>
      </c>
      <c r="M123" s="190"/>
      <c r="N123" s="181">
        <f>SUM(N124:N125)</f>
        <v>0</v>
      </c>
      <c r="O123" s="181">
        <f t="shared" ref="O123:Z123" si="60">SUM(O124:O125)</f>
        <v>-31435.537951745093</v>
      </c>
      <c r="P123" s="181">
        <f t="shared" si="60"/>
        <v>0</v>
      </c>
      <c r="Q123" s="181">
        <f t="shared" si="60"/>
        <v>0</v>
      </c>
      <c r="R123" s="181">
        <f t="shared" si="60"/>
        <v>0</v>
      </c>
      <c r="S123" s="181">
        <f t="shared" si="60"/>
        <v>0</v>
      </c>
      <c r="T123" s="181">
        <f t="shared" si="60"/>
        <v>0</v>
      </c>
      <c r="U123" s="181">
        <f t="shared" si="60"/>
        <v>-31435.537951745093</v>
      </c>
      <c r="V123" s="181">
        <f t="shared" si="60"/>
        <v>0</v>
      </c>
      <c r="W123" s="181">
        <f t="shared" si="60"/>
        <v>0</v>
      </c>
      <c r="X123" s="181">
        <f t="shared" si="60"/>
        <v>0</v>
      </c>
      <c r="Y123" s="181">
        <f t="shared" si="60"/>
        <v>-62871.075903490186</v>
      </c>
      <c r="Z123" s="181">
        <f t="shared" si="60"/>
        <v>-31435.537951745093</v>
      </c>
      <c r="AA123" s="181"/>
      <c r="AB123" s="181"/>
      <c r="AC123" s="181"/>
      <c r="AD123" s="181"/>
      <c r="AE123" s="181"/>
      <c r="AF123" s="181"/>
      <c r="AG123" s="181"/>
      <c r="AH123" s="181"/>
      <c r="AI123" s="181"/>
      <c r="AJ123" s="181"/>
      <c r="AK123" s="181"/>
      <c r="AL123" s="181"/>
      <c r="AM123" s="181"/>
      <c r="AN123" s="181"/>
      <c r="AO123" s="181"/>
      <c r="AP123" s="181"/>
      <c r="AQ123" s="181">
        <f>SUM(AQ124:AQ125)</f>
        <v>157177.68975872546</v>
      </c>
      <c r="AR123" s="181"/>
      <c r="AS123" s="181"/>
      <c r="AT123" s="181"/>
      <c r="AU123" s="181"/>
      <c r="AV123" s="181"/>
      <c r="AW123" s="181"/>
      <c r="AX123" s="181"/>
      <c r="AY123" s="181"/>
      <c r="AZ123" s="183"/>
      <c r="BA123" s="183"/>
      <c r="BB123" s="183"/>
      <c r="BC123" s="183"/>
      <c r="BD123" s="183"/>
      <c r="BE123" s="183"/>
      <c r="BF123" s="183"/>
      <c r="BG123" s="183"/>
      <c r="BH123" s="183"/>
      <c r="BI123" s="183">
        <f>+SUM(N123:AA123)</f>
        <v>-157177.68975872546</v>
      </c>
      <c r="BJ123" s="183">
        <f>+AB123</f>
        <v>0</v>
      </c>
      <c r="BK123" s="183">
        <f>+SUM(AC123:AM123)</f>
        <v>0</v>
      </c>
      <c r="BL123" s="183">
        <f>+SUM(AN123:BH123)</f>
        <v>157177.68975872546</v>
      </c>
    </row>
    <row r="124" spans="1:64" s="187" customFormat="1" hidden="1" outlineLevel="1" x14ac:dyDescent="0.3">
      <c r="A124" s="180"/>
      <c r="B124" s="180"/>
      <c r="C124" s="180"/>
      <c r="D124" s="180"/>
      <c r="E124" s="180" t="s">
        <v>4066</v>
      </c>
      <c r="F124" s="180" t="s">
        <v>82</v>
      </c>
      <c r="G124" s="180">
        <v>292</v>
      </c>
      <c r="H124" s="185" t="s">
        <v>620</v>
      </c>
      <c r="I124" s="181">
        <f>IFERROR(-VLOOKUP($I$1,'16'!$A:$G,6,0),0)</f>
        <v>0</v>
      </c>
      <c r="J124" s="166">
        <f>SUM(N124:AM124)</f>
        <v>0</v>
      </c>
      <c r="K124" s="166">
        <f t="shared" si="57"/>
        <v>0</v>
      </c>
      <c r="L124" s="166">
        <f>SUM(N124:AR124)</f>
        <v>0</v>
      </c>
      <c r="M124" s="753">
        <v>9</v>
      </c>
      <c r="N124" s="166">
        <f>IFERROR(VLOOKUP($M124,'1 b felosztások'!$A:$U,'1 b felosztások'!C$2,0)*$I124,0)</f>
        <v>0</v>
      </c>
      <c r="O124" s="166">
        <f>IFERROR(VLOOKUP($M124,'1 b felosztások'!$A:$U,'1 b felosztások'!D$2,0)*$I124,0)</f>
        <v>0</v>
      </c>
      <c r="P124" s="166">
        <f>IFERROR(VLOOKUP($M124,'1 b felosztások'!$A:$U,'1 b felosztások'!E$2,0)*$I124,0)</f>
        <v>0</v>
      </c>
      <c r="Q124" s="166">
        <f>IFERROR(VLOOKUP($M124,'1 b felosztások'!$A:$U,'1 b felosztások'!F$2,0)*$I124,0)</f>
        <v>0</v>
      </c>
      <c r="R124" s="166">
        <f>IFERROR(VLOOKUP($M124,'1 b felosztások'!$A:$U,'1 b felosztások'!G$2,0)*$I124,0)</f>
        <v>0</v>
      </c>
      <c r="S124" s="166">
        <f>IFERROR(VLOOKUP($M124,'1 b felosztások'!$A:$U,'1 b felosztások'!H$2,0)*$I124,0)</f>
        <v>0</v>
      </c>
      <c r="T124" s="166">
        <f>IFERROR(VLOOKUP($M124,'1 b felosztások'!$A:$U,'1 b felosztások'!I$2,0)*$I124,0)</f>
        <v>0</v>
      </c>
      <c r="U124" s="166">
        <f>IFERROR(VLOOKUP($M124,'1 b felosztások'!$A:$U,'1 b felosztások'!J$2,0)*$I124,0)</f>
        <v>0</v>
      </c>
      <c r="V124" s="166">
        <f>IFERROR(VLOOKUP($M124,'1 b felosztások'!$A:$U,'1 b felosztások'!K$2,0)*$I124,0)</f>
        <v>0</v>
      </c>
      <c r="W124" s="166">
        <f>IFERROR(VLOOKUP($M124,'1 b felosztások'!$A:$U,'1 b felosztások'!L$2,0)*$I124,0)</f>
        <v>0</v>
      </c>
      <c r="X124" s="166">
        <f>IFERROR(VLOOKUP($M124,'1 b felosztások'!$A:$U,'1 b felosztások'!M$2,0)*$I124,0)</f>
        <v>0</v>
      </c>
      <c r="Y124" s="166">
        <f>IFERROR(VLOOKUP($M124,'1 b felosztások'!$A:$U,'1 b felosztások'!N$2,0)*$I124,0)</f>
        <v>0</v>
      </c>
      <c r="Z124" s="166">
        <f>IFERROR(VLOOKUP($M124,'1 b felosztások'!$A:$U,'1 b felosztások'!O$2,0)*$I124,0)</f>
        <v>0</v>
      </c>
      <c r="AA124" s="166"/>
      <c r="AB124" s="166"/>
      <c r="AC124" s="166"/>
      <c r="AD124" s="166"/>
      <c r="AE124" s="166"/>
      <c r="AF124" s="166"/>
      <c r="AG124" s="166"/>
      <c r="AH124" s="166"/>
      <c r="AI124" s="166"/>
      <c r="AJ124" s="166"/>
      <c r="AK124" s="166"/>
      <c r="AL124" s="166"/>
      <c r="AM124" s="166"/>
      <c r="AN124" s="166"/>
      <c r="AO124" s="166"/>
      <c r="AP124" s="166"/>
      <c r="AQ124" s="166">
        <f>$I124*-1</f>
        <v>0</v>
      </c>
      <c r="AR124" s="166"/>
      <c r="AS124" s="166"/>
      <c r="AT124" s="166"/>
      <c r="AU124" s="166"/>
      <c r="AV124" s="166"/>
      <c r="AW124" s="166"/>
      <c r="AX124" s="166"/>
      <c r="AY124" s="166"/>
      <c r="AZ124" s="186"/>
      <c r="BA124" s="186"/>
      <c r="BB124" s="186"/>
      <c r="BC124" s="186"/>
      <c r="BD124" s="186"/>
      <c r="BE124" s="186"/>
      <c r="BF124" s="186"/>
      <c r="BG124" s="186"/>
      <c r="BH124" s="186"/>
      <c r="BI124" s="186">
        <f>+SUM(N124:AA124)</f>
        <v>0</v>
      </c>
      <c r="BJ124" s="186">
        <f>+AB124</f>
        <v>0</v>
      </c>
      <c r="BK124" s="186">
        <f>+SUM(AC124:AM124)</f>
        <v>0</v>
      </c>
      <c r="BL124" s="186">
        <f>+SUM(AN124:BH124)</f>
        <v>0</v>
      </c>
    </row>
    <row r="125" spans="1:64" s="187" customFormat="1" hidden="1" outlineLevel="1" x14ac:dyDescent="0.3">
      <c r="A125" s="180"/>
      <c r="B125" s="180"/>
      <c r="C125" s="180"/>
      <c r="D125" s="180"/>
      <c r="E125" s="180" t="s">
        <v>4067</v>
      </c>
      <c r="F125" s="180" t="s">
        <v>82</v>
      </c>
      <c r="G125" s="180">
        <v>338</v>
      </c>
      <c r="H125" s="185" t="s">
        <v>3448</v>
      </c>
      <c r="I125" s="181">
        <f>IFERROR(-VLOOKUP($I$1,'16'!$A:$G,4,0),0)</f>
        <v>-157177.68975872546</v>
      </c>
      <c r="J125" s="166">
        <f>SUM(N125:AM125)</f>
        <v>-157177.68975872546</v>
      </c>
      <c r="K125" s="166">
        <f t="shared" si="57"/>
        <v>0</v>
      </c>
      <c r="L125" s="166">
        <f>SUM(N125:AR125)</f>
        <v>0</v>
      </c>
      <c r="M125" s="753">
        <v>9</v>
      </c>
      <c r="N125" s="166">
        <f>IFERROR(VLOOKUP($M125,'1 b felosztások'!$A:$U,'1 b felosztások'!C$2,0)*$I125,0)</f>
        <v>0</v>
      </c>
      <c r="O125" s="166">
        <f>IFERROR(VLOOKUP($M125,'1 b felosztások'!$A:$U,'1 b felosztások'!D$2,0)*$I125,0)</f>
        <v>-31435.537951745093</v>
      </c>
      <c r="P125" s="166">
        <f>IFERROR(VLOOKUP($M125,'1 b felosztások'!$A:$U,'1 b felosztások'!E$2,0)*$I125,0)</f>
        <v>0</v>
      </c>
      <c r="Q125" s="166">
        <f>IFERROR(VLOOKUP($M125,'1 b felosztások'!$A:$U,'1 b felosztások'!F$2,0)*$I125,0)</f>
        <v>0</v>
      </c>
      <c r="R125" s="166">
        <f>IFERROR(VLOOKUP($M125,'1 b felosztások'!$A:$U,'1 b felosztások'!G$2,0)*$I125,0)</f>
        <v>0</v>
      </c>
      <c r="S125" s="166">
        <f>IFERROR(VLOOKUP($M125,'1 b felosztások'!$A:$U,'1 b felosztások'!H$2,0)*$I125,0)</f>
        <v>0</v>
      </c>
      <c r="T125" s="166">
        <f>IFERROR(VLOOKUP($M125,'1 b felosztások'!$A:$U,'1 b felosztások'!I$2,0)*$I125,0)</f>
        <v>0</v>
      </c>
      <c r="U125" s="166">
        <f>IFERROR(VLOOKUP($M125,'1 b felosztások'!$A:$U,'1 b felosztások'!J$2,0)*$I125,0)</f>
        <v>-31435.537951745093</v>
      </c>
      <c r="V125" s="166">
        <f>IFERROR(VLOOKUP($M125,'1 b felosztások'!$A:$U,'1 b felosztások'!K$2,0)*$I125,0)</f>
        <v>0</v>
      </c>
      <c r="W125" s="166">
        <f>IFERROR(VLOOKUP($M125,'1 b felosztások'!$A:$U,'1 b felosztások'!L$2,0)*$I125,0)</f>
        <v>0</v>
      </c>
      <c r="X125" s="166">
        <f>IFERROR(VLOOKUP($M125,'1 b felosztások'!$A:$U,'1 b felosztások'!M$2,0)*$I125,0)</f>
        <v>0</v>
      </c>
      <c r="Y125" s="166">
        <f>IFERROR(VLOOKUP($M125,'1 b felosztások'!$A:$U,'1 b felosztások'!N$2,0)*$I125,0)</f>
        <v>-62871.075903490186</v>
      </c>
      <c r="Z125" s="166">
        <f>IFERROR(VLOOKUP($M125,'1 b felosztások'!$A:$U,'1 b felosztások'!O$2,0)*$I125,0)</f>
        <v>-31435.537951745093</v>
      </c>
      <c r="AA125" s="166"/>
      <c r="AB125" s="166"/>
      <c r="AC125" s="166"/>
      <c r="AD125" s="166"/>
      <c r="AE125" s="166"/>
      <c r="AF125" s="166"/>
      <c r="AG125" s="166"/>
      <c r="AH125" s="166"/>
      <c r="AI125" s="166"/>
      <c r="AJ125" s="166"/>
      <c r="AK125" s="166"/>
      <c r="AL125" s="166"/>
      <c r="AM125" s="166"/>
      <c r="AN125" s="166"/>
      <c r="AO125" s="166"/>
      <c r="AP125" s="166"/>
      <c r="AQ125" s="166">
        <f>$I125*-1</f>
        <v>157177.68975872546</v>
      </c>
      <c r="AR125" s="166"/>
      <c r="AS125" s="166"/>
      <c r="AT125" s="166"/>
      <c r="AU125" s="166"/>
      <c r="AV125" s="166"/>
      <c r="AW125" s="166"/>
      <c r="AX125" s="166"/>
      <c r="AY125" s="166"/>
      <c r="AZ125" s="186"/>
      <c r="BA125" s="186"/>
      <c r="BB125" s="186"/>
      <c r="BC125" s="186"/>
      <c r="BD125" s="186"/>
      <c r="BE125" s="186"/>
      <c r="BF125" s="186"/>
      <c r="BG125" s="186"/>
      <c r="BH125" s="186"/>
      <c r="BI125" s="186">
        <f>+SUM(N125:AA125)</f>
        <v>-157177.68975872546</v>
      </c>
      <c r="BJ125" s="186">
        <f>+AB125</f>
        <v>0</v>
      </c>
      <c r="BK125" s="186">
        <f>+SUM(AC125:AM125)</f>
        <v>0</v>
      </c>
      <c r="BL125" s="186">
        <f>+SUM(AN125:BH125)</f>
        <v>157177.68975872546</v>
      </c>
    </row>
    <row r="126" spans="1:64" s="187" customFormat="1" ht="24.6" customHeight="1" collapsed="1" x14ac:dyDescent="0.3">
      <c r="A126" s="198"/>
      <c r="B126" s="206" t="s">
        <v>40</v>
      </c>
      <c r="C126" s="206" t="s">
        <v>2915</v>
      </c>
      <c r="D126" s="206" t="s">
        <v>2936</v>
      </c>
      <c r="E126" s="206" t="str">
        <f>+B126</f>
        <v>Bevételi egyenleg I. (itt lévő előirányzatok)</v>
      </c>
      <c r="F126" s="198"/>
      <c r="G126" s="198"/>
      <c r="H126" s="198"/>
      <c r="I126" s="199">
        <f>+I88+I89+I92+I95+I98+I99+I101+I102+I109+I112+I123+I115+I119+I118+I122+I100</f>
        <v>564014676.05954194</v>
      </c>
      <c r="J126" s="199">
        <f>+J88+J89+J92+J95+J98+J99+J101+J102+J109+J112+J123+J115+J119+J118+J122+J100</f>
        <v>564014674.38666844</v>
      </c>
      <c r="K126" s="199">
        <f t="shared" ref="K126:BL126" si="61">+K88+K89+K92+K95+K98+K99+K101+K102+K109+K112+K123+K115+K119+K118+K122+K100</f>
        <v>1.6728736609220505</v>
      </c>
      <c r="L126" s="199">
        <f t="shared" si="61"/>
        <v>788624499.11810255</v>
      </c>
      <c r="M126" s="199"/>
      <c r="N126" s="199">
        <f t="shared" si="61"/>
        <v>98593238.872981951</v>
      </c>
      <c r="O126" s="199">
        <f t="shared" ref="O126:Z126" si="62">+O88+O89+O92+O95+O98+O99+O101+O102+O109+O112+O123+O115+O119+O118+O122+O100</f>
        <v>18130200.65678506</v>
      </c>
      <c r="P126" s="199">
        <f t="shared" si="62"/>
        <v>3804345.6522635701</v>
      </c>
      <c r="Q126" s="199">
        <f t="shared" si="62"/>
        <v>26945164.636903375</v>
      </c>
      <c r="R126" s="199">
        <f t="shared" si="62"/>
        <v>9780486.1571175084</v>
      </c>
      <c r="S126" s="199">
        <f t="shared" si="62"/>
        <v>29125592.900471687</v>
      </c>
      <c r="T126" s="199">
        <f t="shared" si="62"/>
        <v>20249149.071346812</v>
      </c>
      <c r="U126" s="199">
        <f t="shared" si="62"/>
        <v>31485795.938983407</v>
      </c>
      <c r="V126" s="199">
        <f t="shared" si="62"/>
        <v>40737981.383573823</v>
      </c>
      <c r="W126" s="199">
        <f t="shared" si="62"/>
        <v>31314086.053602464</v>
      </c>
      <c r="X126" s="199">
        <f t="shared" si="62"/>
        <v>21505272.822379731</v>
      </c>
      <c r="Y126" s="199">
        <f t="shared" si="62"/>
        <v>73833610.717239961</v>
      </c>
      <c r="Z126" s="199">
        <f t="shared" si="62"/>
        <v>14863900.380308608</v>
      </c>
      <c r="AA126" s="199">
        <f t="shared" si="61"/>
        <v>5828727.4440074675</v>
      </c>
      <c r="AB126" s="199">
        <f t="shared" si="61"/>
        <v>-691762.04621570953</v>
      </c>
      <c r="AC126" s="199">
        <f t="shared" si="61"/>
        <v>-146950.88694604131</v>
      </c>
      <c r="AD126" s="199">
        <f t="shared" si="61"/>
        <v>5530000</v>
      </c>
      <c r="AE126" s="199">
        <f t="shared" si="61"/>
        <v>0</v>
      </c>
      <c r="AF126" s="199">
        <f>+AF88+AF89+AF92+AF95+AF98+AF99+AF101+AF102+AF109+AF112+AF123+AF115+AF119+AF118+AF122+AF100</f>
        <v>11829367.511864644</v>
      </c>
      <c r="AG126" s="199">
        <f>+AG88+AG89+AG92+AG95+AG98+AG99+AG101+AG102+AG109+AG112+AG123+AG115+AG119+AG118+AG122+AG100</f>
        <v>0</v>
      </c>
      <c r="AH126" s="199">
        <f t="shared" si="61"/>
        <v>0</v>
      </c>
      <c r="AI126" s="199">
        <f t="shared" si="61"/>
        <v>0</v>
      </c>
      <c r="AJ126" s="199">
        <f t="shared" si="61"/>
        <v>0</v>
      </c>
      <c r="AK126" s="199">
        <f t="shared" si="61"/>
        <v>0</v>
      </c>
      <c r="AL126" s="199">
        <f t="shared" si="61"/>
        <v>0</v>
      </c>
      <c r="AM126" s="199">
        <f t="shared" si="61"/>
        <v>121296467.12</v>
      </c>
      <c r="AN126" s="199">
        <f t="shared" si="61"/>
        <v>1911197</v>
      </c>
      <c r="AO126" s="199">
        <f t="shared" si="61"/>
        <v>149838655.15028548</v>
      </c>
      <c r="AP126" s="199">
        <f t="shared" si="61"/>
        <v>40180860</v>
      </c>
      <c r="AQ126" s="199">
        <f t="shared" si="61"/>
        <v>157177.68975872546</v>
      </c>
      <c r="AR126" s="199">
        <f t="shared" si="61"/>
        <v>3943122.5039548804</v>
      </c>
      <c r="AS126" s="199">
        <f t="shared" si="61"/>
        <v>0</v>
      </c>
      <c r="AT126" s="199">
        <f t="shared" si="61"/>
        <v>0</v>
      </c>
      <c r="AU126" s="199">
        <f t="shared" si="61"/>
        <v>0</v>
      </c>
      <c r="AV126" s="199">
        <f t="shared" si="61"/>
        <v>0</v>
      </c>
      <c r="AW126" s="199">
        <f t="shared" si="61"/>
        <v>0</v>
      </c>
      <c r="AX126" s="199">
        <f t="shared" si="61"/>
        <v>0</v>
      </c>
      <c r="AY126" s="199">
        <f t="shared" si="61"/>
        <v>9239068.3874350004</v>
      </c>
      <c r="AZ126" s="199">
        <f t="shared" si="61"/>
        <v>0</v>
      </c>
      <c r="BA126" s="199">
        <f t="shared" si="61"/>
        <v>0</v>
      </c>
      <c r="BB126" s="199">
        <f t="shared" si="61"/>
        <v>0</v>
      </c>
      <c r="BC126" s="199">
        <f t="shared" si="61"/>
        <v>0</v>
      </c>
      <c r="BD126" s="199">
        <f t="shared" si="61"/>
        <v>0</v>
      </c>
      <c r="BE126" s="199">
        <f>+BE88+BE89+BE92+BE95+BE98+BE99+BE101+BE102+BE109+BE112+BE123+BE115+BE119+BE118+BE122+BE100</f>
        <v>0</v>
      </c>
      <c r="BF126" s="199">
        <f t="shared" si="61"/>
        <v>19339744</v>
      </c>
      <c r="BG126" s="199">
        <f t="shared" si="61"/>
        <v>0</v>
      </c>
      <c r="BH126" s="199">
        <f t="shared" si="61"/>
        <v>0</v>
      </c>
      <c r="BI126" s="199">
        <f t="shared" si="61"/>
        <v>426197552.68796539</v>
      </c>
      <c r="BJ126" s="199">
        <f t="shared" si="61"/>
        <v>-691762.04621570953</v>
      </c>
      <c r="BK126" s="199">
        <f t="shared" si="61"/>
        <v>138508883.74491861</v>
      </c>
      <c r="BL126" s="199">
        <f t="shared" si="61"/>
        <v>224609824.73143408</v>
      </c>
    </row>
    <row r="127" spans="1:64" s="187" customFormat="1" ht="46.8" hidden="1" outlineLevel="1" x14ac:dyDescent="0.3">
      <c r="A127" s="180">
        <v>21</v>
      </c>
      <c r="B127" s="180" t="s">
        <v>2</v>
      </c>
      <c r="C127" s="180" t="s">
        <v>82</v>
      </c>
      <c r="D127" s="180" t="s">
        <v>2937</v>
      </c>
      <c r="E127" s="414" t="s">
        <v>3388</v>
      </c>
      <c r="F127" s="180" t="s">
        <v>85</v>
      </c>
      <c r="G127" s="185"/>
      <c r="H127" s="180" t="s">
        <v>2</v>
      </c>
      <c r="I127" s="181">
        <f>IFERROR(VLOOKUP($A127,'Bevétel 2a SZH 2022'!$B:$M,MATCH($I$1,'Bevétel 2a SZH 2022'!$B$1:$M$1,0),0), )</f>
        <v>82890777</v>
      </c>
      <c r="J127" s="181">
        <f t="shared" ref="J127:J142" si="63">SUM(N127:AM127)</f>
        <v>82890777</v>
      </c>
      <c r="K127" s="166">
        <f t="shared" ref="K127:K142" si="64">+I127-J127</f>
        <v>0</v>
      </c>
      <c r="L127" s="166">
        <f t="shared" ref="L127:L142" si="65">SUM(N127:BH127)</f>
        <v>82890777</v>
      </c>
      <c r="M127" s="190"/>
      <c r="N127" s="202">
        <v>4719928</v>
      </c>
      <c r="O127" s="202">
        <v>3619896</v>
      </c>
      <c r="P127" s="202">
        <v>4723001</v>
      </c>
      <c r="Q127" s="202">
        <v>4655499</v>
      </c>
      <c r="R127" s="202">
        <v>2039679</v>
      </c>
      <c r="S127" s="202">
        <v>231095</v>
      </c>
      <c r="T127" s="202">
        <v>205029</v>
      </c>
      <c r="U127" s="202">
        <v>4969694</v>
      </c>
      <c r="V127" s="202">
        <v>2031835</v>
      </c>
      <c r="W127" s="202">
        <v>740368</v>
      </c>
      <c r="X127" s="202">
        <v>638820</v>
      </c>
      <c r="Y127" s="202">
        <v>-1233818</v>
      </c>
      <c r="Z127" s="202">
        <v>1206938</v>
      </c>
      <c r="AA127" s="202">
        <v>3662720</v>
      </c>
      <c r="AB127" s="202">
        <v>13407296</v>
      </c>
      <c r="AC127" s="202">
        <v>38822194</v>
      </c>
      <c r="AD127" s="202">
        <v>91500</v>
      </c>
      <c r="AE127" s="202"/>
      <c r="AF127" s="202"/>
      <c r="AG127" s="202"/>
      <c r="AH127" s="202">
        <v>-452535</v>
      </c>
      <c r="AI127" s="202"/>
      <c r="AJ127" s="202"/>
      <c r="AK127" s="202"/>
      <c r="AL127" s="202"/>
      <c r="AM127" s="202">
        <v>-1188362</v>
      </c>
      <c r="AN127" s="166"/>
      <c r="AO127" s="166"/>
      <c r="AP127" s="166"/>
      <c r="AQ127" s="166"/>
      <c r="AR127" s="166"/>
      <c r="AS127" s="166"/>
      <c r="AT127" s="166"/>
      <c r="AU127" s="166"/>
      <c r="AV127" s="166"/>
      <c r="AW127" s="166"/>
      <c r="AX127" s="166"/>
      <c r="AY127" s="166"/>
      <c r="AZ127" s="186"/>
      <c r="BA127" s="186"/>
      <c r="BB127" s="186"/>
      <c r="BC127" s="186"/>
      <c r="BD127" s="186"/>
      <c r="BE127" s="186"/>
      <c r="BF127" s="186"/>
      <c r="BG127" s="186"/>
      <c r="BH127" s="186"/>
      <c r="BI127" s="183">
        <f t="shared" ref="BI127:BI158" si="66">+SUM(N127:AA127)</f>
        <v>32210684</v>
      </c>
      <c r="BJ127" s="183">
        <f t="shared" ref="BJ127:BJ158" si="67">+AB127</f>
        <v>13407296</v>
      </c>
      <c r="BK127" s="183">
        <f t="shared" ref="BK127:BK158" si="68">+SUM(AC127:AM127)</f>
        <v>37272797</v>
      </c>
      <c r="BL127" s="183">
        <f t="shared" ref="BL127:BL158" si="69">+SUM(AN127:BH127)</f>
        <v>0</v>
      </c>
    </row>
    <row r="128" spans="1:64" s="187" customFormat="1" ht="31.2" hidden="1" outlineLevel="1" x14ac:dyDescent="0.3">
      <c r="A128" s="180">
        <v>22</v>
      </c>
      <c r="B128" s="180" t="s">
        <v>2</v>
      </c>
      <c r="C128" s="180" t="s">
        <v>82</v>
      </c>
      <c r="D128" s="180" t="s">
        <v>2937</v>
      </c>
      <c r="E128" s="414" t="s">
        <v>3389</v>
      </c>
      <c r="F128" s="180" t="s">
        <v>85</v>
      </c>
      <c r="G128" s="185"/>
      <c r="H128" s="180" t="s">
        <v>2</v>
      </c>
      <c r="I128" s="181">
        <f>+J128</f>
        <v>-9438903</v>
      </c>
      <c r="J128" s="181">
        <f t="shared" si="63"/>
        <v>-9438903</v>
      </c>
      <c r="K128" s="166">
        <f t="shared" si="64"/>
        <v>0</v>
      </c>
      <c r="L128" s="166">
        <f t="shared" si="65"/>
        <v>-9438903</v>
      </c>
      <c r="M128" s="190"/>
      <c r="N128" s="202">
        <v>-149155</v>
      </c>
      <c r="O128" s="202">
        <v>-145332</v>
      </c>
      <c r="P128" s="202">
        <v>-325110</v>
      </c>
      <c r="Q128" s="202">
        <v>-244029</v>
      </c>
      <c r="R128" s="202">
        <v>-133237</v>
      </c>
      <c r="S128" s="202">
        <v>-175297</v>
      </c>
      <c r="T128" s="202">
        <v>-75816</v>
      </c>
      <c r="U128" s="202">
        <v>-813610</v>
      </c>
      <c r="V128" s="202">
        <v>-2161969</v>
      </c>
      <c r="W128" s="202">
        <v>-395240</v>
      </c>
      <c r="X128" s="202">
        <v>-20000</v>
      </c>
      <c r="Y128" s="202">
        <v>-547161</v>
      </c>
      <c r="Z128" s="202">
        <v>-3300</v>
      </c>
      <c r="AA128" s="202">
        <v>-1028425</v>
      </c>
      <c r="AB128" s="202">
        <v>-2854508</v>
      </c>
      <c r="AC128" s="202">
        <v>-89097</v>
      </c>
      <c r="AD128" s="202"/>
      <c r="AE128" s="202">
        <v>-9286</v>
      </c>
      <c r="AF128" s="202"/>
      <c r="AG128" s="202"/>
      <c r="AH128" s="202"/>
      <c r="AI128" s="202"/>
      <c r="AJ128" s="202"/>
      <c r="AK128" s="202"/>
      <c r="AL128" s="202"/>
      <c r="AM128" s="202">
        <v>-268331</v>
      </c>
      <c r="AN128" s="166"/>
      <c r="AO128" s="166"/>
      <c r="AP128" s="166"/>
      <c r="AQ128" s="166"/>
      <c r="AR128" s="166"/>
      <c r="AS128" s="166"/>
      <c r="AT128" s="166"/>
      <c r="AU128" s="166"/>
      <c r="AV128" s="166"/>
      <c r="AW128" s="166"/>
      <c r="AX128" s="166"/>
      <c r="AY128" s="166"/>
      <c r="AZ128" s="186"/>
      <c r="BA128" s="186"/>
      <c r="BB128" s="186"/>
      <c r="BC128" s="186"/>
      <c r="BD128" s="186"/>
      <c r="BE128" s="186"/>
      <c r="BF128" s="186"/>
      <c r="BG128" s="186"/>
      <c r="BH128" s="186"/>
      <c r="BI128" s="183">
        <f t="shared" si="66"/>
        <v>-6217681</v>
      </c>
      <c r="BJ128" s="183">
        <f t="shared" si="67"/>
        <v>-2854508</v>
      </c>
      <c r="BK128" s="183">
        <f t="shared" si="68"/>
        <v>-366714</v>
      </c>
      <c r="BL128" s="183">
        <f t="shared" si="69"/>
        <v>0</v>
      </c>
    </row>
    <row r="129" spans="1:64" s="187" customFormat="1" hidden="1" outlineLevel="1" x14ac:dyDescent="0.3">
      <c r="A129" s="180">
        <v>23</v>
      </c>
      <c r="B129" s="180" t="s">
        <v>2</v>
      </c>
      <c r="C129" s="180" t="s">
        <v>82</v>
      </c>
      <c r="D129" s="180" t="s">
        <v>2937</v>
      </c>
      <c r="E129" s="350" t="s">
        <v>3390</v>
      </c>
      <c r="F129" s="180" t="s">
        <v>85</v>
      </c>
      <c r="G129" s="185"/>
      <c r="H129" s="180" t="s">
        <v>2</v>
      </c>
      <c r="I129" s="181">
        <f>IFERROR(VLOOKUP($A129,'Bevétel 2a SZH 2022'!$B:$M,MATCH($I$1,'Bevétel 2a SZH 2022'!$B$1:$M$1,0),0), )</f>
        <v>482684</v>
      </c>
      <c r="J129" s="181">
        <f t="shared" si="63"/>
        <v>482684</v>
      </c>
      <c r="K129" s="166">
        <f t="shared" si="64"/>
        <v>0</v>
      </c>
      <c r="L129" s="166">
        <f t="shared" si="65"/>
        <v>482684</v>
      </c>
      <c r="M129" s="190"/>
      <c r="N129" s="166"/>
      <c r="O129" s="166"/>
      <c r="P129" s="166"/>
      <c r="Q129" s="166"/>
      <c r="R129" s="166"/>
      <c r="S129" s="166"/>
      <c r="T129" s="166"/>
      <c r="U129" s="166"/>
      <c r="V129" s="166"/>
      <c r="W129" s="166"/>
      <c r="X129" s="166"/>
      <c r="Y129" s="166"/>
      <c r="Z129" s="166"/>
      <c r="AA129" s="166"/>
      <c r="AB129" s="166"/>
      <c r="AC129" s="166"/>
      <c r="AD129" s="166"/>
      <c r="AE129" s="166"/>
      <c r="AF129" s="166">
        <f>I129</f>
        <v>482684</v>
      </c>
      <c r="AG129" s="166"/>
      <c r="AH129" s="166"/>
      <c r="AI129" s="166"/>
      <c r="AJ129" s="166"/>
      <c r="AK129" s="166"/>
      <c r="AL129" s="166"/>
      <c r="AM129" s="166"/>
      <c r="AN129" s="166"/>
      <c r="AO129" s="166"/>
      <c r="AP129" s="166"/>
      <c r="AQ129" s="166"/>
      <c r="AR129" s="166"/>
      <c r="AS129" s="166"/>
      <c r="AT129" s="166"/>
      <c r="AU129" s="166"/>
      <c r="AV129" s="166"/>
      <c r="AW129" s="166"/>
      <c r="AX129" s="166"/>
      <c r="AY129" s="166"/>
      <c r="AZ129" s="186"/>
      <c r="BA129" s="186"/>
      <c r="BB129" s="186"/>
      <c r="BC129" s="186"/>
      <c r="BD129" s="186"/>
      <c r="BE129" s="186"/>
      <c r="BF129" s="186"/>
      <c r="BG129" s="186"/>
      <c r="BH129" s="186"/>
      <c r="BI129" s="183">
        <f t="shared" si="66"/>
        <v>0</v>
      </c>
      <c r="BJ129" s="183">
        <f t="shared" si="67"/>
        <v>0</v>
      </c>
      <c r="BK129" s="183">
        <f t="shared" si="68"/>
        <v>482684</v>
      </c>
      <c r="BL129" s="183">
        <f t="shared" si="69"/>
        <v>0</v>
      </c>
    </row>
    <row r="130" spans="1:64" s="187" customFormat="1" hidden="1" outlineLevel="1" x14ac:dyDescent="0.3">
      <c r="A130" s="180">
        <v>24</v>
      </c>
      <c r="B130" s="180" t="s">
        <v>2</v>
      </c>
      <c r="C130" s="180" t="s">
        <v>82</v>
      </c>
      <c r="D130" s="180" t="s">
        <v>2937</v>
      </c>
      <c r="E130" s="180" t="s">
        <v>0</v>
      </c>
      <c r="F130" s="180" t="s">
        <v>85</v>
      </c>
      <c r="G130" s="185"/>
      <c r="H130" s="180" t="s">
        <v>2</v>
      </c>
      <c r="I130" s="181">
        <f>IFERROR(VLOOKUP($A130,'Bevétel 2a SZH 2022'!$B:$M,MATCH($I$1,'Bevétel 2a SZH 2022'!$B$1:$M$1,0),0), )</f>
        <v>705842</v>
      </c>
      <c r="J130" s="181">
        <f t="shared" si="63"/>
        <v>705841.99999999988</v>
      </c>
      <c r="K130" s="166">
        <f t="shared" si="64"/>
        <v>0</v>
      </c>
      <c r="L130" s="166">
        <f t="shared" si="65"/>
        <v>705841.99999999988</v>
      </c>
      <c r="M130" s="716">
        <v>7</v>
      </c>
      <c r="N130" s="166">
        <f>IFERROR(VLOOKUP($M130,'1 b felosztások'!$A:$U,'1 b felosztások'!C$2,0)*$I130,0)</f>
        <v>190723.12096931646</v>
      </c>
      <c r="O130" s="166">
        <f>IFERROR(VLOOKUP($M130,'1 b felosztások'!$A:$U,'1 b felosztások'!D$2,0)*$I130,0)</f>
        <v>44062.601967727736</v>
      </c>
      <c r="P130" s="166">
        <f>IFERROR(VLOOKUP($M130,'1 b felosztások'!$A:$U,'1 b felosztások'!E$2,0)*$I130,0)</f>
        <v>10673.490802595563</v>
      </c>
      <c r="Q130" s="166">
        <f>IFERROR(VLOOKUP($M130,'1 b felosztások'!$A:$U,'1 b felosztások'!F$2,0)*$I130,0)</f>
        <v>50481.558271921596</v>
      </c>
      <c r="R130" s="166">
        <f>IFERROR(VLOOKUP($M130,'1 b felosztások'!$A:$U,'1 b felosztások'!G$2,0)*$I130,0)</f>
        <v>19182.559799398961</v>
      </c>
      <c r="S130" s="166">
        <f>IFERROR(VLOOKUP($M130,'1 b felosztások'!$A:$U,'1 b felosztások'!H$2,0)*$I130,0)</f>
        <v>37611.895406083109</v>
      </c>
      <c r="T130" s="166">
        <f>IFERROR(VLOOKUP($M130,'1 b felosztások'!$A:$U,'1 b felosztások'!I$2,0)*$I130,0)</f>
        <v>28094.92461956626</v>
      </c>
      <c r="U130" s="166">
        <f>IFERROR(VLOOKUP($M130,'1 b felosztások'!$A:$U,'1 b felosztások'!J$2,0)*$I130,0)</f>
        <v>50057.320789388054</v>
      </c>
      <c r="V130" s="166">
        <f>IFERROR(VLOOKUP($M130,'1 b felosztások'!$A:$U,'1 b felosztások'!K$2,0)*$I130,0)</f>
        <v>80571.344811745104</v>
      </c>
      <c r="W130" s="166">
        <f>IFERROR(VLOOKUP($M130,'1 b felosztások'!$A:$U,'1 b felosztások'!L$2,0)*$I130,0)</f>
        <v>48105.017724862664</v>
      </c>
      <c r="X130" s="166">
        <f>IFERROR(VLOOKUP($M130,'1 b felosztások'!$A:$U,'1 b felosztások'!M$2,0)*$I130,0)</f>
        <v>16657.401025974774</v>
      </c>
      <c r="Y130" s="166">
        <f>IFERROR(VLOOKUP($M130,'1 b felosztások'!$A:$U,'1 b felosztások'!N$2,0)*$I130,0)</f>
        <v>108708.82828704323</v>
      </c>
      <c r="Z130" s="166">
        <f>IFERROR(VLOOKUP($M130,'1 b felosztások'!$A:$U,'1 b felosztások'!O$2,0)*$I130,0)</f>
        <v>20911.935524376469</v>
      </c>
      <c r="AA130" s="166">
        <f>IFERROR(VLOOKUP($M130,'1 b felosztások'!$A:$U,'1 b felosztások'!P$2,0)*$I130,0)</f>
        <v>0</v>
      </c>
      <c r="AB130" s="166">
        <f>IFERROR(VLOOKUP($M130,'1 b felosztások'!$A:$U,'1 b felosztások'!Q$2,0)*$I130,0)</f>
        <v>0</v>
      </c>
      <c r="AC130" s="166"/>
      <c r="AD130" s="166"/>
      <c r="AE130" s="166"/>
      <c r="AF130" s="166"/>
      <c r="AG130" s="166"/>
      <c r="AH130" s="166"/>
      <c r="AI130" s="166"/>
      <c r="AJ130" s="166"/>
      <c r="AK130" s="166"/>
      <c r="AL130" s="166"/>
      <c r="AM130" s="166"/>
      <c r="AN130" s="166"/>
      <c r="AO130" s="166"/>
      <c r="AP130" s="166"/>
      <c r="AQ130" s="166"/>
      <c r="AR130" s="166"/>
      <c r="AS130" s="166"/>
      <c r="AT130" s="166"/>
      <c r="AU130" s="166"/>
      <c r="AV130" s="166"/>
      <c r="AW130" s="166"/>
      <c r="AX130" s="166"/>
      <c r="AY130" s="166"/>
      <c r="AZ130" s="186"/>
      <c r="BA130" s="186"/>
      <c r="BB130" s="186"/>
      <c r="BC130" s="186"/>
      <c r="BD130" s="186"/>
      <c r="BE130" s="186"/>
      <c r="BF130" s="186"/>
      <c r="BG130" s="186"/>
      <c r="BH130" s="186"/>
      <c r="BI130" s="183">
        <f t="shared" si="66"/>
        <v>705841.99999999988</v>
      </c>
      <c r="BJ130" s="183">
        <f t="shared" si="67"/>
        <v>0</v>
      </c>
      <c r="BK130" s="183">
        <f t="shared" si="68"/>
        <v>0</v>
      </c>
      <c r="BL130" s="183">
        <f t="shared" si="69"/>
        <v>0</v>
      </c>
    </row>
    <row r="131" spans="1:64" s="187" customFormat="1" hidden="1" outlineLevel="1" x14ac:dyDescent="0.3">
      <c r="A131" s="180">
        <v>25</v>
      </c>
      <c r="B131" s="180" t="s">
        <v>2</v>
      </c>
      <c r="C131" s="180" t="s">
        <v>82</v>
      </c>
      <c r="D131" s="180" t="s">
        <v>2937</v>
      </c>
      <c r="E131" s="350" t="s">
        <v>4193</v>
      </c>
      <c r="F131" s="180" t="s">
        <v>85</v>
      </c>
      <c r="G131" s="185"/>
      <c r="H131" s="180" t="s">
        <v>2</v>
      </c>
      <c r="I131" s="181">
        <f>IFERROR(VLOOKUP($A131,'Bevétel 2a SZH 2022'!$B:$M,MATCH($I$1,'Bevétel 2a SZH 2022'!$B$1:$M$1,0),0), )</f>
        <v>0</v>
      </c>
      <c r="J131" s="181">
        <f t="shared" si="63"/>
        <v>0</v>
      </c>
      <c r="K131" s="166">
        <f t="shared" si="64"/>
        <v>0</v>
      </c>
      <c r="L131" s="166">
        <f t="shared" si="65"/>
        <v>0</v>
      </c>
      <c r="M131" s="716">
        <v>2</v>
      </c>
      <c r="N131" s="166">
        <f>IFERROR(VLOOKUP($M131,'1 b felosztások'!$A:$U,'1 b felosztások'!C$2,0)*$I131,0)</f>
        <v>0</v>
      </c>
      <c r="O131" s="166">
        <f>IFERROR(VLOOKUP($M131,'1 b felosztások'!$A:$U,'1 b felosztások'!D$2,0)*$I131,0)</f>
        <v>0</v>
      </c>
      <c r="P131" s="166">
        <f>IFERROR(VLOOKUP($M131,'1 b felosztások'!$A:$U,'1 b felosztások'!E$2,0)*$I131,0)</f>
        <v>0</v>
      </c>
      <c r="Q131" s="166">
        <f>IFERROR(VLOOKUP($M131,'1 b felosztások'!$A:$U,'1 b felosztások'!F$2,0)*$I131,0)</f>
        <v>0</v>
      </c>
      <c r="R131" s="166">
        <f>IFERROR(VLOOKUP($M131,'1 b felosztások'!$A:$U,'1 b felosztások'!G$2,0)*$I131,0)</f>
        <v>0</v>
      </c>
      <c r="S131" s="166">
        <f>IFERROR(VLOOKUP($M131,'1 b felosztások'!$A:$U,'1 b felosztások'!H$2,0)*$I131,0)</f>
        <v>0</v>
      </c>
      <c r="T131" s="166">
        <f>IFERROR(VLOOKUP($M131,'1 b felosztások'!$A:$U,'1 b felosztások'!I$2,0)*$I131,0)</f>
        <v>0</v>
      </c>
      <c r="U131" s="166">
        <f>IFERROR(VLOOKUP($M131,'1 b felosztások'!$A:$U,'1 b felosztások'!J$2,0)*$I131,0)</f>
        <v>0</v>
      </c>
      <c r="V131" s="166">
        <f>IFERROR(VLOOKUP($M131,'1 b felosztások'!$A:$U,'1 b felosztások'!K$2,0)*$I131,0)</f>
        <v>0</v>
      </c>
      <c r="W131" s="166">
        <f>IFERROR(VLOOKUP($M131,'1 b felosztások'!$A:$U,'1 b felosztások'!L$2,0)*$I131,0)</f>
        <v>0</v>
      </c>
      <c r="X131" s="166">
        <f>IFERROR(VLOOKUP($M131,'1 b felosztások'!$A:$U,'1 b felosztások'!M$2,0)*$I131,0)</f>
        <v>0</v>
      </c>
      <c r="Y131" s="166">
        <f>IFERROR(VLOOKUP($M131,'1 b felosztások'!$A:$U,'1 b felosztások'!N$2,0)*$I131,0)</f>
        <v>0</v>
      </c>
      <c r="Z131" s="166">
        <f>IFERROR(VLOOKUP($M131,'1 b felosztások'!$A:$U,'1 b felosztások'!O$2,0)*$I131,0)</f>
        <v>0</v>
      </c>
      <c r="AA131" s="166">
        <f>IFERROR(VLOOKUP($M131,'1 b felosztások'!$A:$U,'1 b felosztások'!P$2,0)*$I131,0)</f>
        <v>0</v>
      </c>
      <c r="AB131" s="166">
        <f>IFERROR(VLOOKUP($M131,'1 b felosztások'!$A:$U,'1 b felosztások'!Q$2,0)*$I131,0)</f>
        <v>0</v>
      </c>
      <c r="AC131" s="166"/>
      <c r="AD131" s="166"/>
      <c r="AE131" s="166"/>
      <c r="AF131" s="166"/>
      <c r="AG131" s="166"/>
      <c r="AH131" s="166"/>
      <c r="AI131" s="166"/>
      <c r="AJ131" s="166"/>
      <c r="AK131" s="166"/>
      <c r="AL131" s="166"/>
      <c r="AM131" s="166"/>
      <c r="AN131" s="166"/>
      <c r="AO131" s="166"/>
      <c r="AP131" s="166"/>
      <c r="AQ131" s="166"/>
      <c r="AR131" s="166"/>
      <c r="AS131" s="166"/>
      <c r="AT131" s="166"/>
      <c r="AU131" s="166"/>
      <c r="AV131" s="166"/>
      <c r="AW131" s="166"/>
      <c r="AX131" s="166"/>
      <c r="AY131" s="166"/>
      <c r="AZ131" s="186"/>
      <c r="BA131" s="186"/>
      <c r="BB131" s="186"/>
      <c r="BC131" s="186"/>
      <c r="BD131" s="186"/>
      <c r="BE131" s="186"/>
      <c r="BF131" s="186"/>
      <c r="BG131" s="186"/>
      <c r="BH131" s="186"/>
      <c r="BI131" s="183">
        <f t="shared" si="66"/>
        <v>0</v>
      </c>
      <c r="BJ131" s="183">
        <f t="shared" si="67"/>
        <v>0</v>
      </c>
      <c r="BK131" s="183">
        <f t="shared" si="68"/>
        <v>0</v>
      </c>
      <c r="BL131" s="183">
        <f t="shared" si="69"/>
        <v>0</v>
      </c>
    </row>
    <row r="132" spans="1:64" s="187" customFormat="1" hidden="1" outlineLevel="1" x14ac:dyDescent="0.3">
      <c r="A132" s="180">
        <v>26</v>
      </c>
      <c r="B132" s="180" t="s">
        <v>2</v>
      </c>
      <c r="C132" s="180" t="s">
        <v>82</v>
      </c>
      <c r="D132" s="180" t="s">
        <v>2937</v>
      </c>
      <c r="E132" s="180" t="s">
        <v>1</v>
      </c>
      <c r="F132" s="180" t="s">
        <v>85</v>
      </c>
      <c r="G132" s="185"/>
      <c r="H132" s="180" t="s">
        <v>2</v>
      </c>
      <c r="I132" s="181">
        <f>IFERROR(VLOOKUP($A132,'Bevétel 2a SZH 2022'!$B:$M,MATCH($I$1,'Bevétel 2a SZH 2022'!$B$1:$M$1,0),0), )</f>
        <v>-122301</v>
      </c>
      <c r="J132" s="181">
        <f t="shared" si="63"/>
        <v>-122301</v>
      </c>
      <c r="K132" s="166">
        <f t="shared" si="64"/>
        <v>0</v>
      </c>
      <c r="L132" s="166">
        <f t="shared" si="65"/>
        <v>-122301</v>
      </c>
      <c r="M132" s="716">
        <v>7</v>
      </c>
      <c r="N132" s="166">
        <f>IFERROR(VLOOKUP($M132,'1 b felosztások'!$A:$U,'1 b felosztások'!C$2,0)*$I132,0)</f>
        <v>-33046.529418295271</v>
      </c>
      <c r="O132" s="166">
        <f>IFERROR(VLOOKUP($M132,'1 b felosztások'!$A:$U,'1 b felosztások'!D$2,0)*$I132,0)</f>
        <v>-7634.7118523055724</v>
      </c>
      <c r="P132" s="166">
        <f>IFERROR(VLOOKUP($M132,'1 b felosztások'!$A:$U,'1 b felosztások'!E$2,0)*$I132,0)</f>
        <v>-1849.3920716651032</v>
      </c>
      <c r="Q132" s="166">
        <f>IFERROR(VLOOKUP($M132,'1 b felosztások'!$A:$U,'1 b felosztások'!F$2,0)*$I132,0)</f>
        <v>-8746.9221981892315</v>
      </c>
      <c r="R132" s="166">
        <f>IFERROR(VLOOKUP($M132,'1 b felosztások'!$A:$U,'1 b felosztások'!G$2,0)*$I132,0)</f>
        <v>-3323.7555232279924</v>
      </c>
      <c r="S132" s="166">
        <f>IFERROR(VLOOKUP($M132,'1 b felosztások'!$A:$U,'1 b felosztások'!H$2,0)*$I132,0)</f>
        <v>-6517.000150259365</v>
      </c>
      <c r="T132" s="166">
        <f>IFERROR(VLOOKUP($M132,'1 b felosztások'!$A:$U,'1 b felosztások'!I$2,0)*$I132,0)</f>
        <v>-4867.9979030683535</v>
      </c>
      <c r="U132" s="166">
        <f>IFERROR(VLOOKUP($M132,'1 b felosztások'!$A:$U,'1 b felosztások'!J$2,0)*$I132,0)</f>
        <v>-8673.4147158470987</v>
      </c>
      <c r="V132" s="166">
        <f>IFERROR(VLOOKUP($M132,'1 b felosztások'!$A:$U,'1 b felosztások'!K$2,0)*$I132,0)</f>
        <v>-13960.569138449167</v>
      </c>
      <c r="W132" s="166">
        <f>IFERROR(VLOOKUP($M132,'1 b felosztások'!$A:$U,'1 b felosztások'!L$2,0)*$I132,0)</f>
        <v>-8335.1398369159506</v>
      </c>
      <c r="X132" s="166">
        <f>IFERROR(VLOOKUP($M132,'1 b felosztások'!$A:$U,'1 b felosztások'!M$2,0)*$I132,0)</f>
        <v>-2886.2221331087421</v>
      </c>
      <c r="Y132" s="166">
        <f>IFERROR(VLOOKUP($M132,'1 b felosztások'!$A:$U,'1 b felosztások'!N$2,0)*$I132,0)</f>
        <v>-18835.941199777957</v>
      </c>
      <c r="Z132" s="166">
        <f>IFERROR(VLOOKUP($M132,'1 b felosztások'!$A:$U,'1 b felosztások'!O$2,0)*$I132,0)</f>
        <v>-3623.4038588901863</v>
      </c>
      <c r="AA132" s="166">
        <f>IFERROR(VLOOKUP($M132,'1 b felosztások'!$A:$U,'1 b felosztások'!P$2,0)*$I132,0)</f>
        <v>0</v>
      </c>
      <c r="AB132" s="166">
        <f>IFERROR(VLOOKUP($M132,'1 b felosztások'!$A:$U,'1 b felosztások'!Q$2,0)*$I132,0)</f>
        <v>0</v>
      </c>
      <c r="AC132" s="166"/>
      <c r="AD132" s="166"/>
      <c r="AE132" s="166"/>
      <c r="AF132" s="166"/>
      <c r="AG132" s="166"/>
      <c r="AH132" s="166"/>
      <c r="AI132" s="166"/>
      <c r="AJ132" s="166"/>
      <c r="AK132" s="166"/>
      <c r="AL132" s="166"/>
      <c r="AM132" s="166"/>
      <c r="AN132" s="166"/>
      <c r="AO132" s="166"/>
      <c r="AP132" s="166"/>
      <c r="AQ132" s="166"/>
      <c r="AR132" s="166"/>
      <c r="AS132" s="166"/>
      <c r="AT132" s="166"/>
      <c r="AU132" s="166"/>
      <c r="AV132" s="166"/>
      <c r="AW132" s="166"/>
      <c r="AX132" s="166"/>
      <c r="AY132" s="166"/>
      <c r="AZ132" s="186"/>
      <c r="BA132" s="186"/>
      <c r="BB132" s="186"/>
      <c r="BC132" s="186"/>
      <c r="BD132" s="186"/>
      <c r="BE132" s="186"/>
      <c r="BF132" s="186"/>
      <c r="BG132" s="186"/>
      <c r="BH132" s="186"/>
      <c r="BI132" s="183">
        <f t="shared" si="66"/>
        <v>-122301</v>
      </c>
      <c r="BJ132" s="183">
        <f t="shared" si="67"/>
        <v>0</v>
      </c>
      <c r="BK132" s="183">
        <f t="shared" si="68"/>
        <v>0</v>
      </c>
      <c r="BL132" s="183">
        <f t="shared" si="69"/>
        <v>0</v>
      </c>
    </row>
    <row r="133" spans="1:64" s="187" customFormat="1" hidden="1" outlineLevel="1" x14ac:dyDescent="0.3">
      <c r="A133" s="180">
        <v>27</v>
      </c>
      <c r="B133" s="180" t="s">
        <v>2</v>
      </c>
      <c r="C133" s="180" t="s">
        <v>82</v>
      </c>
      <c r="D133" s="180" t="s">
        <v>2937</v>
      </c>
      <c r="E133" s="350" t="s">
        <v>3396</v>
      </c>
      <c r="F133" s="180" t="s">
        <v>85</v>
      </c>
      <c r="G133" s="185"/>
      <c r="H133" s="180" t="s">
        <v>2</v>
      </c>
      <c r="I133" s="181">
        <f>IFERROR(VLOOKUP($A133,'Bevétel 2a SZH 2022'!$B:$M,MATCH($I$1,'Bevétel 2a SZH 2022'!$B$1:$M$1,0),0), )</f>
        <v>0</v>
      </c>
      <c r="J133" s="181">
        <f t="shared" si="63"/>
        <v>0</v>
      </c>
      <c r="K133" s="166">
        <f t="shared" si="64"/>
        <v>0</v>
      </c>
      <c r="L133" s="166">
        <f t="shared" si="65"/>
        <v>0</v>
      </c>
      <c r="M133" s="193">
        <v>7</v>
      </c>
      <c r="N133" s="166">
        <f>IFERROR(VLOOKUP($M133,'1 b felosztások'!$A:$U,'1 b felosztások'!C$2,0)*$I133,0)</f>
        <v>0</v>
      </c>
      <c r="O133" s="166">
        <f>IFERROR(VLOOKUP($M133,'1 b felosztások'!$A:$U,'1 b felosztások'!D$2,0)*$I133,0)</f>
        <v>0</v>
      </c>
      <c r="P133" s="166">
        <f>IFERROR(VLOOKUP($M133,'1 b felosztások'!$A:$U,'1 b felosztások'!E$2,0)*$I133,0)</f>
        <v>0</v>
      </c>
      <c r="Q133" s="166">
        <f>IFERROR(VLOOKUP($M133,'1 b felosztások'!$A:$U,'1 b felosztások'!F$2,0)*$I133,0)</f>
        <v>0</v>
      </c>
      <c r="R133" s="166">
        <f>IFERROR(VLOOKUP($M133,'1 b felosztások'!$A:$U,'1 b felosztások'!G$2,0)*$I133,0)</f>
        <v>0</v>
      </c>
      <c r="S133" s="166">
        <f>IFERROR(VLOOKUP($M133,'1 b felosztások'!$A:$U,'1 b felosztások'!H$2,0)*$I133,0)</f>
        <v>0</v>
      </c>
      <c r="T133" s="166">
        <f>IFERROR(VLOOKUP($M133,'1 b felosztások'!$A:$U,'1 b felosztások'!I$2,0)*$I133,0)</f>
        <v>0</v>
      </c>
      <c r="U133" s="166">
        <f>IFERROR(VLOOKUP($M133,'1 b felosztások'!$A:$U,'1 b felosztások'!J$2,0)*$I133,0)</f>
        <v>0</v>
      </c>
      <c r="V133" s="166">
        <f>IFERROR(VLOOKUP($M133,'1 b felosztások'!$A:$U,'1 b felosztások'!K$2,0)*$I133,0)</f>
        <v>0</v>
      </c>
      <c r="W133" s="166">
        <f>IFERROR(VLOOKUP($M133,'1 b felosztások'!$A:$U,'1 b felosztások'!L$2,0)*$I133,0)</f>
        <v>0</v>
      </c>
      <c r="X133" s="166">
        <f>IFERROR(VLOOKUP($M133,'1 b felosztások'!$A:$U,'1 b felosztások'!M$2,0)*$I133,0)</f>
        <v>0</v>
      </c>
      <c r="Y133" s="166">
        <f>IFERROR(VLOOKUP($M133,'1 b felosztások'!$A:$U,'1 b felosztások'!N$2,0)*$I133,0)</f>
        <v>0</v>
      </c>
      <c r="Z133" s="166">
        <f>IFERROR(VLOOKUP($M133,'1 b felosztások'!$A:$U,'1 b felosztások'!O$2,0)*$I133,0)</f>
        <v>0</v>
      </c>
      <c r="AA133" s="166">
        <f>IFERROR(VLOOKUP($M133,'1 b felosztások'!$A:$U,'1 b felosztások'!P$2,0)*$I133,0)</f>
        <v>0</v>
      </c>
      <c r="AB133" s="166">
        <f>IFERROR(VLOOKUP($M133,'1 b felosztások'!$A:$U,'1 b felosztások'!Q$2,0)*$I133,0)</f>
        <v>0</v>
      </c>
      <c r="AC133" s="166"/>
      <c r="AD133" s="166"/>
      <c r="AE133" s="166"/>
      <c r="AF133" s="166"/>
      <c r="AG133" s="166"/>
      <c r="AH133" s="166"/>
      <c r="AI133" s="166"/>
      <c r="AJ133" s="166"/>
      <c r="AK133" s="166"/>
      <c r="AL133" s="166"/>
      <c r="AM133" s="166"/>
      <c r="AN133" s="166"/>
      <c r="AO133" s="166"/>
      <c r="AP133" s="166"/>
      <c r="AQ133" s="166"/>
      <c r="AR133" s="166"/>
      <c r="AS133" s="166"/>
      <c r="AT133" s="166"/>
      <c r="AU133" s="166"/>
      <c r="AV133" s="166"/>
      <c r="AW133" s="166"/>
      <c r="AX133" s="166"/>
      <c r="AY133" s="166"/>
      <c r="AZ133" s="186"/>
      <c r="BA133" s="186"/>
      <c r="BB133" s="186"/>
      <c r="BC133" s="186"/>
      <c r="BD133" s="186"/>
      <c r="BE133" s="186"/>
      <c r="BF133" s="186"/>
      <c r="BG133" s="186"/>
      <c r="BH133" s="186"/>
      <c r="BI133" s="183">
        <f t="shared" si="66"/>
        <v>0</v>
      </c>
      <c r="BJ133" s="183">
        <f t="shared" si="67"/>
        <v>0</v>
      </c>
      <c r="BK133" s="183">
        <f t="shared" si="68"/>
        <v>0</v>
      </c>
      <c r="BL133" s="183">
        <f t="shared" si="69"/>
        <v>0</v>
      </c>
    </row>
    <row r="134" spans="1:64" s="187" customFormat="1" hidden="1" outlineLevel="1" x14ac:dyDescent="0.3">
      <c r="A134" s="350" t="s">
        <v>3397</v>
      </c>
      <c r="B134" s="350" t="s">
        <v>2</v>
      </c>
      <c r="C134" s="350" t="s">
        <v>82</v>
      </c>
      <c r="D134" s="350" t="s">
        <v>2937</v>
      </c>
      <c r="E134" s="350" t="s">
        <v>3398</v>
      </c>
      <c r="F134" s="350" t="s">
        <v>85</v>
      </c>
      <c r="G134" s="413"/>
      <c r="H134" s="350" t="s">
        <v>2</v>
      </c>
      <c r="I134" s="181">
        <f>IFERROR(VLOOKUP($A134,'Bevétel 2a SZH 2022'!$B:$M,MATCH($I$1,'Bevétel 2a SZH 2022'!$B$1:$M$1,0),0), )</f>
        <v>0</v>
      </c>
      <c r="J134" s="181">
        <f t="shared" si="63"/>
        <v>0</v>
      </c>
      <c r="K134" s="166">
        <f t="shared" si="64"/>
        <v>0</v>
      </c>
      <c r="L134" s="166">
        <f t="shared" si="65"/>
        <v>0</v>
      </c>
      <c r="M134" s="716">
        <v>2</v>
      </c>
      <c r="N134" s="166">
        <f>IFERROR(VLOOKUP($M134,'1 b felosztások'!$A:$U,'1 b felosztások'!C$2,0)*$I134,0)</f>
        <v>0</v>
      </c>
      <c r="O134" s="166">
        <f>IFERROR(VLOOKUP($M134,'1 b felosztások'!$A:$U,'1 b felosztások'!D$2,0)*$I134,0)</f>
        <v>0</v>
      </c>
      <c r="P134" s="166">
        <f>IFERROR(VLOOKUP($M134,'1 b felosztások'!$A:$U,'1 b felosztások'!E$2,0)*$I134,0)</f>
        <v>0</v>
      </c>
      <c r="Q134" s="166">
        <f>IFERROR(VLOOKUP($M134,'1 b felosztások'!$A:$U,'1 b felosztások'!F$2,0)*$I134,0)</f>
        <v>0</v>
      </c>
      <c r="R134" s="166">
        <f>IFERROR(VLOOKUP($M134,'1 b felosztások'!$A:$U,'1 b felosztások'!G$2,0)*$I134,0)</f>
        <v>0</v>
      </c>
      <c r="S134" s="166">
        <f>IFERROR(VLOOKUP($M134,'1 b felosztások'!$A:$U,'1 b felosztások'!H$2,0)*$I134,0)</f>
        <v>0</v>
      </c>
      <c r="T134" s="166">
        <f>IFERROR(VLOOKUP($M134,'1 b felosztások'!$A:$U,'1 b felosztások'!I$2,0)*$I134,0)</f>
        <v>0</v>
      </c>
      <c r="U134" s="166">
        <f>IFERROR(VLOOKUP($M134,'1 b felosztások'!$A:$U,'1 b felosztások'!J$2,0)*$I134,0)</f>
        <v>0</v>
      </c>
      <c r="V134" s="166">
        <f>IFERROR(VLOOKUP($M134,'1 b felosztások'!$A:$U,'1 b felosztások'!K$2,0)*$I134,0)</f>
        <v>0</v>
      </c>
      <c r="W134" s="166">
        <f>IFERROR(VLOOKUP($M134,'1 b felosztások'!$A:$U,'1 b felosztások'!L$2,0)*$I134,0)</f>
        <v>0</v>
      </c>
      <c r="X134" s="166">
        <f>IFERROR(VLOOKUP($M134,'1 b felosztások'!$A:$U,'1 b felosztások'!M$2,0)*$I134,0)</f>
        <v>0</v>
      </c>
      <c r="Y134" s="166">
        <f>IFERROR(VLOOKUP($M134,'1 b felosztások'!$A:$U,'1 b felosztások'!N$2,0)*$I134,0)</f>
        <v>0</v>
      </c>
      <c r="Z134" s="166">
        <f>IFERROR(VLOOKUP($M134,'1 b felosztások'!$A:$U,'1 b felosztások'!O$2,0)*$I134,0)</f>
        <v>0</v>
      </c>
      <c r="AA134" s="166">
        <f>IFERROR(VLOOKUP($M134,'1 b felosztások'!$A:$U,'1 b felosztások'!P$2,0)*$I134,0)</f>
        <v>0</v>
      </c>
      <c r="AB134" s="166">
        <f>IFERROR(VLOOKUP($M134,'1 b felosztások'!$A:$U,'1 b felosztások'!Q$2,0)*$I134,0)</f>
        <v>0</v>
      </c>
      <c r="AC134" s="166"/>
      <c r="AD134" s="166"/>
      <c r="AE134" s="166"/>
      <c r="AF134" s="166"/>
      <c r="AG134" s="166"/>
      <c r="AH134" s="166"/>
      <c r="AI134" s="166"/>
      <c r="AJ134" s="166"/>
      <c r="AK134" s="166"/>
      <c r="AL134" s="166"/>
      <c r="AM134" s="166"/>
      <c r="AN134" s="166"/>
      <c r="AO134" s="166"/>
      <c r="AP134" s="166"/>
      <c r="AQ134" s="166"/>
      <c r="AR134" s="166"/>
      <c r="AS134" s="166"/>
      <c r="AT134" s="166"/>
      <c r="AU134" s="166"/>
      <c r="AV134" s="166"/>
      <c r="AW134" s="166"/>
      <c r="AX134" s="166"/>
      <c r="AY134" s="166"/>
      <c r="AZ134" s="186"/>
      <c r="BA134" s="186"/>
      <c r="BB134" s="186"/>
      <c r="BC134" s="186"/>
      <c r="BD134" s="186"/>
      <c r="BE134" s="186"/>
      <c r="BF134" s="186"/>
      <c r="BG134" s="186"/>
      <c r="BH134" s="186"/>
      <c r="BI134" s="183">
        <f t="shared" si="66"/>
        <v>0</v>
      </c>
      <c r="BJ134" s="183">
        <f t="shared" si="67"/>
        <v>0</v>
      </c>
      <c r="BK134" s="183">
        <f t="shared" si="68"/>
        <v>0</v>
      </c>
      <c r="BL134" s="183">
        <f t="shared" si="69"/>
        <v>0</v>
      </c>
    </row>
    <row r="135" spans="1:64" s="187" customFormat="1" hidden="1" outlineLevel="1" x14ac:dyDescent="0.3">
      <c r="A135" s="350" t="s">
        <v>3400</v>
      </c>
      <c r="B135" s="350" t="s">
        <v>2</v>
      </c>
      <c r="C135" s="350" t="s">
        <v>82</v>
      </c>
      <c r="D135" s="350" t="s">
        <v>2937</v>
      </c>
      <c r="E135" s="350" t="s">
        <v>3401</v>
      </c>
      <c r="F135" s="350" t="s">
        <v>85</v>
      </c>
      <c r="G135" s="413"/>
      <c r="H135" s="350" t="s">
        <v>2</v>
      </c>
      <c r="I135" s="181">
        <f>IFERROR(VLOOKUP($A135,'Bevétel 2a SZH 2022'!$B:$M,MATCH($I$1,'Bevétel 2a SZH 2022'!$B$1:$M$1,0),0), )</f>
        <v>1327183</v>
      </c>
      <c r="J135" s="181">
        <f t="shared" si="63"/>
        <v>1327183</v>
      </c>
      <c r="K135" s="166">
        <f>+I135-J135</f>
        <v>0</v>
      </c>
      <c r="L135" s="166">
        <f t="shared" si="65"/>
        <v>1327183</v>
      </c>
      <c r="M135" s="716">
        <v>2</v>
      </c>
      <c r="N135" s="166">
        <f>IFERROR(VLOOKUP($M135,'1 b felosztások'!$A:$U,'1 b felosztások'!C$2,0)*$I135,0)</f>
        <v>238594.69662921349</v>
      </c>
      <c r="O135" s="166">
        <f>IFERROR(VLOOKUP($M135,'1 b felosztások'!$A:$U,'1 b felosztások'!D$2,0)*$I135,0)</f>
        <v>134209.51685393258</v>
      </c>
      <c r="P135" s="166">
        <f>IFERROR(VLOOKUP($M135,'1 b felosztások'!$A:$U,'1 b felosztások'!E$2,0)*$I135,0)</f>
        <v>29824.337078651686</v>
      </c>
      <c r="Q135" s="166">
        <f>IFERROR(VLOOKUP($M135,'1 b felosztások'!$A:$U,'1 b felosztások'!F$2,0)*$I135,0)</f>
        <v>149121.68539325843</v>
      </c>
      <c r="R135" s="166">
        <f>IFERROR(VLOOKUP($M135,'1 b felosztások'!$A:$U,'1 b felosztások'!G$2,0)*$I135,0)</f>
        <v>59648.674157303372</v>
      </c>
      <c r="S135" s="166">
        <f>IFERROR(VLOOKUP($M135,'1 b felosztások'!$A:$U,'1 b felosztások'!H$2,0)*$I135,0)</f>
        <v>89473.011235955055</v>
      </c>
      <c r="T135" s="166">
        <f>IFERROR(VLOOKUP($M135,'1 b felosztások'!$A:$U,'1 b felosztások'!I$2,0)*$I135,0)</f>
        <v>44736.505617977527</v>
      </c>
      <c r="U135" s="166">
        <f>IFERROR(VLOOKUP($M135,'1 b felosztások'!$A:$U,'1 b felosztások'!J$2,0)*$I135,0)</f>
        <v>89473.011235955055</v>
      </c>
      <c r="V135" s="166">
        <f>IFERROR(VLOOKUP($M135,'1 b felosztások'!$A:$U,'1 b felosztások'!K$2,0)*$I135,0)</f>
        <v>119297.34831460674</v>
      </c>
      <c r="W135" s="166">
        <f>IFERROR(VLOOKUP($M135,'1 b felosztások'!$A:$U,'1 b felosztások'!L$2,0)*$I135,0)</f>
        <v>119297.34831460674</v>
      </c>
      <c r="X135" s="166">
        <f>IFERROR(VLOOKUP($M135,'1 b felosztások'!$A:$U,'1 b felosztások'!M$2,0)*$I135,0)</f>
        <v>59648.674157303372</v>
      </c>
      <c r="Y135" s="166">
        <f>IFERROR(VLOOKUP($M135,'1 b felosztások'!$A:$U,'1 b felosztások'!N$2,0)*$I135,0)</f>
        <v>119297.34831460674</v>
      </c>
      <c r="Z135" s="166">
        <f>IFERROR(VLOOKUP($M135,'1 b felosztások'!$A:$U,'1 b felosztások'!O$2,0)*$I135,0)</f>
        <v>74560.842696629217</v>
      </c>
      <c r="AA135" s="166">
        <f>IFERROR(VLOOKUP($M135,'1 b felosztások'!$A:$U,'1 b felosztások'!P$2,0)*$I135,0)</f>
        <v>0</v>
      </c>
      <c r="AB135" s="166">
        <f>IFERROR(VLOOKUP($M135,'1 b felosztások'!$A:$U,'1 b felosztások'!Q$2,0)*$I135,0)</f>
        <v>0</v>
      </c>
      <c r="AC135" s="166"/>
      <c r="AD135" s="166"/>
      <c r="AE135" s="166"/>
      <c r="AF135" s="166"/>
      <c r="AG135" s="166"/>
      <c r="AH135" s="166"/>
      <c r="AI135" s="166"/>
      <c r="AJ135" s="166"/>
      <c r="AK135" s="166"/>
      <c r="AL135" s="166"/>
      <c r="AM135" s="166"/>
      <c r="AN135" s="166"/>
      <c r="AO135" s="166"/>
      <c r="AP135" s="166"/>
      <c r="AQ135" s="166"/>
      <c r="AR135" s="166"/>
      <c r="AS135" s="166"/>
      <c r="AT135" s="166"/>
      <c r="AU135" s="166"/>
      <c r="AV135" s="166"/>
      <c r="AW135" s="166"/>
      <c r="AX135" s="166"/>
      <c r="AY135" s="166"/>
      <c r="AZ135" s="186"/>
      <c r="BA135" s="186"/>
      <c r="BB135" s="186"/>
      <c r="BC135" s="186"/>
      <c r="BD135" s="186"/>
      <c r="BE135" s="186"/>
      <c r="BF135" s="186"/>
      <c r="BG135" s="186"/>
      <c r="BH135" s="186"/>
      <c r="BI135" s="183">
        <f t="shared" si="66"/>
        <v>1327183</v>
      </c>
      <c r="BJ135" s="183">
        <f t="shared" si="67"/>
        <v>0</v>
      </c>
      <c r="BK135" s="183">
        <f t="shared" si="68"/>
        <v>0</v>
      </c>
      <c r="BL135" s="183">
        <f t="shared" si="69"/>
        <v>0</v>
      </c>
    </row>
    <row r="136" spans="1:64" s="187" customFormat="1" hidden="1" outlineLevel="1" x14ac:dyDescent="0.3">
      <c r="A136" s="350" t="s">
        <v>3403</v>
      </c>
      <c r="B136" s="350" t="s">
        <v>2</v>
      </c>
      <c r="C136" s="350" t="s">
        <v>82</v>
      </c>
      <c r="D136" s="350" t="s">
        <v>2937</v>
      </c>
      <c r="E136" s="350" t="s">
        <v>3404</v>
      </c>
      <c r="F136" s="350" t="s">
        <v>85</v>
      </c>
      <c r="G136" s="413"/>
      <c r="H136" s="350" t="s">
        <v>2</v>
      </c>
      <c r="I136" s="181">
        <f>IFERROR(VLOOKUP($A136,'Bevétel 2a SZH 2022'!$B:$M,MATCH($I$1,'Bevétel 2a SZH 2022'!$B$1:$M$1,0),0), )</f>
        <v>-252164.77</v>
      </c>
      <c r="J136" s="181">
        <f t="shared" si="63"/>
        <v>-252164.77</v>
      </c>
      <c r="K136" s="166">
        <f>+I136-J136</f>
        <v>0</v>
      </c>
      <c r="L136" s="166">
        <f t="shared" si="65"/>
        <v>-252164.77</v>
      </c>
      <c r="M136" s="716">
        <v>2</v>
      </c>
      <c r="N136" s="166">
        <f>IFERROR(VLOOKUP($M136,'1 b felosztások'!$A:$U,'1 b felosztások'!C$2,0)*$I136,0)</f>
        <v>-45332.992359550561</v>
      </c>
      <c r="O136" s="166">
        <f>IFERROR(VLOOKUP($M136,'1 b felosztások'!$A:$U,'1 b felosztások'!D$2,0)*$I136,0)</f>
        <v>-25499.80820224719</v>
      </c>
      <c r="P136" s="166">
        <f>IFERROR(VLOOKUP($M136,'1 b felosztások'!$A:$U,'1 b felosztások'!E$2,0)*$I136,0)</f>
        <v>-5666.6240449438201</v>
      </c>
      <c r="Q136" s="166">
        <f>IFERROR(VLOOKUP($M136,'1 b felosztások'!$A:$U,'1 b felosztások'!F$2,0)*$I136,0)</f>
        <v>-28333.120224719099</v>
      </c>
      <c r="R136" s="166">
        <f>IFERROR(VLOOKUP($M136,'1 b felosztások'!$A:$U,'1 b felosztások'!G$2,0)*$I136,0)</f>
        <v>-11333.24808988764</v>
      </c>
      <c r="S136" s="166">
        <f>IFERROR(VLOOKUP($M136,'1 b felosztások'!$A:$U,'1 b felosztások'!H$2,0)*$I136,0)</f>
        <v>-16999.872134831461</v>
      </c>
      <c r="T136" s="166">
        <f>IFERROR(VLOOKUP($M136,'1 b felosztások'!$A:$U,'1 b felosztások'!I$2,0)*$I136,0)</f>
        <v>-8499.9360674157306</v>
      </c>
      <c r="U136" s="166">
        <f>IFERROR(VLOOKUP($M136,'1 b felosztások'!$A:$U,'1 b felosztások'!J$2,0)*$I136,0)</f>
        <v>-16999.872134831461</v>
      </c>
      <c r="V136" s="166">
        <f>IFERROR(VLOOKUP($M136,'1 b felosztások'!$A:$U,'1 b felosztások'!K$2,0)*$I136,0)</f>
        <v>-22666.49617977528</v>
      </c>
      <c r="W136" s="166">
        <f>IFERROR(VLOOKUP($M136,'1 b felosztások'!$A:$U,'1 b felosztások'!L$2,0)*$I136,0)</f>
        <v>-22666.49617977528</v>
      </c>
      <c r="X136" s="166">
        <f>IFERROR(VLOOKUP($M136,'1 b felosztások'!$A:$U,'1 b felosztások'!M$2,0)*$I136,0)</f>
        <v>-11333.24808988764</v>
      </c>
      <c r="Y136" s="166">
        <f>IFERROR(VLOOKUP($M136,'1 b felosztások'!$A:$U,'1 b felosztások'!N$2,0)*$I136,0)</f>
        <v>-22666.49617977528</v>
      </c>
      <c r="Z136" s="166">
        <f>IFERROR(VLOOKUP($M136,'1 b felosztások'!$A:$U,'1 b felosztások'!O$2,0)*$I136,0)</f>
        <v>-14166.56011235955</v>
      </c>
      <c r="AA136" s="166">
        <f>IFERROR(VLOOKUP($M136,'1 b felosztások'!$A:$U,'1 b felosztások'!P$2,0)*$I136,0)</f>
        <v>0</v>
      </c>
      <c r="AB136" s="166">
        <f>IFERROR(VLOOKUP($M136,'1 b felosztások'!$A:$U,'1 b felosztások'!Q$2,0)*$I136,0)</f>
        <v>0</v>
      </c>
      <c r="AC136" s="166"/>
      <c r="AD136" s="166"/>
      <c r="AE136" s="166"/>
      <c r="AF136" s="166"/>
      <c r="AG136" s="166"/>
      <c r="AH136" s="166"/>
      <c r="AI136" s="166"/>
      <c r="AJ136" s="166"/>
      <c r="AK136" s="166"/>
      <c r="AL136" s="166"/>
      <c r="AM136" s="166"/>
      <c r="AN136" s="166"/>
      <c r="AO136" s="166"/>
      <c r="AP136" s="166"/>
      <c r="AQ136" s="166"/>
      <c r="AR136" s="166"/>
      <c r="AS136" s="166"/>
      <c r="AT136" s="166"/>
      <c r="AU136" s="166"/>
      <c r="AV136" s="166"/>
      <c r="AW136" s="166"/>
      <c r="AX136" s="166"/>
      <c r="AY136" s="166"/>
      <c r="AZ136" s="186"/>
      <c r="BA136" s="186"/>
      <c r="BB136" s="186"/>
      <c r="BC136" s="186"/>
      <c r="BD136" s="186"/>
      <c r="BE136" s="186"/>
      <c r="BF136" s="186"/>
      <c r="BG136" s="186"/>
      <c r="BH136" s="186"/>
      <c r="BI136" s="183">
        <f t="shared" si="66"/>
        <v>-252164.77</v>
      </c>
      <c r="BJ136" s="183">
        <f t="shared" si="67"/>
        <v>0</v>
      </c>
      <c r="BK136" s="183">
        <f t="shared" si="68"/>
        <v>0</v>
      </c>
      <c r="BL136" s="183">
        <f t="shared" si="69"/>
        <v>0</v>
      </c>
    </row>
    <row r="137" spans="1:64" s="187" customFormat="1" hidden="1" outlineLevel="1" x14ac:dyDescent="0.3">
      <c r="A137" s="350" t="s">
        <v>3405</v>
      </c>
      <c r="B137" s="350" t="s">
        <v>2</v>
      </c>
      <c r="C137" s="350" t="s">
        <v>82</v>
      </c>
      <c r="D137" s="350" t="s">
        <v>2937</v>
      </c>
      <c r="E137" s="350" t="s">
        <v>3406</v>
      </c>
      <c r="F137" s="350" t="s">
        <v>85</v>
      </c>
      <c r="G137" s="413"/>
      <c r="H137" s="350" t="s">
        <v>2</v>
      </c>
      <c r="I137" s="181">
        <f>IFERROR(VLOOKUP($A137,'Bevétel 2a SZH 2022'!$B:$M,MATCH($I$1,'Bevétel 2a SZH 2022'!$B$1:$M$1,0),0), )</f>
        <v>-19907.744999999999</v>
      </c>
      <c r="J137" s="181">
        <f t="shared" si="63"/>
        <v>0</v>
      </c>
      <c r="K137" s="166">
        <f>+I137-J137</f>
        <v>-19907.744999999999</v>
      </c>
      <c r="L137" s="166">
        <f t="shared" si="65"/>
        <v>0</v>
      </c>
      <c r="M137" s="716">
        <v>2</v>
      </c>
      <c r="N137" s="166">
        <f>IFERROR(VLOOKUP($M137,'1 b felosztások'!$A:$U,'1 b felosztások'!C$2,0)*$I137,0)</f>
        <v>-3578.920449438202</v>
      </c>
      <c r="O137" s="166">
        <f>IFERROR(VLOOKUP($M137,'1 b felosztások'!$A:$U,'1 b felosztások'!D$2,0)*$I137,0)</f>
        <v>-2013.1427528089887</v>
      </c>
      <c r="P137" s="166">
        <f>IFERROR(VLOOKUP($M137,'1 b felosztások'!$A:$U,'1 b felosztások'!E$2,0)*$I137,0)</f>
        <v>-447.36505617977525</v>
      </c>
      <c r="Q137" s="166">
        <f>IFERROR(VLOOKUP($M137,'1 b felosztások'!$A:$U,'1 b felosztások'!F$2,0)*$I137,0)</f>
        <v>-2236.8252808988764</v>
      </c>
      <c r="R137" s="166">
        <f>IFERROR(VLOOKUP($M137,'1 b felosztások'!$A:$U,'1 b felosztások'!G$2,0)*$I137,0)</f>
        <v>-894.7301123595505</v>
      </c>
      <c r="S137" s="166">
        <f>IFERROR(VLOOKUP($M137,'1 b felosztások'!$A:$U,'1 b felosztások'!H$2,0)*$I137,0)</f>
        <v>-1342.0951685393256</v>
      </c>
      <c r="T137" s="166">
        <f>IFERROR(VLOOKUP($M137,'1 b felosztások'!$A:$U,'1 b felosztások'!I$2,0)*$I137,0)</f>
        <v>-671.04758426966282</v>
      </c>
      <c r="U137" s="166">
        <f>IFERROR(VLOOKUP($M137,'1 b felosztások'!$A:$U,'1 b felosztások'!J$2,0)*$I137,0)</f>
        <v>-1342.0951685393256</v>
      </c>
      <c r="V137" s="166">
        <f>IFERROR(VLOOKUP($M137,'1 b felosztások'!$A:$U,'1 b felosztások'!K$2,0)*$I137,0)</f>
        <v>-1789.460224719101</v>
      </c>
      <c r="W137" s="166">
        <f>IFERROR(VLOOKUP($M137,'1 b felosztások'!$A:$U,'1 b felosztások'!L$2,0)*$I137,0)</f>
        <v>-1789.460224719101</v>
      </c>
      <c r="X137" s="166">
        <f>IFERROR(VLOOKUP($M137,'1 b felosztások'!$A:$U,'1 b felosztások'!M$2,0)*$I137,0)</f>
        <v>-894.7301123595505</v>
      </c>
      <c r="Y137" s="166">
        <f>IFERROR(VLOOKUP($M137,'1 b felosztások'!$A:$U,'1 b felosztások'!N$2,0)*$I137,0)</f>
        <v>-1789.460224719101</v>
      </c>
      <c r="Z137" s="166">
        <f>IFERROR(VLOOKUP($M137,'1 b felosztások'!$A:$U,'1 b felosztások'!O$2,0)*$I137,0)</f>
        <v>-1118.4126404494382</v>
      </c>
      <c r="AA137" s="166">
        <f>IFERROR(VLOOKUP($M137,'1 b felosztások'!$A:$U,'1 b felosztások'!P$2,0)*$I137,0)</f>
        <v>0</v>
      </c>
      <c r="AB137" s="166">
        <f>IFERROR(VLOOKUP($M137,'1 b felosztások'!$A:$U,'1 b felosztások'!Q$2,0)*$I137,0)</f>
        <v>0</v>
      </c>
      <c r="AC137" s="166"/>
      <c r="AD137" s="166"/>
      <c r="AE137" s="166"/>
      <c r="AF137" s="166">
        <f>-I137</f>
        <v>19907.744999999999</v>
      </c>
      <c r="AG137" s="166"/>
      <c r="AH137" s="166"/>
      <c r="AI137" s="166"/>
      <c r="AJ137" s="166"/>
      <c r="AK137" s="166"/>
      <c r="AL137" s="166"/>
      <c r="AM137" s="166"/>
      <c r="AN137" s="166"/>
      <c r="AO137" s="166"/>
      <c r="AP137" s="166"/>
      <c r="AQ137" s="166"/>
      <c r="AR137" s="166"/>
      <c r="AS137" s="166"/>
      <c r="AT137" s="166"/>
      <c r="AU137" s="166"/>
      <c r="AV137" s="166"/>
      <c r="AW137" s="166"/>
      <c r="AX137" s="166"/>
      <c r="AY137" s="166"/>
      <c r="AZ137" s="186"/>
      <c r="BA137" s="186"/>
      <c r="BB137" s="186"/>
      <c r="BC137" s="186"/>
      <c r="BD137" s="186"/>
      <c r="BE137" s="186"/>
      <c r="BF137" s="186"/>
      <c r="BG137" s="186"/>
      <c r="BH137" s="186"/>
      <c r="BI137" s="183">
        <f t="shared" si="66"/>
        <v>-19907.744999999995</v>
      </c>
      <c r="BJ137" s="183">
        <f t="shared" si="67"/>
        <v>0</v>
      </c>
      <c r="BK137" s="183">
        <f t="shared" si="68"/>
        <v>19907.744999999999</v>
      </c>
      <c r="BL137" s="183">
        <f t="shared" si="69"/>
        <v>0</v>
      </c>
    </row>
    <row r="138" spans="1:64" s="187" customFormat="1" hidden="1" outlineLevel="1" x14ac:dyDescent="0.3">
      <c r="A138" s="350" t="s">
        <v>3407</v>
      </c>
      <c r="B138" s="350" t="s">
        <v>2</v>
      </c>
      <c r="C138" s="350" t="s">
        <v>82</v>
      </c>
      <c r="D138" s="350" t="s">
        <v>2937</v>
      </c>
      <c r="E138" s="350" t="s">
        <v>3408</v>
      </c>
      <c r="F138" s="350" t="s">
        <v>85</v>
      </c>
      <c r="G138" s="413"/>
      <c r="H138" s="350" t="s">
        <v>2</v>
      </c>
      <c r="I138" s="181">
        <f>IFERROR(VLOOKUP($A138,'Bevétel 2a SZH 2022'!$B:$M,MATCH($I$1,'Bevétel 2a SZH 2022'!$B$1:$M$1,0),0), )</f>
        <v>19907.744999999999</v>
      </c>
      <c r="J138" s="181">
        <f t="shared" si="63"/>
        <v>0</v>
      </c>
      <c r="K138" s="166">
        <f>+I138-J138</f>
        <v>19907.744999999999</v>
      </c>
      <c r="L138" s="166">
        <f t="shared" si="65"/>
        <v>0</v>
      </c>
      <c r="M138" s="716"/>
      <c r="N138" s="166">
        <f>IFERROR(VLOOKUP($M138,'1 b felosztások'!$A:$U,'1 b felosztások'!C$2,0)*$I138,0)</f>
        <v>0</v>
      </c>
      <c r="O138" s="166">
        <f>IFERROR(VLOOKUP($M138,'1 b felosztások'!$A:$U,'1 b felosztások'!D$2,0)*$I138,0)</f>
        <v>0</v>
      </c>
      <c r="P138" s="166">
        <f>IFERROR(VLOOKUP($M138,'1 b felosztások'!$A:$U,'1 b felosztások'!E$2,0)*$I138,0)</f>
        <v>0</v>
      </c>
      <c r="Q138" s="166">
        <f>IFERROR(VLOOKUP($M138,'1 b felosztások'!$A:$U,'1 b felosztások'!F$2,0)*$I138,0)</f>
        <v>0</v>
      </c>
      <c r="R138" s="166">
        <f>IFERROR(VLOOKUP($M138,'1 b felosztások'!$A:$U,'1 b felosztások'!G$2,0)*$I138,0)</f>
        <v>0</v>
      </c>
      <c r="S138" s="166">
        <f>IFERROR(VLOOKUP($M138,'1 b felosztások'!$A:$U,'1 b felosztások'!H$2,0)*$I138,0)</f>
        <v>0</v>
      </c>
      <c r="T138" s="166">
        <f>IFERROR(VLOOKUP($M138,'1 b felosztások'!$A:$U,'1 b felosztások'!I$2,0)*$I138,0)</f>
        <v>0</v>
      </c>
      <c r="U138" s="166">
        <f>IFERROR(VLOOKUP($M138,'1 b felosztások'!$A:$U,'1 b felosztások'!J$2,0)*$I138,0)</f>
        <v>0</v>
      </c>
      <c r="V138" s="166">
        <f>IFERROR(VLOOKUP($M138,'1 b felosztások'!$A:$U,'1 b felosztások'!K$2,0)*$I138,0)</f>
        <v>0</v>
      </c>
      <c r="W138" s="166">
        <f>IFERROR(VLOOKUP($M138,'1 b felosztások'!$A:$U,'1 b felosztások'!L$2,0)*$I138,0)</f>
        <v>0</v>
      </c>
      <c r="X138" s="166">
        <f>IFERROR(VLOOKUP($M138,'1 b felosztások'!$A:$U,'1 b felosztások'!M$2,0)*$I138,0)</f>
        <v>0</v>
      </c>
      <c r="Y138" s="166">
        <f>IFERROR(VLOOKUP($M138,'1 b felosztások'!$A:$U,'1 b felosztások'!N$2,0)*$I138,0)</f>
        <v>0</v>
      </c>
      <c r="Z138" s="166">
        <f>IFERROR(VLOOKUP($M138,'1 b felosztások'!$A:$U,'1 b felosztások'!O$2,0)*$I138,0)</f>
        <v>0</v>
      </c>
      <c r="AA138" s="166">
        <f>IFERROR(VLOOKUP($M138,'1 b felosztások'!$A:$U,'1 b felosztások'!P$2,0)*$I138,0)</f>
        <v>0</v>
      </c>
      <c r="AB138" s="166">
        <f>IFERROR(VLOOKUP($M138,'1 b felosztások'!$A:$U,'1 b felosztások'!Q$2,0)*$I138,0)</f>
        <v>0</v>
      </c>
      <c r="AC138" s="166"/>
      <c r="AD138" s="166"/>
      <c r="AE138" s="166"/>
      <c r="AF138" s="166"/>
      <c r="AG138" s="166"/>
      <c r="AH138" s="166"/>
      <c r="AI138" s="166"/>
      <c r="AJ138" s="166"/>
      <c r="AK138" s="166"/>
      <c r="AL138" s="166"/>
      <c r="AM138" s="166"/>
      <c r="AN138" s="166"/>
      <c r="AO138" s="166"/>
      <c r="AP138" s="166"/>
      <c r="AQ138" s="166"/>
      <c r="AR138" s="166"/>
      <c r="AS138" s="166"/>
      <c r="AT138" s="166"/>
      <c r="AU138" s="166"/>
      <c r="AV138" s="166"/>
      <c r="AW138" s="166"/>
      <c r="AX138" s="166"/>
      <c r="AY138" s="166"/>
      <c r="AZ138" s="186"/>
      <c r="BA138" s="186"/>
      <c r="BB138" s="186"/>
      <c r="BC138" s="186"/>
      <c r="BD138" s="186"/>
      <c r="BE138" s="186"/>
      <c r="BF138" s="186"/>
      <c r="BG138" s="186"/>
      <c r="BH138" s="186"/>
      <c r="BI138" s="183">
        <f t="shared" si="66"/>
        <v>0</v>
      </c>
      <c r="BJ138" s="183">
        <f t="shared" si="67"/>
        <v>0</v>
      </c>
      <c r="BK138" s="183">
        <f t="shared" si="68"/>
        <v>0</v>
      </c>
      <c r="BL138" s="183">
        <f t="shared" si="69"/>
        <v>0</v>
      </c>
    </row>
    <row r="139" spans="1:64" s="187" customFormat="1" hidden="1" outlineLevel="1" x14ac:dyDescent="0.3">
      <c r="A139" s="350" t="s">
        <v>3409</v>
      </c>
      <c r="B139" s="350" t="s">
        <v>2</v>
      </c>
      <c r="C139" s="350" t="s">
        <v>82</v>
      </c>
      <c r="D139" s="350" t="s">
        <v>2937</v>
      </c>
      <c r="E139" s="350" t="s">
        <v>3410</v>
      </c>
      <c r="F139" s="350" t="s">
        <v>85</v>
      </c>
      <c r="G139" s="413"/>
      <c r="H139" s="350" t="s">
        <v>2</v>
      </c>
      <c r="I139" s="181">
        <f>IFERROR(VLOOKUP($A139,'Bevétel 2a SZH 2022'!$B:$M,MATCH($I$1,'Bevétel 2a SZH 2022'!$B$1:$M$1,0),0), )</f>
        <v>-6635.915</v>
      </c>
      <c r="J139" s="181">
        <f t="shared" si="63"/>
        <v>-6635.9149999999981</v>
      </c>
      <c r="K139" s="166">
        <f>+I139-J139</f>
        <v>0</v>
      </c>
      <c r="L139" s="166">
        <f t="shared" si="65"/>
        <v>-6635.9149999999981</v>
      </c>
      <c r="M139" s="716">
        <v>2</v>
      </c>
      <c r="N139" s="166">
        <f>IFERROR(VLOOKUP($M139,'1 b felosztások'!$A:$U,'1 b felosztások'!C$2,0)*$I139,0)</f>
        <v>-1192.9734831460673</v>
      </c>
      <c r="O139" s="166">
        <f>IFERROR(VLOOKUP($M139,'1 b felosztások'!$A:$U,'1 b felosztások'!D$2,0)*$I139,0)</f>
        <v>-671.04758426966293</v>
      </c>
      <c r="P139" s="166">
        <f>IFERROR(VLOOKUP($M139,'1 b felosztások'!$A:$U,'1 b felosztások'!E$2,0)*$I139,0)</f>
        <v>-149.12168539325842</v>
      </c>
      <c r="Q139" s="166">
        <f>IFERROR(VLOOKUP($M139,'1 b felosztások'!$A:$U,'1 b felosztások'!F$2,0)*$I139,0)</f>
        <v>-745.60842696629209</v>
      </c>
      <c r="R139" s="166">
        <f>IFERROR(VLOOKUP($M139,'1 b felosztások'!$A:$U,'1 b felosztások'!G$2,0)*$I139,0)</f>
        <v>-298.24337078651683</v>
      </c>
      <c r="S139" s="166">
        <f>IFERROR(VLOOKUP($M139,'1 b felosztások'!$A:$U,'1 b felosztások'!H$2,0)*$I139,0)</f>
        <v>-447.36505617977525</v>
      </c>
      <c r="T139" s="166">
        <f>IFERROR(VLOOKUP($M139,'1 b felosztások'!$A:$U,'1 b felosztások'!I$2,0)*$I139,0)</f>
        <v>-223.68252808988763</v>
      </c>
      <c r="U139" s="166">
        <f>IFERROR(VLOOKUP($M139,'1 b felosztások'!$A:$U,'1 b felosztások'!J$2,0)*$I139,0)</f>
        <v>-447.36505617977525</v>
      </c>
      <c r="V139" s="166">
        <f>IFERROR(VLOOKUP($M139,'1 b felosztások'!$A:$U,'1 b felosztások'!K$2,0)*$I139,0)</f>
        <v>-596.48674157303367</v>
      </c>
      <c r="W139" s="166">
        <f>IFERROR(VLOOKUP($M139,'1 b felosztások'!$A:$U,'1 b felosztások'!L$2,0)*$I139,0)</f>
        <v>-596.48674157303367</v>
      </c>
      <c r="X139" s="166">
        <f>IFERROR(VLOOKUP($M139,'1 b felosztások'!$A:$U,'1 b felosztások'!M$2,0)*$I139,0)</f>
        <v>-298.24337078651683</v>
      </c>
      <c r="Y139" s="166">
        <f>IFERROR(VLOOKUP($M139,'1 b felosztások'!$A:$U,'1 b felosztások'!N$2,0)*$I139,0)</f>
        <v>-596.48674157303367</v>
      </c>
      <c r="Z139" s="166">
        <f>IFERROR(VLOOKUP($M139,'1 b felosztások'!$A:$U,'1 b felosztások'!O$2,0)*$I139,0)</f>
        <v>-372.80421348314604</v>
      </c>
      <c r="AA139" s="166">
        <f>IFERROR(VLOOKUP($M139,'1 b felosztások'!$A:$U,'1 b felosztások'!P$2,0)*$I139,0)</f>
        <v>0</v>
      </c>
      <c r="AB139" s="166">
        <f>IFERROR(VLOOKUP($M139,'1 b felosztások'!$A:$U,'1 b felosztások'!Q$2,0)*$I139,0)</f>
        <v>0</v>
      </c>
      <c r="AC139" s="166"/>
      <c r="AD139" s="166"/>
      <c r="AE139" s="166"/>
      <c r="AF139" s="166"/>
      <c r="AG139" s="166"/>
      <c r="AH139" s="166"/>
      <c r="AI139" s="166"/>
      <c r="AJ139" s="166"/>
      <c r="AK139" s="166"/>
      <c r="AL139" s="166"/>
      <c r="AM139" s="166"/>
      <c r="AN139" s="166"/>
      <c r="AO139" s="166"/>
      <c r="AP139" s="166"/>
      <c r="AQ139" s="166"/>
      <c r="AR139" s="166"/>
      <c r="AS139" s="166"/>
      <c r="AT139" s="166"/>
      <c r="AU139" s="166"/>
      <c r="AV139" s="166"/>
      <c r="AW139" s="166"/>
      <c r="AX139" s="166"/>
      <c r="AY139" s="166"/>
      <c r="AZ139" s="186"/>
      <c r="BA139" s="186"/>
      <c r="BB139" s="186"/>
      <c r="BC139" s="186"/>
      <c r="BD139" s="186"/>
      <c r="BE139" s="186"/>
      <c r="BF139" s="186"/>
      <c r="BG139" s="186"/>
      <c r="BH139" s="186"/>
      <c r="BI139" s="183">
        <f t="shared" si="66"/>
        <v>-6635.9149999999981</v>
      </c>
      <c r="BJ139" s="183">
        <f t="shared" si="67"/>
        <v>0</v>
      </c>
      <c r="BK139" s="183">
        <f t="shared" si="68"/>
        <v>0</v>
      </c>
      <c r="BL139" s="183">
        <f t="shared" si="69"/>
        <v>0</v>
      </c>
    </row>
    <row r="140" spans="1:64" s="187" customFormat="1" hidden="1" outlineLevel="1" x14ac:dyDescent="0.3">
      <c r="A140" s="180">
        <v>30</v>
      </c>
      <c r="B140" s="180" t="s">
        <v>2</v>
      </c>
      <c r="C140" s="180" t="s">
        <v>82</v>
      </c>
      <c r="D140" s="180" t="s">
        <v>2937</v>
      </c>
      <c r="E140" s="350" t="s">
        <v>3411</v>
      </c>
      <c r="F140" s="180" t="s">
        <v>85</v>
      </c>
      <c r="G140" s="185"/>
      <c r="H140" s="180" t="s">
        <v>2</v>
      </c>
      <c r="I140" s="181">
        <f>IFERROR(VLOOKUP($A140,'Bevétel 2a SZH 2022'!$B:$M,MATCH($I$1,'Bevétel 2a SZH 2022'!$B$1:$M$1,0),0), )</f>
        <v>0</v>
      </c>
      <c r="J140" s="181">
        <f t="shared" si="63"/>
        <v>0</v>
      </c>
      <c r="K140" s="166">
        <f t="shared" si="64"/>
        <v>0</v>
      </c>
      <c r="L140" s="166">
        <f t="shared" si="65"/>
        <v>0</v>
      </c>
      <c r="M140" s="190"/>
      <c r="N140" s="202"/>
      <c r="O140" s="202"/>
      <c r="P140" s="202"/>
      <c r="Q140" s="202"/>
      <c r="R140" s="202"/>
      <c r="S140" s="202"/>
      <c r="T140" s="202"/>
      <c r="U140" s="202"/>
      <c r="V140" s="202"/>
      <c r="W140" s="202"/>
      <c r="X140" s="202"/>
      <c r="Y140" s="202"/>
      <c r="Z140" s="202"/>
      <c r="AA140" s="202"/>
      <c r="AB140" s="202"/>
      <c r="AC140" s="202"/>
      <c r="AD140" s="202"/>
      <c r="AE140" s="202"/>
      <c r="AF140" s="202"/>
      <c r="AG140" s="202"/>
      <c r="AH140" s="202"/>
      <c r="AI140" s="202"/>
      <c r="AJ140" s="202"/>
      <c r="AK140" s="202"/>
      <c r="AL140" s="202"/>
      <c r="AM140" s="202"/>
      <c r="AN140" s="166"/>
      <c r="AO140" s="166"/>
      <c r="AP140" s="166"/>
      <c r="AQ140" s="166"/>
      <c r="AR140" s="166"/>
      <c r="AS140" s="166"/>
      <c r="AT140" s="166"/>
      <c r="AU140" s="166"/>
      <c r="AV140" s="166"/>
      <c r="AW140" s="166"/>
      <c r="AX140" s="166"/>
      <c r="AY140" s="166"/>
      <c r="AZ140" s="186"/>
      <c r="BA140" s="186"/>
      <c r="BB140" s="186"/>
      <c r="BC140" s="186"/>
      <c r="BD140" s="186"/>
      <c r="BE140" s="186"/>
      <c r="BF140" s="186"/>
      <c r="BG140" s="186"/>
      <c r="BH140" s="186"/>
      <c r="BI140" s="183">
        <f t="shared" si="66"/>
        <v>0</v>
      </c>
      <c r="BJ140" s="183">
        <f t="shared" si="67"/>
        <v>0</v>
      </c>
      <c r="BK140" s="183">
        <f t="shared" si="68"/>
        <v>0</v>
      </c>
      <c r="BL140" s="183">
        <f t="shared" si="69"/>
        <v>0</v>
      </c>
    </row>
    <row r="141" spans="1:64" s="187" customFormat="1" hidden="1" outlineLevel="1" x14ac:dyDescent="0.3">
      <c r="A141" s="180">
        <v>31</v>
      </c>
      <c r="B141" s="180" t="s">
        <v>2</v>
      </c>
      <c r="C141" s="180" t="s">
        <v>82</v>
      </c>
      <c r="D141" s="180" t="s">
        <v>2937</v>
      </c>
      <c r="E141" s="350" t="s">
        <v>3413</v>
      </c>
      <c r="F141" s="180" t="s">
        <v>85</v>
      </c>
      <c r="G141" s="185"/>
      <c r="H141" s="180" t="s">
        <v>2</v>
      </c>
      <c r="I141" s="181">
        <f>IFERROR(VLOOKUP($A141,'Bevétel 2a SZH 2022'!$B:$M,MATCH($I$1,'Bevétel 2a SZH 2022'!$B$1:$M$1,0),0), )</f>
        <v>-56692</v>
      </c>
      <c r="J141" s="181">
        <f t="shared" si="63"/>
        <v>-56692</v>
      </c>
      <c r="K141" s="166">
        <f t="shared" si="64"/>
        <v>0</v>
      </c>
      <c r="L141" s="166">
        <f t="shared" si="65"/>
        <v>-56692</v>
      </c>
      <c r="M141" s="190"/>
      <c r="N141" s="202"/>
      <c r="O141" s="202"/>
      <c r="P141" s="202"/>
      <c r="Q141" s="202"/>
      <c r="R141" s="202"/>
      <c r="S141" s="202"/>
      <c r="T141" s="202"/>
      <c r="U141" s="202"/>
      <c r="V141" s="202"/>
      <c r="W141" s="202"/>
      <c r="X141" s="202"/>
      <c r="Y141" s="202"/>
      <c r="Z141" s="202"/>
      <c r="AA141" s="202"/>
      <c r="AB141" s="202">
        <f>+I141</f>
        <v>-56692</v>
      </c>
      <c r="AC141" s="202"/>
      <c r="AD141" s="202"/>
      <c r="AE141" s="202"/>
      <c r="AF141" s="202"/>
      <c r="AG141" s="202"/>
      <c r="AH141" s="202"/>
      <c r="AI141" s="202"/>
      <c r="AJ141" s="202"/>
      <c r="AK141" s="202"/>
      <c r="AL141" s="202"/>
      <c r="AM141" s="202"/>
      <c r="AN141" s="166"/>
      <c r="AO141" s="166"/>
      <c r="AP141" s="166"/>
      <c r="AQ141" s="166"/>
      <c r="AR141" s="166"/>
      <c r="AS141" s="166"/>
      <c r="AT141" s="166"/>
      <c r="AU141" s="166"/>
      <c r="AV141" s="166"/>
      <c r="AW141" s="166"/>
      <c r="AX141" s="166"/>
      <c r="AY141" s="166"/>
      <c r="AZ141" s="186"/>
      <c r="BA141" s="186"/>
      <c r="BB141" s="186"/>
      <c r="BC141" s="186"/>
      <c r="BD141" s="186"/>
      <c r="BE141" s="186"/>
      <c r="BF141" s="186"/>
      <c r="BG141" s="186"/>
      <c r="BH141" s="186"/>
      <c r="BI141" s="183">
        <f t="shared" si="66"/>
        <v>0</v>
      </c>
      <c r="BJ141" s="183">
        <f t="shared" si="67"/>
        <v>-56692</v>
      </c>
      <c r="BK141" s="183">
        <f t="shared" si="68"/>
        <v>0</v>
      </c>
      <c r="BL141" s="183">
        <f t="shared" si="69"/>
        <v>0</v>
      </c>
    </row>
    <row r="142" spans="1:64" s="187" customFormat="1" hidden="1" outlineLevel="1" x14ac:dyDescent="0.3">
      <c r="A142" s="180">
        <v>32</v>
      </c>
      <c r="B142" s="180" t="s">
        <v>2</v>
      </c>
      <c r="C142" s="180" t="s">
        <v>82</v>
      </c>
      <c r="D142" s="180" t="s">
        <v>2937</v>
      </c>
      <c r="E142" s="350" t="s">
        <v>3414</v>
      </c>
      <c r="F142" s="180" t="s">
        <v>85</v>
      </c>
      <c r="G142" s="185"/>
      <c r="H142" s="180" t="s">
        <v>2</v>
      </c>
      <c r="I142" s="181">
        <f>IFERROR(VLOOKUP($A142,'Bevétel 2a SZH 2022'!$B:$M,MATCH($I$1,'Bevétel 2a SZH 2022'!$B$1:$M$1,0),0), )</f>
        <v>56692</v>
      </c>
      <c r="J142" s="181">
        <f t="shared" si="63"/>
        <v>56692</v>
      </c>
      <c r="K142" s="166">
        <f t="shared" si="64"/>
        <v>0</v>
      </c>
      <c r="L142" s="166">
        <f t="shared" si="65"/>
        <v>56692</v>
      </c>
      <c r="M142" s="190"/>
      <c r="N142" s="202"/>
      <c r="O142" s="202"/>
      <c r="P142" s="202"/>
      <c r="Q142" s="202"/>
      <c r="R142" s="202"/>
      <c r="S142" s="202"/>
      <c r="T142" s="202"/>
      <c r="U142" s="202"/>
      <c r="V142" s="202"/>
      <c r="W142" s="202"/>
      <c r="X142" s="202"/>
      <c r="Y142" s="202"/>
      <c r="Z142" s="202"/>
      <c r="AA142" s="202"/>
      <c r="AB142" s="202">
        <f>+I142</f>
        <v>56692</v>
      </c>
      <c r="AC142" s="202"/>
      <c r="AD142" s="202"/>
      <c r="AE142" s="202"/>
      <c r="AF142" s="202"/>
      <c r="AG142" s="202"/>
      <c r="AH142" s="202"/>
      <c r="AI142" s="202"/>
      <c r="AJ142" s="202"/>
      <c r="AK142" s="202"/>
      <c r="AL142" s="202"/>
      <c r="AM142" s="202"/>
      <c r="AN142" s="166"/>
      <c r="AO142" s="166"/>
      <c r="AP142" s="166"/>
      <c r="AQ142" s="166"/>
      <c r="AR142" s="166"/>
      <c r="AS142" s="166"/>
      <c r="AT142" s="166"/>
      <c r="AU142" s="166"/>
      <c r="AV142" s="166"/>
      <c r="AW142" s="166"/>
      <c r="AX142" s="166"/>
      <c r="AY142" s="166"/>
      <c r="AZ142" s="186"/>
      <c r="BA142" s="186"/>
      <c r="BB142" s="186"/>
      <c r="BC142" s="186"/>
      <c r="BD142" s="186"/>
      <c r="BE142" s="186"/>
      <c r="BF142" s="186"/>
      <c r="BG142" s="186"/>
      <c r="BH142" s="186"/>
      <c r="BI142" s="183">
        <f t="shared" si="66"/>
        <v>0</v>
      </c>
      <c r="BJ142" s="183">
        <f t="shared" si="67"/>
        <v>56692</v>
      </c>
      <c r="BK142" s="183">
        <f t="shared" si="68"/>
        <v>0</v>
      </c>
      <c r="BL142" s="183">
        <f t="shared" si="69"/>
        <v>0</v>
      </c>
    </row>
    <row r="143" spans="1:64" s="187" customFormat="1" ht="42" customHeight="1" collapsed="1" x14ac:dyDescent="0.3">
      <c r="A143" s="198"/>
      <c r="B143" s="206" t="s">
        <v>2906</v>
      </c>
      <c r="C143" s="198" t="s">
        <v>2916</v>
      </c>
      <c r="D143" s="198" t="s">
        <v>2938</v>
      </c>
      <c r="E143" s="206" t="str">
        <f>+B143</f>
        <v>Bevételi egyenleg II. (Bevételi egyenleg I. + maradvány és korrekciói)</v>
      </c>
      <c r="F143" s="198"/>
      <c r="G143" s="208"/>
      <c r="H143" s="198"/>
      <c r="I143" s="199">
        <f>SUM(I126:I142)</f>
        <v>639601157.374542</v>
      </c>
      <c r="J143" s="199">
        <f t="shared" ref="J143:BH143" si="70">SUM(J126:J142)</f>
        <v>639601155.7016685</v>
      </c>
      <c r="K143" s="199">
        <f t="shared" si="70"/>
        <v>1.6728736609220505</v>
      </c>
      <c r="L143" s="199">
        <f t="shared" si="70"/>
        <v>864210980.43310261</v>
      </c>
      <c r="M143" s="199"/>
      <c r="N143" s="199">
        <f>SUM(N126:N142)</f>
        <v>103510178.27487005</v>
      </c>
      <c r="O143" s="199">
        <f>SUM(O126:O142)</f>
        <v>21747218.065215088</v>
      </c>
      <c r="P143" s="199">
        <f t="shared" ref="P143:Z143" si="71">SUM(P126:P142)</f>
        <v>8234621.9772866359</v>
      </c>
      <c r="Q143" s="199">
        <f t="shared" si="71"/>
        <v>31516175.404437788</v>
      </c>
      <c r="R143" s="199">
        <f t="shared" si="71"/>
        <v>11749909.413977951</v>
      </c>
      <c r="S143" s="199">
        <f t="shared" si="71"/>
        <v>29283169.474603917</v>
      </c>
      <c r="T143" s="199">
        <f t="shared" si="71"/>
        <v>20436930.837501511</v>
      </c>
      <c r="U143" s="199">
        <f t="shared" si="71"/>
        <v>35753947.523933351</v>
      </c>
      <c r="V143" s="199">
        <f t="shared" si="71"/>
        <v>40768703.064415656</v>
      </c>
      <c r="W143" s="199">
        <f t="shared" si="71"/>
        <v>31793228.836658955</v>
      </c>
      <c r="X143" s="199">
        <f t="shared" si="71"/>
        <v>22184986.453856867</v>
      </c>
      <c r="Y143" s="199">
        <f t="shared" si="71"/>
        <v>72236749.50949578</v>
      </c>
      <c r="Z143" s="199">
        <f t="shared" si="71"/>
        <v>16143729.977704432</v>
      </c>
      <c r="AA143" s="199">
        <f t="shared" si="70"/>
        <v>8463022.4440074675</v>
      </c>
      <c r="AB143" s="199">
        <f t="shared" si="70"/>
        <v>9861025.9537842907</v>
      </c>
      <c r="AC143" s="199">
        <f t="shared" si="70"/>
        <v>38586146.113053955</v>
      </c>
      <c r="AD143" s="199">
        <f t="shared" si="70"/>
        <v>5621500</v>
      </c>
      <c r="AE143" s="199">
        <f t="shared" si="70"/>
        <v>-9286</v>
      </c>
      <c r="AF143" s="199">
        <f>SUM(AF126:AF142)</f>
        <v>12331959.256864643</v>
      </c>
      <c r="AG143" s="199">
        <f>SUM(AG126:AG142)</f>
        <v>0</v>
      </c>
      <c r="AH143" s="199">
        <f t="shared" si="70"/>
        <v>-452535</v>
      </c>
      <c r="AI143" s="199">
        <f t="shared" si="70"/>
        <v>0</v>
      </c>
      <c r="AJ143" s="199">
        <f t="shared" si="70"/>
        <v>0</v>
      </c>
      <c r="AK143" s="199">
        <f t="shared" si="70"/>
        <v>0</v>
      </c>
      <c r="AL143" s="199">
        <f t="shared" si="70"/>
        <v>0</v>
      </c>
      <c r="AM143" s="199">
        <f t="shared" si="70"/>
        <v>119839774.12</v>
      </c>
      <c r="AN143" s="199">
        <f t="shared" si="70"/>
        <v>1911197</v>
      </c>
      <c r="AO143" s="199">
        <f t="shared" si="70"/>
        <v>149838655.15028548</v>
      </c>
      <c r="AP143" s="199">
        <f t="shared" si="70"/>
        <v>40180860</v>
      </c>
      <c r="AQ143" s="199">
        <f t="shared" si="70"/>
        <v>157177.68975872546</v>
      </c>
      <c r="AR143" s="199">
        <f t="shared" si="70"/>
        <v>3943122.5039548804</v>
      </c>
      <c r="AS143" s="199">
        <f t="shared" si="70"/>
        <v>0</v>
      </c>
      <c r="AT143" s="199">
        <f t="shared" si="70"/>
        <v>0</v>
      </c>
      <c r="AU143" s="199">
        <f t="shared" si="70"/>
        <v>0</v>
      </c>
      <c r="AV143" s="199">
        <f t="shared" si="70"/>
        <v>0</v>
      </c>
      <c r="AW143" s="199">
        <f t="shared" si="70"/>
        <v>0</v>
      </c>
      <c r="AX143" s="199">
        <f t="shared" si="70"/>
        <v>0</v>
      </c>
      <c r="AY143" s="199">
        <f t="shared" si="70"/>
        <v>9239068.3874350004</v>
      </c>
      <c r="AZ143" s="199">
        <f t="shared" si="70"/>
        <v>0</v>
      </c>
      <c r="BA143" s="199">
        <f t="shared" si="70"/>
        <v>0</v>
      </c>
      <c r="BB143" s="199">
        <f t="shared" si="70"/>
        <v>0</v>
      </c>
      <c r="BC143" s="199">
        <f t="shared" si="70"/>
        <v>0</v>
      </c>
      <c r="BD143" s="199">
        <f t="shared" si="70"/>
        <v>0</v>
      </c>
      <c r="BE143" s="199">
        <f>SUM(BE126:BE142)</f>
        <v>0</v>
      </c>
      <c r="BF143" s="199">
        <f t="shared" si="70"/>
        <v>19339744</v>
      </c>
      <c r="BG143" s="199">
        <f t="shared" si="70"/>
        <v>0</v>
      </c>
      <c r="BH143" s="199">
        <f t="shared" si="70"/>
        <v>0</v>
      </c>
      <c r="BI143" s="199">
        <f t="shared" si="66"/>
        <v>453822571.25796545</v>
      </c>
      <c r="BJ143" s="199">
        <f t="shared" si="67"/>
        <v>9861025.9537842907</v>
      </c>
      <c r="BK143" s="199">
        <f t="shared" si="68"/>
        <v>175917558.48991859</v>
      </c>
      <c r="BL143" s="199">
        <f t="shared" si="69"/>
        <v>224609824.73143408</v>
      </c>
    </row>
    <row r="144" spans="1:64" s="187" customFormat="1" ht="218.4" hidden="1" outlineLevel="1" x14ac:dyDescent="0.3">
      <c r="A144" s="180">
        <v>34</v>
      </c>
      <c r="B144" s="415" t="s">
        <v>3416</v>
      </c>
      <c r="C144" s="180" t="s">
        <v>82</v>
      </c>
      <c r="D144" s="350" t="s">
        <v>3976</v>
      </c>
      <c r="E144" s="415" t="s">
        <v>3416</v>
      </c>
      <c r="F144" s="180" t="s">
        <v>2791</v>
      </c>
      <c r="G144" s="180">
        <v>333</v>
      </c>
      <c r="H144" s="185" t="str">
        <f>IFERROR(VLOOKUP(G144,'2022. tervsor'!C:D,2,0)," ")</f>
        <v>T Képzési finanszírozás átadás</v>
      </c>
      <c r="I144" s="181">
        <f>IFERROR(VLOOKUP($A144,'Bevétel 2a SZH 2022'!$B:$M,MATCH($I$1,'Bevétel 2a SZH 2022'!$B$1:$M$1,0),0), )</f>
        <v>6276492</v>
      </c>
      <c r="J144" s="181">
        <f t="shared" ref="J144:J180" si="72">SUM(N144:AM144)</f>
        <v>6276491.9999999991</v>
      </c>
      <c r="K144" s="166">
        <f>+I144-J144</f>
        <v>0</v>
      </c>
      <c r="L144" s="166">
        <f t="shared" ref="L144:L180" si="73">SUM(N144:BH144)</f>
        <v>6276491.9999999991</v>
      </c>
      <c r="M144" s="717">
        <v>11</v>
      </c>
      <c r="N144" s="166">
        <f>IFERROR(VLOOKUP($M144,'1 b felosztások'!$A:$U,'1 b felosztások'!C$2,0)*$I144,0)</f>
        <v>1742791.7820821384</v>
      </c>
      <c r="O144" s="166">
        <f>IFERROR(VLOOKUP($M144,'1 b felosztások'!$A:$U,'1 b felosztások'!D$2,0)*$I144,0)</f>
        <v>204229.96224654684</v>
      </c>
      <c r="P144" s="166">
        <f>IFERROR(VLOOKUP($M144,'1 b felosztások'!$A:$U,'1 b felosztások'!E$2,0)*$I144,0)</f>
        <v>30084.373325718465</v>
      </c>
      <c r="Q144" s="166">
        <f>IFERROR(VLOOKUP($M144,'1 b felosztások'!$A:$U,'1 b felosztások'!F$2,0)*$I144,0)</f>
        <v>350270.84711780038</v>
      </c>
      <c r="R144" s="166">
        <f>IFERROR(VLOOKUP($M144,'1 b felosztások'!$A:$U,'1 b felosztások'!G$2,0)*$I144,0)</f>
        <v>99292.731620573482</v>
      </c>
      <c r="S144" s="166">
        <f>IFERROR(VLOOKUP($M144,'1 b felosztások'!$A:$U,'1 b felosztások'!H$2,0)*$I144,0)</f>
        <v>539154.12045341544</v>
      </c>
      <c r="T144" s="166">
        <f>IFERROR(VLOOKUP($M144,'1 b felosztások'!$A:$U,'1 b felosztások'!I$2,0)*$I144,0)</f>
        <v>333820.34285117319</v>
      </c>
      <c r="U144" s="166">
        <f>IFERROR(VLOOKUP($M144,'1 b felosztások'!$A:$U,'1 b felosztások'!J$2,0)*$I144,0)</f>
        <v>409729.62163794547</v>
      </c>
      <c r="V144" s="166">
        <f>IFERROR(VLOOKUP($M144,'1 b felosztások'!$A:$U,'1 b felosztások'!K$2,0)*$I144,0)</f>
        <v>535721.5604058007</v>
      </c>
      <c r="W144" s="166">
        <f>IFERROR(VLOOKUP($M144,'1 b felosztások'!$A:$U,'1 b felosztások'!L$2,0)*$I144,0)</f>
        <v>331073.04728468513</v>
      </c>
      <c r="X144" s="166">
        <f>IFERROR(VLOOKUP($M144,'1 b felosztások'!$A:$U,'1 b felosztások'!M$2,0)*$I144,0)</f>
        <v>50064.227095789982</v>
      </c>
      <c r="Y144" s="166">
        <f>IFERROR(VLOOKUP($M144,'1 b felosztások'!$A:$U,'1 b felosztások'!N$2,0)*$I144,0)</f>
        <v>1508882.3482786689</v>
      </c>
      <c r="Z144" s="166">
        <f>IFERROR(VLOOKUP($M144,'1 b felosztások'!$A:$U,'1 b felosztások'!O$2,0)*$I144,0)</f>
        <v>133283.28284958273</v>
      </c>
      <c r="AA144" s="166">
        <f>IFERROR(VLOOKUP($M144,'1 b felosztások'!$A:$U,'1 b felosztások'!P$2,0)*$I144,0)</f>
        <v>8093.7527501606128</v>
      </c>
      <c r="AB144" s="166"/>
      <c r="AC144" s="166"/>
      <c r="AD144" s="166"/>
      <c r="AE144" s="166"/>
      <c r="AF144" s="166"/>
      <c r="AG144" s="166"/>
      <c r="AH144" s="166"/>
      <c r="AI144" s="166"/>
      <c r="AJ144" s="166"/>
      <c r="AK144" s="166"/>
      <c r="AL144" s="166"/>
      <c r="AM144" s="166"/>
      <c r="AN144" s="166"/>
      <c r="AO144" s="166"/>
      <c r="AP144" s="166"/>
      <c r="AQ144" s="166"/>
      <c r="AR144" s="166"/>
      <c r="AS144" s="166"/>
      <c r="AT144" s="166"/>
      <c r="AU144" s="166"/>
      <c r="AV144" s="166"/>
      <c r="AW144" s="166"/>
      <c r="AX144" s="166"/>
      <c r="AY144" s="166"/>
      <c r="AZ144" s="186"/>
      <c r="BA144" s="186"/>
      <c r="BB144" s="186"/>
      <c r="BC144" s="186"/>
      <c r="BD144" s="186"/>
      <c r="BE144" s="186"/>
      <c r="BF144" s="186"/>
      <c r="BG144" s="186"/>
      <c r="BH144" s="186"/>
      <c r="BI144" s="183">
        <f t="shared" si="66"/>
        <v>6276491.9999999991</v>
      </c>
      <c r="BJ144" s="183">
        <f t="shared" si="67"/>
        <v>0</v>
      </c>
      <c r="BK144" s="183">
        <f t="shared" si="68"/>
        <v>0</v>
      </c>
      <c r="BL144" s="183">
        <f t="shared" si="69"/>
        <v>0</v>
      </c>
    </row>
    <row r="145" spans="1:64" s="187" customFormat="1" ht="93.6" hidden="1" outlineLevel="1" x14ac:dyDescent="0.3">
      <c r="A145" s="180">
        <v>35</v>
      </c>
      <c r="B145" s="415" t="s">
        <v>3417</v>
      </c>
      <c r="C145" s="350" t="s">
        <v>82</v>
      </c>
      <c r="D145" s="350" t="s">
        <v>3977</v>
      </c>
      <c r="E145" s="415" t="s">
        <v>3417</v>
      </c>
      <c r="F145" s="350" t="s">
        <v>2791</v>
      </c>
      <c r="G145" s="350">
        <v>322</v>
      </c>
      <c r="H145" s="185" t="str">
        <f>IFERROR(VLOOKUP(G145,'2022. tervsor'!C:D,2,0)," ")</f>
        <v>Működési költségvetés támogatása - Céltámogatás</v>
      </c>
      <c r="I145" s="181">
        <f>IFERROR(VLOOKUP($A145,'Bevétel 2a SZH 2022'!$B:$M,MATCH($I$1,'Bevétel 2a SZH 2022'!$B$1:$M$1,0),0), )</f>
        <v>191422</v>
      </c>
      <c r="J145" s="181">
        <f t="shared" si="72"/>
        <v>191422</v>
      </c>
      <c r="K145" s="166">
        <f t="shared" ref="K145:K155" si="74">+I145-J145</f>
        <v>0</v>
      </c>
      <c r="L145" s="166">
        <f t="shared" si="73"/>
        <v>191422</v>
      </c>
      <c r="M145" s="717">
        <v>1</v>
      </c>
      <c r="N145" s="166">
        <f>IFERROR(VLOOKUP($M145,'1 b felosztások'!$A:$U,'1 b felosztások'!C$2,0)*$I145,0)</f>
        <v>31252.571428571428</v>
      </c>
      <c r="O145" s="166">
        <f>IFERROR(VLOOKUP($M145,'1 b felosztások'!$A:$U,'1 b felosztások'!D$2,0)*$I145,0)</f>
        <v>17579.571428571431</v>
      </c>
      <c r="P145" s="166">
        <f>IFERROR(VLOOKUP($M145,'1 b felosztások'!$A:$U,'1 b felosztások'!E$2,0)*$I145,0)</f>
        <v>3906.5714285714284</v>
      </c>
      <c r="Q145" s="166">
        <f>IFERROR(VLOOKUP($M145,'1 b felosztások'!$A:$U,'1 b felosztások'!F$2,0)*$I145,0)</f>
        <v>19532.857142857145</v>
      </c>
      <c r="R145" s="166">
        <f>IFERROR(VLOOKUP($M145,'1 b felosztások'!$A:$U,'1 b felosztások'!G$2,0)*$I145,0)</f>
        <v>7813.1428571428569</v>
      </c>
      <c r="S145" s="166">
        <f>IFERROR(VLOOKUP($M145,'1 b felosztások'!$A:$U,'1 b felosztások'!H$2,0)*$I145,0)</f>
        <v>11719.714285714286</v>
      </c>
      <c r="T145" s="166">
        <f>IFERROR(VLOOKUP($M145,'1 b felosztások'!$A:$U,'1 b felosztások'!I$2,0)*$I145,0)</f>
        <v>5859.8571428571431</v>
      </c>
      <c r="U145" s="166">
        <f>IFERROR(VLOOKUP($M145,'1 b felosztások'!$A:$U,'1 b felosztások'!J$2,0)*$I145,0)</f>
        <v>11719.714285714286</v>
      </c>
      <c r="V145" s="166">
        <f>IFERROR(VLOOKUP($M145,'1 b felosztások'!$A:$U,'1 b felosztások'!K$2,0)*$I145,0)</f>
        <v>15626.285714285714</v>
      </c>
      <c r="W145" s="166">
        <f>IFERROR(VLOOKUP($M145,'1 b felosztások'!$A:$U,'1 b felosztások'!L$2,0)*$I145,0)</f>
        <v>15626.285714285714</v>
      </c>
      <c r="X145" s="166">
        <f>IFERROR(VLOOKUP($M145,'1 b felosztások'!$A:$U,'1 b felosztások'!M$2,0)*$I145,0)</f>
        <v>7813.1428571428569</v>
      </c>
      <c r="Y145" s="166">
        <f>IFERROR(VLOOKUP($M145,'1 b felosztások'!$A:$U,'1 b felosztások'!N$2,0)*$I145,0)</f>
        <v>15626.285714285714</v>
      </c>
      <c r="Z145" s="166">
        <f>IFERROR(VLOOKUP($M145,'1 b felosztások'!$A:$U,'1 b felosztások'!O$2,0)*$I145,0)</f>
        <v>9766.4285714285725</v>
      </c>
      <c r="AA145" s="166">
        <f>IFERROR(VLOOKUP($M145,'1 b felosztások'!$A:$U,'1 b felosztások'!P$2,0)*$I145,0)</f>
        <v>17579.571428571431</v>
      </c>
      <c r="AB145" s="166">
        <f>IFERROR(VLOOKUP($M145,'1 b felosztások'!$A:$U,'1 b felosztások'!Q$2,0)*$I145,0)</f>
        <v>0</v>
      </c>
      <c r="AC145" s="166">
        <f>IFERROR(VLOOKUP($M145,'1 b felosztások'!$A:$U,'1 b felosztások'!R$2,0)*$I145,0)</f>
        <v>0</v>
      </c>
      <c r="AD145" s="166">
        <f>IFERROR(VLOOKUP($M145,'1 b felosztások'!$A:$U,'1 b felosztások'!S$2,0)*$I145,0)</f>
        <v>0</v>
      </c>
      <c r="AE145" s="166">
        <f>IFERROR(VLOOKUP($M145,'1 b felosztások'!$A:$U,'1 b felosztások'!T$2,0)*$I145,0)</f>
        <v>0</v>
      </c>
      <c r="AF145" s="166">
        <f>IFERROR(VLOOKUP($M145,'1 b felosztások'!$A:$U,'1 b felosztások'!U$2,0)*$I145,0)</f>
        <v>0</v>
      </c>
      <c r="AG145" s="166">
        <f>IFERROR(VLOOKUP($M145,'1 b felosztások'!$A:$U,'1 b felosztások'!V$2,0)*$I145,0)</f>
        <v>0</v>
      </c>
      <c r="AH145" s="166">
        <f>IFERROR(VLOOKUP($M145,'1 b felosztások'!$A:$U,'1 b felosztások'!W$2,0)*$I145,0)</f>
        <v>0</v>
      </c>
      <c r="AI145" s="166">
        <f>IFERROR(VLOOKUP($M145,'1 b felosztások'!$A:$U,'1 b felosztások'!X$2,0)*$I145,0)</f>
        <v>0</v>
      </c>
      <c r="AJ145" s="166">
        <f>IFERROR(VLOOKUP($M145,'1 b felosztások'!$A:$U,'1 b felosztások'!Y$2,0)*$I145,0)</f>
        <v>0</v>
      </c>
      <c r="AK145" s="166">
        <f>IFERROR(VLOOKUP($M145,'1 b felosztások'!$A:$U,'1 b felosztások'!Z$2,0)*$I145,0)</f>
        <v>0</v>
      </c>
      <c r="AL145" s="166">
        <f>IFERROR(VLOOKUP($M145,'1 b felosztások'!$A:$U,'1 b felosztások'!AA$2,0)*$I145,0)</f>
        <v>0</v>
      </c>
      <c r="AM145" s="166">
        <f>IFERROR(VLOOKUP($M145,'1 b felosztások'!$A:$U,'1 b felosztások'!AB$2,0)*$I145,0)</f>
        <v>0</v>
      </c>
      <c r="AN145" s="166"/>
      <c r="AO145" s="166"/>
      <c r="AP145" s="166"/>
      <c r="AQ145" s="166"/>
      <c r="AR145" s="166"/>
      <c r="AS145" s="166"/>
      <c r="AT145" s="166"/>
      <c r="AU145" s="166"/>
      <c r="AV145" s="166"/>
      <c r="AW145" s="166"/>
      <c r="AX145" s="166"/>
      <c r="AY145" s="166"/>
      <c r="AZ145" s="186"/>
      <c r="BA145" s="186"/>
      <c r="BB145" s="186"/>
      <c r="BC145" s="186"/>
      <c r="BD145" s="186"/>
      <c r="BE145" s="186"/>
      <c r="BF145" s="186"/>
      <c r="BG145" s="186"/>
      <c r="BH145" s="186"/>
      <c r="BI145" s="183">
        <f t="shared" si="66"/>
        <v>191422</v>
      </c>
      <c r="BJ145" s="183">
        <f t="shared" si="67"/>
        <v>0</v>
      </c>
      <c r="BK145" s="183">
        <f t="shared" si="68"/>
        <v>0</v>
      </c>
      <c r="BL145" s="183">
        <f t="shared" si="69"/>
        <v>0</v>
      </c>
    </row>
    <row r="146" spans="1:64" s="187" customFormat="1" hidden="1" outlineLevel="1" x14ac:dyDescent="0.3">
      <c r="A146" s="201">
        <v>36</v>
      </c>
      <c r="B146" s="350" t="s">
        <v>3418</v>
      </c>
      <c r="C146" s="201" t="s">
        <v>82</v>
      </c>
      <c r="D146" s="350" t="s">
        <v>3978</v>
      </c>
      <c r="E146" s="351" t="s">
        <v>3418</v>
      </c>
      <c r="F146" s="350" t="s">
        <v>2791</v>
      </c>
      <c r="G146" s="350">
        <v>322</v>
      </c>
      <c r="H146" s="185" t="str">
        <f>IFERROR(VLOOKUP(G146,'2022. tervsor'!C:D,2,0)," ")</f>
        <v>Működési költségvetés támogatása - Céltámogatás</v>
      </c>
      <c r="I146" s="181">
        <f>IFERROR(VLOOKUP($A146,'Bevétel 2a SZH 2022'!$B:$M,MATCH($I$1,'Bevétel 2a SZH 2022'!$B$1:$M$1,0),0), )</f>
        <v>34091614</v>
      </c>
      <c r="J146" s="181">
        <f t="shared" si="72"/>
        <v>34091614</v>
      </c>
      <c r="K146" s="166">
        <f t="shared" si="74"/>
        <v>0</v>
      </c>
      <c r="L146" s="166">
        <f t="shared" si="73"/>
        <v>34091614</v>
      </c>
      <c r="M146" s="716">
        <v>14</v>
      </c>
      <c r="N146" s="166">
        <f>IFERROR(VLOOKUP($M146,'1 b felosztások'!$A:$U,'1 b felosztások'!C$2,0)*$I146,0)</f>
        <v>10628832.299429435</v>
      </c>
      <c r="O146" s="166">
        <f>IFERROR(VLOOKUP($M146,'1 b felosztások'!$A:$U,'1 b felosztások'!D$2,0)*$I146,0)</f>
        <v>0</v>
      </c>
      <c r="P146" s="166">
        <f>IFERROR(VLOOKUP($M146,'1 b felosztások'!$A:$U,'1 b felosztások'!E$2,0)*$I146,0)</f>
        <v>0</v>
      </c>
      <c r="Q146" s="166">
        <f>IFERROR(VLOOKUP($M146,'1 b felosztások'!$A:$U,'1 b felosztások'!F$2,0)*$I146,0)</f>
        <v>0</v>
      </c>
      <c r="R146" s="166">
        <f>IFERROR(VLOOKUP($M146,'1 b felosztások'!$A:$U,'1 b felosztások'!G$2,0)*$I146,0)</f>
        <v>0</v>
      </c>
      <c r="S146" s="166">
        <f>IFERROR(VLOOKUP($M146,'1 b felosztások'!$A:$U,'1 b felosztások'!H$2,0)*$I146,0)</f>
        <v>0</v>
      </c>
      <c r="T146" s="166">
        <f>IFERROR(VLOOKUP($M146,'1 b felosztások'!$A:$U,'1 b felosztások'!I$2,0)*$I146,0)</f>
        <v>3807759.1805383177</v>
      </c>
      <c r="U146" s="166">
        <f>IFERROR(VLOOKUP($M146,'1 b felosztások'!$A:$U,'1 b felosztások'!J$2,0)*$I146,0)</f>
        <v>0</v>
      </c>
      <c r="V146" s="166">
        <f>IFERROR(VLOOKUP($M146,'1 b felosztások'!$A:$U,'1 b felosztások'!K$2,0)*$I146,0)</f>
        <v>0</v>
      </c>
      <c r="W146" s="166">
        <f>IFERROR(VLOOKUP($M146,'1 b felosztások'!$A:$U,'1 b felosztások'!L$2,0)*$I146,0)</f>
        <v>5708773.1817467185</v>
      </c>
      <c r="X146" s="166">
        <f>IFERROR(VLOOKUP($M146,'1 b felosztások'!$A:$U,'1 b felosztások'!M$2,0)*$I146,0)</f>
        <v>9531176.7720782831</v>
      </c>
      <c r="Y146" s="166">
        <f>IFERROR(VLOOKUP($M146,'1 b felosztások'!$A:$U,'1 b felosztások'!N$2,0)*$I146,0)</f>
        <v>4415072.5662072431</v>
      </c>
      <c r="Z146" s="166">
        <f>IFERROR(VLOOKUP($M146,'1 b felosztások'!$A:$U,'1 b felosztások'!O$2,0)*$I146,0)</f>
        <v>0</v>
      </c>
      <c r="AA146" s="166">
        <f>IFERROR(VLOOKUP($M146,'1 b felosztások'!$A:$U,'1 b felosztások'!P$2,0)*$I146,0)</f>
        <v>0</v>
      </c>
      <c r="AB146" s="166">
        <f>IFERROR(VLOOKUP($M146,'1 b felosztások'!$A:$U,'1 b felosztások'!Q$2,0)*$I146,0)</f>
        <v>0</v>
      </c>
      <c r="AC146" s="166"/>
      <c r="AD146" s="166"/>
      <c r="AE146" s="166"/>
      <c r="AF146" s="166"/>
      <c r="AG146" s="166"/>
      <c r="AH146" s="166"/>
      <c r="AI146" s="166"/>
      <c r="AJ146" s="166"/>
      <c r="AK146" s="166"/>
      <c r="AL146" s="166"/>
      <c r="AM146" s="166"/>
      <c r="AN146" s="166"/>
      <c r="AO146" s="166"/>
      <c r="AP146" s="166"/>
      <c r="AQ146" s="166"/>
      <c r="AR146" s="166"/>
      <c r="AS146" s="166"/>
      <c r="AT146" s="166"/>
      <c r="AU146" s="166"/>
      <c r="AV146" s="166"/>
      <c r="AW146" s="166"/>
      <c r="AX146" s="166"/>
      <c r="AY146" s="166"/>
      <c r="AZ146" s="186"/>
      <c r="BA146" s="186"/>
      <c r="BB146" s="186"/>
      <c r="BC146" s="186"/>
      <c r="BD146" s="186"/>
      <c r="BE146" s="186"/>
      <c r="BF146" s="186"/>
      <c r="BG146" s="186"/>
      <c r="BH146" s="186"/>
      <c r="BI146" s="183">
        <f t="shared" si="66"/>
        <v>34091614</v>
      </c>
      <c r="BJ146" s="183">
        <f t="shared" si="67"/>
        <v>0</v>
      </c>
      <c r="BK146" s="183">
        <f t="shared" si="68"/>
        <v>0</v>
      </c>
      <c r="BL146" s="183">
        <f t="shared" si="69"/>
        <v>0</v>
      </c>
    </row>
    <row r="147" spans="1:64" s="187" customFormat="1" hidden="1" outlineLevel="1" x14ac:dyDescent="0.3">
      <c r="A147" s="180" t="s">
        <v>3419</v>
      </c>
      <c r="B147" s="350" t="s">
        <v>3420</v>
      </c>
      <c r="C147" s="350" t="s">
        <v>82</v>
      </c>
      <c r="D147" s="350"/>
      <c r="E147" s="350" t="s">
        <v>3420</v>
      </c>
      <c r="F147" s="350" t="s">
        <v>2791</v>
      </c>
      <c r="G147" s="350"/>
      <c r="H147" s="350" t="s">
        <v>2707</v>
      </c>
      <c r="I147" s="181">
        <f>IFERROR(VLOOKUP($A147,'Bevétel 2a SZH 2022'!$B:$M,MATCH($I$1,'Bevétel 2a SZH 2022'!$B$1:$M$1,0),0), )</f>
        <v>73628928.370859295</v>
      </c>
      <c r="J147" s="181">
        <f t="shared" si="72"/>
        <v>73628928.691871852</v>
      </c>
      <c r="K147" s="166">
        <f t="shared" si="74"/>
        <v>-0.32101255655288696</v>
      </c>
      <c r="L147" s="166">
        <f t="shared" si="73"/>
        <v>73628928.691871852</v>
      </c>
      <c r="M147" s="190"/>
      <c r="N147" s="166">
        <f>SUM(N150:N153)</f>
        <v>20444523.778242677</v>
      </c>
      <c r="O147" s="166">
        <f>SUM(O150:O153)</f>
        <v>2395802.2836783291</v>
      </c>
      <c r="P147" s="166">
        <f t="shared" ref="P147:Y147" si="75">SUM(P150:P153)</f>
        <v>352917.02510460251</v>
      </c>
      <c r="Q147" s="166">
        <f t="shared" si="75"/>
        <v>4108993.557220689</v>
      </c>
      <c r="R147" s="166">
        <f t="shared" si="75"/>
        <v>1164793.1587495017</v>
      </c>
      <c r="S147" s="166">
        <f t="shared" si="75"/>
        <v>6324765.5606302693</v>
      </c>
      <c r="T147" s="166">
        <f t="shared" si="75"/>
        <v>3916014.0962175154</v>
      </c>
      <c r="U147" s="166">
        <f t="shared" si="75"/>
        <v>4806499.3774371911</v>
      </c>
      <c r="V147" s="166">
        <f t="shared" si="75"/>
        <v>6284498.1819691816</v>
      </c>
      <c r="W147" s="166">
        <f t="shared" si="75"/>
        <v>3883786.6192468619</v>
      </c>
      <c r="X147" s="166">
        <f t="shared" si="75"/>
        <v>587299.03898476949</v>
      </c>
      <c r="Y147" s="166">
        <f t="shared" si="75"/>
        <v>17700555.271966524</v>
      </c>
      <c r="Z147" s="166">
        <f>SUM(Z150:Z153)</f>
        <v>1563533.8024861338</v>
      </c>
      <c r="AA147" s="166">
        <f>SUM(AA150:AA153)</f>
        <v>94947.040702611266</v>
      </c>
      <c r="AB147" s="166">
        <f>SUM(AB150:AB153)</f>
        <v>-0.10076500847935677</v>
      </c>
      <c r="AC147" s="166"/>
      <c r="AD147" s="166"/>
      <c r="AE147" s="166"/>
      <c r="AF147" s="166"/>
      <c r="AG147" s="166"/>
      <c r="AH147" s="166"/>
      <c r="AI147" s="166"/>
      <c r="AJ147" s="166"/>
      <c r="AK147" s="166"/>
      <c r="AL147" s="166"/>
      <c r="AM147" s="166"/>
      <c r="AN147" s="166"/>
      <c r="AO147" s="166"/>
      <c r="AP147" s="166"/>
      <c r="AQ147" s="166"/>
      <c r="AR147" s="166"/>
      <c r="AS147" s="166"/>
      <c r="AT147" s="166"/>
      <c r="AU147" s="166"/>
      <c r="AV147" s="166"/>
      <c r="AW147" s="166"/>
      <c r="AX147" s="166"/>
      <c r="AY147" s="166"/>
      <c r="AZ147" s="186"/>
      <c r="BA147" s="186"/>
      <c r="BB147" s="186"/>
      <c r="BC147" s="186"/>
      <c r="BD147" s="186"/>
      <c r="BE147" s="186"/>
      <c r="BF147" s="186"/>
      <c r="BG147" s="186"/>
      <c r="BH147" s="186"/>
      <c r="BI147" s="183">
        <f t="shared" si="66"/>
        <v>73628928.792636856</v>
      </c>
      <c r="BJ147" s="183">
        <f t="shared" si="67"/>
        <v>-0.10076500847935677</v>
      </c>
      <c r="BK147" s="183">
        <f t="shared" si="68"/>
        <v>0</v>
      </c>
      <c r="BL147" s="183">
        <f t="shared" si="69"/>
        <v>0</v>
      </c>
    </row>
    <row r="148" spans="1:64" s="187" customFormat="1" hidden="1" outlineLevel="1" x14ac:dyDescent="0.3">
      <c r="A148" s="180"/>
      <c r="B148" s="350" t="s">
        <v>2967</v>
      </c>
      <c r="C148" s="350" t="s">
        <v>82</v>
      </c>
      <c r="D148" s="350" t="s">
        <v>3981</v>
      </c>
      <c r="E148" s="350" t="s">
        <v>734</v>
      </c>
      <c r="F148" s="350" t="s">
        <v>2792</v>
      </c>
      <c r="G148" s="350">
        <v>320</v>
      </c>
      <c r="H148" s="185" t="str">
        <f>IFERROR(VLOOKUP(G148,'2022. tervsor'!C:D,2,0)," ")</f>
        <v>Működési költségvetés támogatása - Képzés</v>
      </c>
      <c r="I148" s="181">
        <f>VLOOKUP($I$1,'3.a'!B:V,3,0)*'3.a'!$I$2</f>
        <v>112698392.09795535</v>
      </c>
      <c r="J148" s="181">
        <f t="shared" si="72"/>
        <v>112698392.09795535</v>
      </c>
      <c r="K148" s="166">
        <f t="shared" ref="K148:K153" si="76">+I148-J148</f>
        <v>0</v>
      </c>
      <c r="L148" s="166">
        <f t="shared" si="73"/>
        <v>112698392.09795535</v>
      </c>
      <c r="M148" s="190"/>
      <c r="N148" s="166"/>
      <c r="O148" s="166"/>
      <c r="P148" s="166"/>
      <c r="Q148" s="166"/>
      <c r="R148" s="166"/>
      <c r="S148" s="166"/>
      <c r="T148" s="166"/>
      <c r="U148" s="166"/>
      <c r="V148" s="166"/>
      <c r="W148" s="166"/>
      <c r="X148" s="166"/>
      <c r="Y148" s="166"/>
      <c r="Z148" s="166"/>
      <c r="AA148" s="166"/>
      <c r="AB148" s="166"/>
      <c r="AC148" s="166"/>
      <c r="AD148" s="166"/>
      <c r="AE148" s="166"/>
      <c r="AF148" s="166"/>
      <c r="AG148" s="166"/>
      <c r="AH148" s="166"/>
      <c r="AI148" s="166"/>
      <c r="AJ148" s="166"/>
      <c r="AK148" s="166"/>
      <c r="AL148" s="166">
        <f>+I148</f>
        <v>112698392.09795535</v>
      </c>
      <c r="AM148" s="166"/>
      <c r="AN148" s="166"/>
      <c r="AO148" s="166"/>
      <c r="AP148" s="166"/>
      <c r="AQ148" s="166"/>
      <c r="AR148" s="166"/>
      <c r="AS148" s="166"/>
      <c r="AT148" s="166"/>
      <c r="AU148" s="166"/>
      <c r="AV148" s="166"/>
      <c r="AW148" s="166"/>
      <c r="AX148" s="166"/>
      <c r="AY148" s="166"/>
      <c r="AZ148" s="186"/>
      <c r="BA148" s="186"/>
      <c r="BB148" s="186"/>
      <c r="BC148" s="186"/>
      <c r="BD148" s="186"/>
      <c r="BE148" s="186"/>
      <c r="BF148" s="186"/>
      <c r="BG148" s="186"/>
      <c r="BH148" s="186"/>
      <c r="BI148" s="183">
        <f t="shared" si="66"/>
        <v>0</v>
      </c>
      <c r="BJ148" s="183">
        <f t="shared" si="67"/>
        <v>0</v>
      </c>
      <c r="BK148" s="183">
        <f t="shared" si="68"/>
        <v>112698392.09795535</v>
      </c>
      <c r="BL148" s="183">
        <f t="shared" si="69"/>
        <v>0</v>
      </c>
    </row>
    <row r="149" spans="1:64" s="187" customFormat="1" hidden="1" outlineLevel="1" x14ac:dyDescent="0.3">
      <c r="A149" s="180"/>
      <c r="B149" s="350" t="s">
        <v>782</v>
      </c>
      <c r="C149" s="350" t="s">
        <v>82</v>
      </c>
      <c r="D149" s="350" t="s">
        <v>3981</v>
      </c>
      <c r="E149" s="350" t="s">
        <v>782</v>
      </c>
      <c r="F149" s="350" t="s">
        <v>2792</v>
      </c>
      <c r="G149" s="350">
        <v>343</v>
      </c>
      <c r="H149" s="185" t="str">
        <f>IFERROR(VLOOKUP(G149,'2022. tervsor'!C:D,2,0)," ")</f>
        <v>T Átoktatásra támogatás ÁTADÁS</v>
      </c>
      <c r="I149" s="181">
        <f>-VLOOKUP($I$1,'3.a'!B:V,4,0)*'3.a'!$I$2</f>
        <v>-41285195.532014921</v>
      </c>
      <c r="J149" s="181">
        <f t="shared" si="72"/>
        <v>-41285195.532014921</v>
      </c>
      <c r="K149" s="166">
        <f t="shared" si="76"/>
        <v>0</v>
      </c>
      <c r="L149" s="166">
        <f t="shared" si="73"/>
        <v>0</v>
      </c>
      <c r="M149" s="190"/>
      <c r="N149" s="166"/>
      <c r="O149" s="166"/>
      <c r="P149" s="166"/>
      <c r="Q149" s="166"/>
      <c r="R149" s="166"/>
      <c r="S149" s="166"/>
      <c r="T149" s="166"/>
      <c r="U149" s="166"/>
      <c r="V149" s="166"/>
      <c r="W149" s="166"/>
      <c r="X149" s="166"/>
      <c r="Y149" s="166"/>
      <c r="Z149" s="166"/>
      <c r="AA149" s="166"/>
      <c r="AB149" s="166"/>
      <c r="AC149" s="166"/>
      <c r="AD149" s="166"/>
      <c r="AE149" s="166"/>
      <c r="AF149" s="166"/>
      <c r="AG149" s="166"/>
      <c r="AH149" s="166"/>
      <c r="AI149" s="166"/>
      <c r="AJ149" s="166"/>
      <c r="AK149" s="166"/>
      <c r="AL149" s="166">
        <f>I149</f>
        <v>-41285195.532014921</v>
      </c>
      <c r="AM149" s="166"/>
      <c r="AN149" s="166"/>
      <c r="AO149" s="166"/>
      <c r="AP149" s="166"/>
      <c r="AQ149" s="166"/>
      <c r="AR149" s="166"/>
      <c r="AS149" s="166"/>
      <c r="AT149" s="166"/>
      <c r="AU149" s="166"/>
      <c r="AV149" s="166"/>
      <c r="AW149" s="166"/>
      <c r="AX149" s="166"/>
      <c r="AY149" s="166"/>
      <c r="AZ149" s="186"/>
      <c r="BA149" s="186">
        <f>-I149</f>
        <v>41285195.532014921</v>
      </c>
      <c r="BB149" s="186"/>
      <c r="BC149" s="186"/>
      <c r="BD149" s="186"/>
      <c r="BE149" s="186"/>
      <c r="BF149" s="186"/>
      <c r="BG149" s="186"/>
      <c r="BH149" s="186"/>
      <c r="BI149" s="183">
        <f t="shared" si="66"/>
        <v>0</v>
      </c>
      <c r="BJ149" s="183">
        <f t="shared" si="67"/>
        <v>0</v>
      </c>
      <c r="BK149" s="183">
        <f t="shared" si="68"/>
        <v>-41285195.532014921</v>
      </c>
      <c r="BL149" s="183">
        <f t="shared" si="69"/>
        <v>41285195.532014921</v>
      </c>
    </row>
    <row r="150" spans="1:64" s="725" customFormat="1" hidden="1" outlineLevel="1" x14ac:dyDescent="0.3">
      <c r="A150" s="201"/>
      <c r="B150" s="351" t="s">
        <v>2961</v>
      </c>
      <c r="C150" s="351" t="s">
        <v>82</v>
      </c>
      <c r="D150" s="351"/>
      <c r="E150" s="351" t="s">
        <v>2662</v>
      </c>
      <c r="F150" s="351" t="s">
        <v>82</v>
      </c>
      <c r="G150" s="351">
        <v>333</v>
      </c>
      <c r="H150" s="204" t="str">
        <f>IFERROR(VLOOKUP(G150,'2022. tervsor'!C:D,2,0)," ")</f>
        <v>T Képzési finanszírozás átadás</v>
      </c>
      <c r="I150" s="722">
        <f>+I148+I149</f>
        <v>71413196.565940425</v>
      </c>
      <c r="J150" s="722">
        <f t="shared" si="72"/>
        <v>0.3332945704460144</v>
      </c>
      <c r="K150" s="270">
        <f t="shared" si="76"/>
        <v>71413196.232645854</v>
      </c>
      <c r="L150" s="270">
        <f t="shared" si="73"/>
        <v>0.3332945704460144</v>
      </c>
      <c r="M150" s="723" t="s">
        <v>1429</v>
      </c>
      <c r="N150" s="270">
        <v>14663085</v>
      </c>
      <c r="O150" s="270">
        <v>1445233</v>
      </c>
      <c r="P150" s="270">
        <v>166419</v>
      </c>
      <c r="Q150" s="270">
        <v>2017895</v>
      </c>
      <c r="R150" s="270">
        <v>538605</v>
      </c>
      <c r="S150" s="270">
        <v>4442817</v>
      </c>
      <c r="T150" s="270">
        <v>2057083</v>
      </c>
      <c r="U150" s="270">
        <v>2054309</v>
      </c>
      <c r="V150" s="270">
        <v>5358352</v>
      </c>
      <c r="W150" s="270">
        <v>2997921</v>
      </c>
      <c r="X150" s="270">
        <v>369796</v>
      </c>
      <c r="Y150" s="270">
        <v>11965741</v>
      </c>
      <c r="Z150" s="270">
        <v>1049427</v>
      </c>
      <c r="AA150" s="270">
        <f>IFERROR(VLOOKUP(AA$1,'22.b2'!$D:$H,3,0),0)*'3.a'!$I$2</f>
        <v>0</v>
      </c>
      <c r="AB150" s="270">
        <f>VLOOKUP($I$1,'22.b2'!$C:$H,4,0)*'3.a'!$I$2</f>
        <v>22286513.899234992</v>
      </c>
      <c r="AC150" s="270"/>
      <c r="AD150" s="270"/>
      <c r="AE150" s="270"/>
      <c r="AF150" s="270"/>
      <c r="AG150" s="270"/>
      <c r="AH150" s="270"/>
      <c r="AI150" s="270"/>
      <c r="AJ150" s="270"/>
      <c r="AK150" s="270"/>
      <c r="AL150" s="270">
        <f>-I150</f>
        <v>-71413196.565940425</v>
      </c>
      <c r="AM150" s="270"/>
      <c r="AN150" s="270"/>
      <c r="AO150" s="270"/>
      <c r="AP150" s="270"/>
      <c r="AQ150" s="270"/>
      <c r="AR150" s="270"/>
      <c r="AS150" s="270"/>
      <c r="AT150" s="270"/>
      <c r="AU150" s="270"/>
      <c r="AV150" s="270"/>
      <c r="AW150" s="270"/>
      <c r="AX150" s="270"/>
      <c r="AY150" s="270"/>
      <c r="AZ150" s="195"/>
      <c r="BA150" s="195"/>
      <c r="BB150" s="195"/>
      <c r="BC150" s="195"/>
      <c r="BD150" s="195"/>
      <c r="BE150" s="195"/>
      <c r="BF150" s="195"/>
      <c r="BG150" s="195"/>
      <c r="BH150" s="195"/>
      <c r="BI150" s="724">
        <f t="shared" si="66"/>
        <v>49126683</v>
      </c>
      <c r="BJ150" s="724">
        <f t="shared" si="67"/>
        <v>22286513.899234992</v>
      </c>
      <c r="BK150" s="724">
        <f t="shared" si="68"/>
        <v>-71413196.565940425</v>
      </c>
      <c r="BL150" s="724">
        <f t="shared" si="69"/>
        <v>0</v>
      </c>
    </row>
    <row r="151" spans="1:64" s="187" customFormat="1" hidden="1" outlineLevel="1" x14ac:dyDescent="0.3">
      <c r="A151" s="180"/>
      <c r="B151" s="350" t="s">
        <v>2961</v>
      </c>
      <c r="C151" s="350" t="s">
        <v>82</v>
      </c>
      <c r="D151" s="350"/>
      <c r="E151" s="350" t="s">
        <v>1431</v>
      </c>
      <c r="F151" s="350" t="s">
        <v>82</v>
      </c>
      <c r="G151" s="350">
        <v>333</v>
      </c>
      <c r="H151" s="185" t="str">
        <f>IFERROR(VLOOKUP(G151,'2022. tervsor'!C:D,2,0)," ")</f>
        <v>T Képzési finanszírozás átadás</v>
      </c>
      <c r="I151" s="181">
        <v>0</v>
      </c>
      <c r="J151" s="181">
        <f t="shared" si="72"/>
        <v>0</v>
      </c>
      <c r="K151" s="166">
        <f t="shared" si="76"/>
        <v>0</v>
      </c>
      <c r="L151" s="166">
        <f t="shared" si="73"/>
        <v>0</v>
      </c>
      <c r="M151" s="716">
        <v>3</v>
      </c>
      <c r="N151" s="166">
        <f>IFERROR(VLOOKUP($M151,'1 b felosztások'!$A:$U,'1 b felosztások'!C$2,0)*-$AB151,0)</f>
        <v>5781438.7782426784</v>
      </c>
      <c r="O151" s="166">
        <f>IFERROR(VLOOKUP($M151,'1 b felosztások'!$A:$U,'1 b felosztások'!D$2,0)*-$AB151,0)</f>
        <v>885865.6192468619</v>
      </c>
      <c r="P151" s="166">
        <f>IFERROR(VLOOKUP($M151,'1 b felosztások'!$A:$U,'1 b felosztások'!E$2,0)*-$AB151,0)</f>
        <v>186498.02510460251</v>
      </c>
      <c r="Q151" s="166">
        <f>IFERROR(VLOOKUP($M151,'1 b felosztások'!$A:$U,'1 b felosztások'!F$2,0)*-$AB151,0)</f>
        <v>1771731.2384937238</v>
      </c>
      <c r="R151" s="166">
        <f>IFERROR(VLOOKUP($M151,'1 b felosztások'!$A:$U,'1 b felosztások'!G$2,0)*-$AB151,0)</f>
        <v>372996.05020920502</v>
      </c>
      <c r="S151" s="166">
        <f>IFERROR(VLOOKUP($M151,'1 b felosztások'!$A:$U,'1 b felosztások'!H$2,0)*-$AB151,0)</f>
        <v>1841667.9979079496</v>
      </c>
      <c r="T151" s="166">
        <f>IFERROR(VLOOKUP($M151,'1 b felosztások'!$A:$U,'1 b felosztások'!I$2,0)*-$AB151,0)</f>
        <v>1841667.9979079496</v>
      </c>
      <c r="U151" s="166">
        <f>IFERROR(VLOOKUP($M151,'1 b felosztások'!$A:$U,'1 b felosztások'!J$2,0)*-$AB151,0)</f>
        <v>1491984.2008368201</v>
      </c>
      <c r="V151" s="166">
        <f>IFERROR(VLOOKUP($M151,'1 b felosztások'!$A:$U,'1 b felosztások'!K$2,0)*-$AB151,0)</f>
        <v>885865.6192468619</v>
      </c>
      <c r="W151" s="166">
        <f>IFERROR(VLOOKUP($M151,'1 b felosztások'!$A:$U,'1 b felosztások'!L$2,0)*-$AB151,0)</f>
        <v>885865.6192468619</v>
      </c>
      <c r="X151" s="166">
        <f>IFERROR(VLOOKUP($M151,'1 b felosztások'!$A:$U,'1 b felosztások'!M$2,0)*-$AB151,0)</f>
        <v>139873.51882845187</v>
      </c>
      <c r="Y151" s="166">
        <f>IFERROR(VLOOKUP($M151,'1 b felosztások'!$A:$U,'1 b felosztások'!N$2,0)*-$AB151,0)</f>
        <v>5734814.2719665263</v>
      </c>
      <c r="Z151" s="166">
        <f>IFERROR(VLOOKUP($M151,'1 b felosztások'!$A:$U,'1 b felosztások'!O$2,0)*-$AB151,0)</f>
        <v>466245.06276150624</v>
      </c>
      <c r="AA151" s="166">
        <f>IFERROR(VLOOKUP($M151,'1 b felosztások'!$A:$U,'1 b felosztások'!P$2,0)*-$AB151,0)</f>
        <v>0</v>
      </c>
      <c r="AB151" s="166">
        <v>-22286514</v>
      </c>
      <c r="AC151" s="166"/>
      <c r="AD151" s="166"/>
      <c r="AE151" s="166"/>
      <c r="AF151" s="166"/>
      <c r="AG151" s="166"/>
      <c r="AH151" s="166"/>
      <c r="AI151" s="166"/>
      <c r="AJ151" s="166"/>
      <c r="AK151" s="166"/>
      <c r="AL151" s="166"/>
      <c r="AM151" s="166"/>
      <c r="AN151" s="166"/>
      <c r="AO151" s="166"/>
      <c r="AP151" s="166"/>
      <c r="AQ151" s="166"/>
      <c r="AR151" s="166"/>
      <c r="AS151" s="166"/>
      <c r="AT151" s="166"/>
      <c r="AU151" s="166"/>
      <c r="AV151" s="166"/>
      <c r="AW151" s="166"/>
      <c r="AX151" s="166"/>
      <c r="AY151" s="166"/>
      <c r="AZ151" s="186"/>
      <c r="BA151" s="186"/>
      <c r="BB151" s="186"/>
      <c r="BC151" s="186"/>
      <c r="BD151" s="186"/>
      <c r="BE151" s="186"/>
      <c r="BF151" s="186"/>
      <c r="BG151" s="186"/>
      <c r="BH151" s="186"/>
      <c r="BI151" s="183">
        <f t="shared" si="66"/>
        <v>22286514</v>
      </c>
      <c r="BJ151" s="183">
        <f t="shared" si="67"/>
        <v>-22286514</v>
      </c>
      <c r="BK151" s="183">
        <f t="shared" si="68"/>
        <v>0</v>
      </c>
      <c r="BL151" s="183">
        <f t="shared" si="69"/>
        <v>0</v>
      </c>
    </row>
    <row r="152" spans="1:64" s="725" customFormat="1" hidden="1" outlineLevel="1" x14ac:dyDescent="0.3">
      <c r="A152" s="201"/>
      <c r="B152" s="351" t="s">
        <v>2660</v>
      </c>
      <c r="C152" s="351" t="s">
        <v>82</v>
      </c>
      <c r="D152" s="351" t="s">
        <v>3979</v>
      </c>
      <c r="E152" s="351" t="s">
        <v>2660</v>
      </c>
      <c r="F152" s="351" t="s">
        <v>82</v>
      </c>
      <c r="G152" s="351">
        <v>349</v>
      </c>
      <c r="H152" s="204" t="str">
        <f>IFERROR(VLOOKUP(G152,'2022. tervsor'!C:D,2,0)," ")</f>
        <v>T Átoktatásra támogatás ÁTVÉTEL</v>
      </c>
      <c r="I152" s="722">
        <f>VLOOKUP($I$1,'3.a'!B:V,5,0)*'3.a'!$I$2</f>
        <v>2215731.7926368634</v>
      </c>
      <c r="J152" s="722">
        <f t="shared" si="72"/>
        <v>2215731.7926368616</v>
      </c>
      <c r="K152" s="270">
        <f t="shared" si="76"/>
        <v>0</v>
      </c>
      <c r="L152" s="270">
        <f t="shared" si="73"/>
        <v>0</v>
      </c>
      <c r="M152" s="723" t="s">
        <v>1430</v>
      </c>
      <c r="N152" s="270">
        <f>IFERROR(VLOOKUP(N$1,'22.b3'!$D:$H,3,0),0)*'3.a'!$I$2</f>
        <v>0</v>
      </c>
      <c r="O152" s="270">
        <f>IFERROR(VLOOKUP(O$1,'22.b3'!$D:$H,3,0),0)*'3.a'!$I$2</f>
        <v>0</v>
      </c>
      <c r="P152" s="270">
        <f>IFERROR(VLOOKUP(P$1,'22.b3'!$D:$H,3,0),0)*'3.a'!$I$2</f>
        <v>0</v>
      </c>
      <c r="Q152" s="270">
        <f>IFERROR(VLOOKUP(Q$1,'22.b3'!$D:$H,3,0),0)*'3.a'!$I$2</f>
        <v>319367.31872696511</v>
      </c>
      <c r="R152" s="270">
        <f>IFERROR(VLOOKUP(R$1,'22.b3'!$D:$H,3,0),0)*'3.a'!$I$2</f>
        <v>253192.1085402967</v>
      </c>
      <c r="S152" s="270">
        <f>IFERROR(VLOOKUP(S$1,'22.b3'!$D:$H,3,0),0)*'3.a'!$I$2</f>
        <v>40280.562722319926</v>
      </c>
      <c r="T152" s="270">
        <f>IFERROR(VLOOKUP(T$1,'22.b3'!$D:$H,3,0),0)*'3.a'!$I$2</f>
        <v>17263.098309565681</v>
      </c>
      <c r="U152" s="270">
        <f>IFERROR(VLOOKUP(U$1,'22.b3'!$D:$H,3,0),0)*'3.a'!$I$2</f>
        <v>1260206.176600371</v>
      </c>
      <c r="V152" s="270">
        <f>IFERROR(VLOOKUP(V$1,'22.b3'!$D:$H,3,0),0)*'3.a'!$I$2</f>
        <v>40280.562722319926</v>
      </c>
      <c r="W152" s="270">
        <f>IFERROR(VLOOKUP(W$1,'22.b3'!$D:$H,3,0),0)*'3.a'!$I$2</f>
        <v>0</v>
      </c>
      <c r="X152" s="270">
        <f>IFERROR(VLOOKUP(X$1,'22.b3'!$D:$H,3,0),0)*'3.a'!$I$2</f>
        <v>11721.720795979514</v>
      </c>
      <c r="Y152" s="270">
        <f>IFERROR(VLOOKUP(Y$1,'22.b3'!$D:$H,3,0),0)*'3.a'!$I$2</f>
        <v>0</v>
      </c>
      <c r="Z152" s="270">
        <f>IFERROR(VLOOKUP(Z$1,'22.b3'!$D:$H,3,0),0)*'3.a'!$I$2</f>
        <v>47861.739724627398</v>
      </c>
      <c r="AA152" s="270">
        <f>IFERROR(VLOOKUP(AA$1,'22.b3'!$D:$H,3,0),0)*'3.a'!$I$2</f>
        <v>94947.040702611266</v>
      </c>
      <c r="AB152" s="270">
        <f>IFERROR(VLOOKUP($I$1,'22.b3'!$C:$H,4,0),0)*'3.a'!$I$2</f>
        <v>130611.46379180512</v>
      </c>
      <c r="AC152" s="270"/>
      <c r="AD152" s="270"/>
      <c r="AE152" s="270"/>
      <c r="AF152" s="270"/>
      <c r="AG152" s="270"/>
      <c r="AH152" s="270"/>
      <c r="AI152" s="270"/>
      <c r="AJ152" s="270"/>
      <c r="AK152" s="270"/>
      <c r="AL152" s="270"/>
      <c r="AM152" s="270"/>
      <c r="AN152" s="270"/>
      <c r="AO152" s="270"/>
      <c r="AP152" s="270"/>
      <c r="AQ152" s="270"/>
      <c r="AR152" s="270"/>
      <c r="AS152" s="270"/>
      <c r="AT152" s="270"/>
      <c r="AU152" s="270"/>
      <c r="AV152" s="270"/>
      <c r="AW152" s="270"/>
      <c r="AX152" s="270"/>
      <c r="AY152" s="270"/>
      <c r="AZ152" s="195"/>
      <c r="BA152" s="195">
        <f>-I152</f>
        <v>-2215731.7926368634</v>
      </c>
      <c r="BB152" s="195"/>
      <c r="BC152" s="195"/>
      <c r="BD152" s="195"/>
      <c r="BE152" s="195"/>
      <c r="BF152" s="195"/>
      <c r="BG152" s="195"/>
      <c r="BH152" s="195"/>
      <c r="BI152" s="724">
        <f t="shared" si="66"/>
        <v>2085120.3288450565</v>
      </c>
      <c r="BJ152" s="724">
        <f t="shared" si="67"/>
        <v>130611.46379180512</v>
      </c>
      <c r="BK152" s="724">
        <f t="shared" si="68"/>
        <v>0</v>
      </c>
      <c r="BL152" s="724">
        <f t="shared" si="69"/>
        <v>-2215731.7926368634</v>
      </c>
    </row>
    <row r="153" spans="1:64" s="187" customFormat="1" hidden="1" outlineLevel="1" x14ac:dyDescent="0.3">
      <c r="A153" s="180"/>
      <c r="B153" s="350" t="s">
        <v>2660</v>
      </c>
      <c r="C153" s="350" t="s">
        <v>82</v>
      </c>
      <c r="D153" s="350" t="s">
        <v>3979</v>
      </c>
      <c r="E153" s="350" t="s">
        <v>2661</v>
      </c>
      <c r="F153" s="350" t="s">
        <v>82</v>
      </c>
      <c r="G153" s="350">
        <v>349</v>
      </c>
      <c r="H153" s="185" t="str">
        <f>IFERROR(VLOOKUP(G153,'2022. tervsor'!C:D,2,0)," ")</f>
        <v>T Átoktatásra támogatás ÁTVÉTEL</v>
      </c>
      <c r="I153" s="181">
        <v>0</v>
      </c>
      <c r="J153" s="181">
        <f t="shared" si="72"/>
        <v>0</v>
      </c>
      <c r="K153" s="166">
        <f t="shared" si="76"/>
        <v>0</v>
      </c>
      <c r="L153" s="166">
        <f t="shared" si="73"/>
        <v>0</v>
      </c>
      <c r="M153" s="716">
        <v>12</v>
      </c>
      <c r="N153" s="166">
        <f>IFERROR(VLOOKUP($M153,'1 b felosztások'!$A:$U,'1 b felosztások'!C$2,0)*-$AB153,0)</f>
        <v>0</v>
      </c>
      <c r="O153" s="166">
        <f>IFERROR(VLOOKUP($M153,'1 b felosztások'!$A:$U,'1 b felosztások'!D$2,0)*-$AB153,0)</f>
        <v>64703.664431466983</v>
      </c>
      <c r="P153" s="166">
        <f>IFERROR(VLOOKUP($M153,'1 b felosztások'!$A:$U,'1 b felosztások'!E$2,0)*-$AB153,0)</f>
        <v>0</v>
      </c>
      <c r="Q153" s="166">
        <f>IFERROR(VLOOKUP($M153,'1 b felosztások'!$A:$U,'1 b felosztások'!F$2,0)*-$AB153,0)</f>
        <v>0</v>
      </c>
      <c r="R153" s="166">
        <f>IFERROR(VLOOKUP($M153,'1 b felosztások'!$A:$U,'1 b felosztások'!G$2,0)*-$AB153,0)</f>
        <v>0</v>
      </c>
      <c r="S153" s="166">
        <f>IFERROR(VLOOKUP($M153,'1 b felosztások'!$A:$U,'1 b felosztások'!H$2,0)*-$AB153,0)</f>
        <v>0</v>
      </c>
      <c r="T153" s="166">
        <f>IFERROR(VLOOKUP($M153,'1 b felosztások'!$A:$U,'1 b felosztások'!I$2,0)*-$AB153,0)</f>
        <v>0</v>
      </c>
      <c r="U153" s="166">
        <f>IFERROR(VLOOKUP($M153,'1 b felosztások'!$A:$U,'1 b felosztások'!J$2,0)*-$AB153,0)</f>
        <v>0</v>
      </c>
      <c r="V153" s="166">
        <f>IFERROR(VLOOKUP($M153,'1 b felosztások'!$A:$U,'1 b felosztások'!K$2,0)*-$AB153,0)</f>
        <v>0</v>
      </c>
      <c r="W153" s="166">
        <f>IFERROR(VLOOKUP($M153,'1 b felosztások'!$A:$U,'1 b felosztások'!L$2,0)*-$AB153,0)</f>
        <v>0</v>
      </c>
      <c r="X153" s="166">
        <f>IFERROR(VLOOKUP($M153,'1 b felosztások'!$A:$U,'1 b felosztások'!M$2,0)*-$AB153,0)</f>
        <v>65907.799360338133</v>
      </c>
      <c r="Y153" s="166">
        <f>IFERROR(VLOOKUP($M153,'1 b felosztások'!$A:$U,'1 b felosztások'!N$2,0)*-$AB153,0)</f>
        <v>0</v>
      </c>
      <c r="Z153" s="166">
        <f>IFERROR(VLOOKUP($M153,'1 b felosztások'!$A:$U,'1 b felosztások'!O$2,0)*-$AB153,0)</f>
        <v>0</v>
      </c>
      <c r="AA153" s="166">
        <f>IFERROR(VLOOKUP($M153,'1 b felosztások'!$A:$U,'1 b felosztások'!P$2,0)*-$AB153,0)</f>
        <v>0</v>
      </c>
      <c r="AB153" s="166">
        <f>-AB152</f>
        <v>-130611.46379180512</v>
      </c>
      <c r="AC153" s="166"/>
      <c r="AD153" s="166"/>
      <c r="AE153" s="166"/>
      <c r="AF153" s="166"/>
      <c r="AG153" s="166"/>
      <c r="AH153" s="166"/>
      <c r="AI153" s="166"/>
      <c r="AJ153" s="166"/>
      <c r="AK153" s="166"/>
      <c r="AL153" s="166"/>
      <c r="AM153" s="166"/>
      <c r="AN153" s="166"/>
      <c r="AO153" s="166"/>
      <c r="AP153" s="166"/>
      <c r="AQ153" s="166"/>
      <c r="AR153" s="166"/>
      <c r="AS153" s="166"/>
      <c r="AT153" s="166"/>
      <c r="AU153" s="166"/>
      <c r="AV153" s="166"/>
      <c r="AW153" s="166"/>
      <c r="AX153" s="166"/>
      <c r="AY153" s="166"/>
      <c r="AZ153" s="186"/>
      <c r="BA153" s="186"/>
      <c r="BB153" s="186"/>
      <c r="BC153" s="186"/>
      <c r="BD153" s="186"/>
      <c r="BE153" s="186"/>
      <c r="BF153" s="186"/>
      <c r="BG153" s="186"/>
      <c r="BH153" s="186"/>
      <c r="BI153" s="183">
        <f t="shared" si="66"/>
        <v>130611.46379180512</v>
      </c>
      <c r="BJ153" s="183">
        <f t="shared" si="67"/>
        <v>-130611.46379180512</v>
      </c>
      <c r="BK153" s="183">
        <f t="shared" si="68"/>
        <v>0</v>
      </c>
      <c r="BL153" s="183">
        <f t="shared" si="69"/>
        <v>0</v>
      </c>
    </row>
    <row r="154" spans="1:64" s="187" customFormat="1" hidden="1" outlineLevel="1" x14ac:dyDescent="0.3">
      <c r="A154" s="180" t="s">
        <v>3421</v>
      </c>
      <c r="B154" s="350" t="s">
        <v>3422</v>
      </c>
      <c r="C154" s="350" t="s">
        <v>82</v>
      </c>
      <c r="D154" s="350" t="s">
        <v>3980</v>
      </c>
      <c r="E154" s="350" t="s">
        <v>3422</v>
      </c>
      <c r="F154" s="350" t="s">
        <v>2791</v>
      </c>
      <c r="G154" s="350">
        <v>320</v>
      </c>
      <c r="H154" s="185" t="str">
        <f>IFERROR(VLOOKUP(G154,'2022. tervsor'!C:D,2,0)," ")</f>
        <v>Működési költségvetés támogatása - Képzés</v>
      </c>
      <c r="I154" s="181">
        <f>IFERROR(VLOOKUP($A154,'Bevétel 2a SZH 2022'!$B:$M,MATCH($I$1,'Bevétel 2a SZH 2022'!$B$1:$M$1,0),0), )</f>
        <v>0</v>
      </c>
      <c r="J154" s="181">
        <f t="shared" si="72"/>
        <v>0</v>
      </c>
      <c r="K154" s="166">
        <f t="shared" si="74"/>
        <v>0</v>
      </c>
      <c r="L154" s="166">
        <f t="shared" si="73"/>
        <v>0</v>
      </c>
      <c r="M154" s="193"/>
      <c r="N154" s="166">
        <f>IFERROR(VLOOKUP($M154,'1 b felosztások'!$A:$E,'1 b felosztások'!C$2,0)*$I154,0)</f>
        <v>0</v>
      </c>
      <c r="O154" s="166">
        <f>IFERROR(VLOOKUP($M154,'1 b felosztások'!$A:$E,'1 b felosztások'!D$2,0)*$I154,0)</f>
        <v>0</v>
      </c>
      <c r="P154" s="166">
        <f>IFERROR(VLOOKUP($M154,'1 b felosztások'!$A:$E,'1 b felosztások'!E$2,0)*$I154,0)</f>
        <v>0</v>
      </c>
      <c r="Q154" s="166">
        <f>IFERROR(VLOOKUP($M154,'1 b felosztások'!$A:$E,'1 b felosztások'!F$2,0)*$I154,0)</f>
        <v>0</v>
      </c>
      <c r="R154" s="166">
        <f>IFERROR(VLOOKUP($M154,'1 b felosztások'!$A:$E,'1 b felosztások'!G$2,0)*$I154,0)</f>
        <v>0</v>
      </c>
      <c r="S154" s="166">
        <f>IFERROR(VLOOKUP($M154,'1 b felosztások'!$A:$E,'1 b felosztások'!H$2,0)*$I154,0)</f>
        <v>0</v>
      </c>
      <c r="T154" s="166">
        <f>IFERROR(VLOOKUP($M154,'1 b felosztások'!$A:$E,'1 b felosztások'!I$2,0)*$I154,0)</f>
        <v>0</v>
      </c>
      <c r="U154" s="166">
        <f>IFERROR(VLOOKUP($M154,'1 b felosztások'!$A:$E,'1 b felosztások'!J$2,0)*$I154,0)</f>
        <v>0</v>
      </c>
      <c r="V154" s="166">
        <f>IFERROR(VLOOKUP($M154,'1 b felosztások'!$A:$E,'1 b felosztások'!K$2,0)*$I154,0)</f>
        <v>0</v>
      </c>
      <c r="W154" s="166">
        <f>IFERROR(VLOOKUP($M154,'1 b felosztások'!$A:$E,'1 b felosztások'!L$2,0)*$I154,0)</f>
        <v>0</v>
      </c>
      <c r="X154" s="166">
        <f>IFERROR(VLOOKUP($M154,'1 b felosztások'!$A:$E,'1 b felosztások'!M$2,0)*$I154,0)</f>
        <v>0</v>
      </c>
      <c r="Y154" s="166">
        <f>IFERROR(VLOOKUP($M154,'1 b felosztások'!$A:$E,'1 b felosztások'!N$2,0)*$I154,0)</f>
        <v>0</v>
      </c>
      <c r="Z154" s="166">
        <f>IFERROR(VLOOKUP($M154,'1 b felosztások'!$A:$E,'1 b felosztások'!C$2,0)*$I154,0)</f>
        <v>0</v>
      </c>
      <c r="AA154" s="166">
        <f>IFERROR(VLOOKUP($M154,'1 b felosztások'!$A:$E,'1 b felosztások'!D$2,0)*$I154,0)</f>
        <v>0</v>
      </c>
      <c r="AB154" s="166">
        <f>IFERROR(VLOOKUP($M154,'1 b felosztások'!$A:$E,'1 b felosztások'!E$2,0)*$I154,0)</f>
        <v>0</v>
      </c>
      <c r="AC154" s="166"/>
      <c r="AD154" s="166"/>
      <c r="AE154" s="166"/>
      <c r="AF154" s="166"/>
      <c r="AG154" s="166"/>
      <c r="AH154" s="166"/>
      <c r="AI154" s="166"/>
      <c r="AJ154" s="166"/>
      <c r="AK154" s="166"/>
      <c r="AL154" s="166"/>
      <c r="AM154" s="166"/>
      <c r="AN154" s="166"/>
      <c r="AO154" s="166"/>
      <c r="AP154" s="166"/>
      <c r="AQ154" s="166"/>
      <c r="AR154" s="166"/>
      <c r="AS154" s="166"/>
      <c r="AT154" s="166"/>
      <c r="AU154" s="166"/>
      <c r="AV154" s="166"/>
      <c r="AW154" s="166"/>
      <c r="AX154" s="166"/>
      <c r="AY154" s="166"/>
      <c r="AZ154" s="186"/>
      <c r="BA154" s="186"/>
      <c r="BB154" s="186"/>
      <c r="BC154" s="186"/>
      <c r="BD154" s="186"/>
      <c r="BE154" s="186"/>
      <c r="BF154" s="186"/>
      <c r="BG154" s="186"/>
      <c r="BH154" s="186"/>
      <c r="BI154" s="183">
        <f t="shared" si="66"/>
        <v>0</v>
      </c>
      <c r="BJ154" s="183">
        <f t="shared" si="67"/>
        <v>0</v>
      </c>
      <c r="BK154" s="183">
        <f t="shared" si="68"/>
        <v>0</v>
      </c>
      <c r="BL154" s="183">
        <f t="shared" si="69"/>
        <v>0</v>
      </c>
    </row>
    <row r="155" spans="1:64" s="187" customFormat="1" hidden="1" outlineLevel="1" x14ac:dyDescent="0.3">
      <c r="A155" s="180">
        <v>38</v>
      </c>
      <c r="B155" s="350" t="s">
        <v>3985</v>
      </c>
      <c r="C155" s="180" t="s">
        <v>82</v>
      </c>
      <c r="D155" s="180" t="s">
        <v>3469</v>
      </c>
      <c r="E155" s="350" t="s">
        <v>3985</v>
      </c>
      <c r="F155" s="180" t="s">
        <v>2791</v>
      </c>
      <c r="G155" s="350">
        <v>322</v>
      </c>
      <c r="H155" s="185" t="str">
        <f>IFERROR(VLOOKUP(G155,'2022. tervsor'!C:D,2,0)," ")</f>
        <v>Működési költségvetés támogatása - Céltámogatás</v>
      </c>
      <c r="I155" s="181">
        <f>IFERROR(VLOOKUP($A155,'Bevétel 2a SZH 2022'!$B:$M,MATCH($I$1,'Bevétel 2a SZH 2022'!$B$1:$M$1,0),0), )</f>
        <v>32246232</v>
      </c>
      <c r="J155" s="181">
        <f t="shared" si="72"/>
        <v>32246232</v>
      </c>
      <c r="K155" s="166">
        <f t="shared" si="74"/>
        <v>0</v>
      </c>
      <c r="L155" s="166">
        <f t="shared" si="73"/>
        <v>32246232</v>
      </c>
      <c r="M155" s="716">
        <v>1</v>
      </c>
      <c r="N155" s="166">
        <f>IFERROR(VLOOKUP($M155,'1 b felosztások'!$A:$U,'1 b felosztások'!C$2,0)*$I155,0)</f>
        <v>5264690.9387755096</v>
      </c>
      <c r="O155" s="166">
        <f>IFERROR(VLOOKUP($M155,'1 b felosztások'!$A:$U,'1 b felosztások'!D$2,0)*$I155,0)</f>
        <v>2961388.6530612246</v>
      </c>
      <c r="P155" s="166">
        <f>IFERROR(VLOOKUP($M155,'1 b felosztások'!$A:$U,'1 b felosztások'!E$2,0)*$I155,0)</f>
        <v>658086.3673469387</v>
      </c>
      <c r="Q155" s="166">
        <f>IFERROR(VLOOKUP($M155,'1 b felosztások'!$A:$U,'1 b felosztások'!F$2,0)*$I155,0)</f>
        <v>3290431.836734694</v>
      </c>
      <c r="R155" s="166">
        <f>IFERROR(VLOOKUP($M155,'1 b felosztások'!$A:$U,'1 b felosztások'!G$2,0)*$I155,0)</f>
        <v>1316172.7346938774</v>
      </c>
      <c r="S155" s="166">
        <f>IFERROR(VLOOKUP($M155,'1 b felosztások'!$A:$U,'1 b felosztások'!H$2,0)*$I155,0)</f>
        <v>1974259.1020408163</v>
      </c>
      <c r="T155" s="166">
        <f>IFERROR(VLOOKUP($M155,'1 b felosztások'!$A:$U,'1 b felosztások'!I$2,0)*$I155,0)</f>
        <v>987129.55102040817</v>
      </c>
      <c r="U155" s="166">
        <f>IFERROR(VLOOKUP($M155,'1 b felosztások'!$A:$U,'1 b felosztások'!J$2,0)*$I155,0)</f>
        <v>1974259.1020408163</v>
      </c>
      <c r="V155" s="166">
        <f>IFERROR(VLOOKUP($M155,'1 b felosztások'!$A:$U,'1 b felosztások'!K$2,0)*$I155,0)</f>
        <v>2632345.4693877548</v>
      </c>
      <c r="W155" s="166">
        <f>IFERROR(VLOOKUP($M155,'1 b felosztások'!$A:$U,'1 b felosztások'!L$2,0)*$I155,0)</f>
        <v>2632345.4693877548</v>
      </c>
      <c r="X155" s="166">
        <f>IFERROR(VLOOKUP($M155,'1 b felosztások'!$A:$U,'1 b felosztások'!M$2,0)*$I155,0)</f>
        <v>1316172.7346938774</v>
      </c>
      <c r="Y155" s="166">
        <f>IFERROR(VLOOKUP($M155,'1 b felosztások'!$A:$U,'1 b felosztások'!N$2,0)*$I155,0)</f>
        <v>2632345.4693877548</v>
      </c>
      <c r="Z155" s="166">
        <f>IFERROR(VLOOKUP($M155,'1 b felosztások'!$A:$U,'1 b felosztások'!O$2,0)*$I155,0)</f>
        <v>1645215.918367347</v>
      </c>
      <c r="AA155" s="166">
        <f>IFERROR(VLOOKUP($M155,'1 b felosztások'!$A:$U,'1 b felosztások'!P$2,0)*$I155,0)</f>
        <v>2961388.6530612246</v>
      </c>
      <c r="AB155" s="166">
        <f>IFERROR(VLOOKUP($M155,'1 b felosztások'!$A:$U,'1 b felosztások'!Q$2,0)*$I155,0)</f>
        <v>0</v>
      </c>
      <c r="AC155" s="166"/>
      <c r="AD155" s="166"/>
      <c r="AE155" s="166"/>
      <c r="AF155" s="166"/>
      <c r="AG155" s="166"/>
      <c r="AH155" s="166"/>
      <c r="AI155" s="166"/>
      <c r="AJ155" s="166"/>
      <c r="AK155" s="166"/>
      <c r="AL155" s="166"/>
      <c r="AM155" s="166"/>
      <c r="AN155" s="166"/>
      <c r="AO155" s="166"/>
      <c r="AP155" s="166"/>
      <c r="AQ155" s="166"/>
      <c r="AR155" s="166"/>
      <c r="AS155" s="166"/>
      <c r="AT155" s="166"/>
      <c r="AU155" s="166"/>
      <c r="AV155" s="166"/>
      <c r="AW155" s="166"/>
      <c r="AX155" s="166"/>
      <c r="AY155" s="166"/>
      <c r="AZ155" s="186"/>
      <c r="BA155" s="186"/>
      <c r="BB155" s="186"/>
      <c r="BC155" s="186"/>
      <c r="BD155" s="186"/>
      <c r="BE155" s="186"/>
      <c r="BF155" s="186"/>
      <c r="BG155" s="186"/>
      <c r="BH155" s="186"/>
      <c r="BI155" s="183">
        <f t="shared" si="66"/>
        <v>32246232</v>
      </c>
      <c r="BJ155" s="183">
        <f t="shared" si="67"/>
        <v>0</v>
      </c>
      <c r="BK155" s="183">
        <f t="shared" si="68"/>
        <v>0</v>
      </c>
      <c r="BL155" s="183">
        <f t="shared" si="69"/>
        <v>0</v>
      </c>
    </row>
    <row r="156" spans="1:64" s="184" customFormat="1" hidden="1" outlineLevel="1" collapsed="1" x14ac:dyDescent="0.3">
      <c r="A156" s="180">
        <v>39</v>
      </c>
      <c r="B156" s="350" t="s">
        <v>3423</v>
      </c>
      <c r="C156" s="180" t="s">
        <v>82</v>
      </c>
      <c r="D156" s="180"/>
      <c r="E156" s="350" t="s">
        <v>3423</v>
      </c>
      <c r="F156" s="180" t="s">
        <v>2791</v>
      </c>
      <c r="G156" s="180"/>
      <c r="H156" s="180" t="s">
        <v>2707</v>
      </c>
      <c r="I156" s="181">
        <f>IFERROR(VLOOKUP($A156,'Bevétel 2a SZH 2022'!$B:$M,MATCH($I$1,'Bevétel 2a SZH 2022'!$B$1:$M$1,0),0), )</f>
        <v>5239256.3252908494</v>
      </c>
      <c r="J156" s="181">
        <f t="shared" si="72"/>
        <v>5239256.3252908494</v>
      </c>
      <c r="K156" s="166">
        <f t="shared" ref="K156:K169" si="77">+I156-J156</f>
        <v>0</v>
      </c>
      <c r="L156" s="166">
        <f t="shared" si="73"/>
        <v>5239256.3252908494</v>
      </c>
      <c r="M156" s="182"/>
      <c r="N156" s="181">
        <f>SUM(N159:N167)</f>
        <v>0</v>
      </c>
      <c r="O156" s="181">
        <f>SUM(O159:O167)</f>
        <v>0</v>
      </c>
      <c r="P156" s="181">
        <f t="shared" ref="P156:Y156" si="78">SUM(P159:P167)</f>
        <v>0</v>
      </c>
      <c r="Q156" s="181">
        <f t="shared" si="78"/>
        <v>977660.27122652205</v>
      </c>
      <c r="R156" s="181">
        <f t="shared" si="78"/>
        <v>1303547.0283020295</v>
      </c>
      <c r="S156" s="181">
        <f t="shared" si="78"/>
        <v>0</v>
      </c>
      <c r="T156" s="181">
        <f t="shared" si="78"/>
        <v>0</v>
      </c>
      <c r="U156" s="181">
        <f t="shared" si="78"/>
        <v>1855047.6941221186</v>
      </c>
      <c r="V156" s="181">
        <f t="shared" si="78"/>
        <v>0</v>
      </c>
      <c r="W156" s="181">
        <f t="shared" si="78"/>
        <v>1103001.3316401788</v>
      </c>
      <c r="X156" s="181">
        <f t="shared" si="78"/>
        <v>0</v>
      </c>
      <c r="Y156" s="181">
        <f t="shared" si="78"/>
        <v>0</v>
      </c>
      <c r="Z156" s="181">
        <f>SUM(Z159:Z167)</f>
        <v>0</v>
      </c>
      <c r="AA156" s="181">
        <f>SUM(AA159:AA167)</f>
        <v>0</v>
      </c>
      <c r="AB156" s="181">
        <f>SUM(AB159:AB167)</f>
        <v>0</v>
      </c>
      <c r="AC156" s="181"/>
      <c r="AD156" s="181"/>
      <c r="AE156" s="181"/>
      <c r="AF156" s="181"/>
      <c r="AG156" s="181"/>
      <c r="AH156" s="181"/>
      <c r="AI156" s="181"/>
      <c r="AJ156" s="181"/>
      <c r="AK156" s="181"/>
      <c r="AL156" s="181"/>
      <c r="AM156" s="181"/>
      <c r="AN156" s="181"/>
      <c r="AO156" s="181"/>
      <c r="AP156" s="181"/>
      <c r="AQ156" s="181"/>
      <c r="AR156" s="181"/>
      <c r="AS156" s="181"/>
      <c r="AT156" s="181"/>
      <c r="AU156" s="181"/>
      <c r="AV156" s="181"/>
      <c r="AW156" s="181"/>
      <c r="AX156" s="181"/>
      <c r="AY156" s="181"/>
      <c r="AZ156" s="183"/>
      <c r="BA156" s="183"/>
      <c r="BB156" s="183"/>
      <c r="BC156" s="183"/>
      <c r="BD156" s="183"/>
      <c r="BE156" s="183"/>
      <c r="BF156" s="183"/>
      <c r="BG156" s="183"/>
      <c r="BH156" s="183"/>
      <c r="BI156" s="183">
        <f t="shared" si="66"/>
        <v>5239256.3252908494</v>
      </c>
      <c r="BJ156" s="183">
        <f t="shared" si="67"/>
        <v>0</v>
      </c>
      <c r="BK156" s="183">
        <f t="shared" si="68"/>
        <v>0</v>
      </c>
      <c r="BL156" s="183">
        <f t="shared" si="69"/>
        <v>0</v>
      </c>
    </row>
    <row r="157" spans="1:64" s="187" customFormat="1" hidden="1" outlineLevel="2" x14ac:dyDescent="0.3">
      <c r="A157" s="185"/>
      <c r="B157" s="185" t="s">
        <v>2966</v>
      </c>
      <c r="C157" s="185" t="s">
        <v>82</v>
      </c>
      <c r="D157" s="189" t="s">
        <v>3470</v>
      </c>
      <c r="E157" s="185" t="s">
        <v>2683</v>
      </c>
      <c r="F157" s="185" t="s">
        <v>2792</v>
      </c>
      <c r="G157" s="185">
        <v>327</v>
      </c>
      <c r="H157" s="185" t="str">
        <f>IFERROR(VLOOKUP(G157,'2022. tervsor'!C:D,2,0)," ")</f>
        <v>Működési költségvetés támogatása - Stipendium</v>
      </c>
      <c r="I157" s="166">
        <f>VLOOKUP($I$1,'3.a'!B:V,13,0)</f>
        <v>0</v>
      </c>
      <c r="J157" s="181">
        <f t="shared" si="72"/>
        <v>0</v>
      </c>
      <c r="K157" s="166">
        <f t="shared" si="77"/>
        <v>0</v>
      </c>
      <c r="L157" s="166">
        <f t="shared" si="73"/>
        <v>0</v>
      </c>
      <c r="M157" s="182"/>
      <c r="N157" s="166"/>
      <c r="O157" s="166"/>
      <c r="P157" s="166"/>
      <c r="Q157" s="166"/>
      <c r="R157" s="166"/>
      <c r="S157" s="166"/>
      <c r="T157" s="166"/>
      <c r="U157" s="166"/>
      <c r="V157" s="166"/>
      <c r="W157" s="166"/>
      <c r="X157" s="166"/>
      <c r="Y157" s="166"/>
      <c r="Z157" s="166"/>
      <c r="AA157" s="166"/>
      <c r="AB157" s="166"/>
      <c r="AC157" s="166"/>
      <c r="AD157" s="166"/>
      <c r="AE157" s="166"/>
      <c r="AF157" s="166"/>
      <c r="AG157" s="166"/>
      <c r="AH157" s="166"/>
      <c r="AI157" s="166"/>
      <c r="AJ157" s="166"/>
      <c r="AK157" s="166"/>
      <c r="AL157" s="166">
        <f>+I157</f>
        <v>0</v>
      </c>
      <c r="AM157" s="166"/>
      <c r="AN157" s="166"/>
      <c r="AO157" s="166"/>
      <c r="AP157" s="166"/>
      <c r="AQ157" s="166"/>
      <c r="AR157" s="166"/>
      <c r="AS157" s="166"/>
      <c r="AT157" s="166"/>
      <c r="AU157" s="166"/>
      <c r="AV157" s="166"/>
      <c r="AW157" s="166"/>
      <c r="AX157" s="166"/>
      <c r="AY157" s="166"/>
      <c r="AZ157" s="186"/>
      <c r="BA157" s="186"/>
      <c r="BB157" s="186"/>
      <c r="BC157" s="186"/>
      <c r="BD157" s="186">
        <f>-I157</f>
        <v>0</v>
      </c>
      <c r="BE157" s="186">
        <f>-J157</f>
        <v>0</v>
      </c>
      <c r="BF157" s="186"/>
      <c r="BG157" s="186"/>
      <c r="BH157" s="186"/>
      <c r="BI157" s="183">
        <f t="shared" si="66"/>
        <v>0</v>
      </c>
      <c r="BJ157" s="183">
        <f t="shared" si="67"/>
        <v>0</v>
      </c>
      <c r="BK157" s="183">
        <f t="shared" si="68"/>
        <v>0</v>
      </c>
      <c r="BL157" s="183">
        <f t="shared" si="69"/>
        <v>0</v>
      </c>
    </row>
    <row r="158" spans="1:64" s="187" customFormat="1" hidden="1" outlineLevel="2" x14ac:dyDescent="0.3">
      <c r="A158" s="185"/>
      <c r="B158" s="185" t="s">
        <v>2673</v>
      </c>
      <c r="C158" s="185" t="s">
        <v>82</v>
      </c>
      <c r="D158" s="189" t="s">
        <v>3470</v>
      </c>
      <c r="E158" s="185" t="s">
        <v>2673</v>
      </c>
      <c r="F158" s="185" t="s">
        <v>2792</v>
      </c>
      <c r="G158" s="185">
        <v>343</v>
      </c>
      <c r="H158" s="185" t="str">
        <f>IFERROR(VLOOKUP(G158,'2022. tervsor'!C:D,2,0)," ")</f>
        <v>T Átoktatásra támogatás ÁTADÁS</v>
      </c>
      <c r="I158" s="166">
        <f>-VLOOKUP($I$1,'3.a'!B:V,14,0)</f>
        <v>0</v>
      </c>
      <c r="J158" s="181">
        <f t="shared" si="72"/>
        <v>0</v>
      </c>
      <c r="K158" s="166">
        <f t="shared" si="77"/>
        <v>0</v>
      </c>
      <c r="L158" s="166">
        <f t="shared" si="73"/>
        <v>0</v>
      </c>
      <c r="M158" s="182"/>
      <c r="N158" s="166"/>
      <c r="O158" s="166"/>
      <c r="P158" s="166"/>
      <c r="Q158" s="166"/>
      <c r="R158" s="166"/>
      <c r="S158" s="166"/>
      <c r="T158" s="166"/>
      <c r="U158" s="166"/>
      <c r="V158" s="166"/>
      <c r="W158" s="166"/>
      <c r="X158" s="166"/>
      <c r="Y158" s="166"/>
      <c r="Z158" s="166"/>
      <c r="AA158" s="166"/>
      <c r="AB158" s="166"/>
      <c r="AC158" s="166"/>
      <c r="AD158" s="166"/>
      <c r="AE158" s="166"/>
      <c r="AF158" s="166"/>
      <c r="AG158" s="166"/>
      <c r="AH158" s="166"/>
      <c r="AI158" s="166"/>
      <c r="AJ158" s="166"/>
      <c r="AK158" s="166"/>
      <c r="AL158" s="166">
        <f>I158</f>
        <v>0</v>
      </c>
      <c r="AM158" s="166"/>
      <c r="AN158" s="166"/>
      <c r="AO158" s="166"/>
      <c r="AP158" s="166"/>
      <c r="AQ158" s="166"/>
      <c r="AR158" s="166"/>
      <c r="AS158" s="166"/>
      <c r="AT158" s="166"/>
      <c r="AU158" s="166"/>
      <c r="AV158" s="166"/>
      <c r="AW158" s="166"/>
      <c r="AX158" s="166"/>
      <c r="AY158" s="166"/>
      <c r="AZ158" s="186"/>
      <c r="BA158" s="186"/>
      <c r="BB158" s="186">
        <f>-I158</f>
        <v>0</v>
      </c>
      <c r="BC158" s="186"/>
      <c r="BD158" s="186"/>
      <c r="BE158" s="186"/>
      <c r="BF158" s="186"/>
      <c r="BG158" s="186"/>
      <c r="BH158" s="186"/>
      <c r="BI158" s="183">
        <f t="shared" si="66"/>
        <v>0</v>
      </c>
      <c r="BJ158" s="183">
        <f t="shared" si="67"/>
        <v>0</v>
      </c>
      <c r="BK158" s="183">
        <f t="shared" si="68"/>
        <v>0</v>
      </c>
      <c r="BL158" s="183">
        <f t="shared" si="69"/>
        <v>0</v>
      </c>
    </row>
    <row r="159" spans="1:64" s="187" customFormat="1" hidden="1" outlineLevel="2" x14ac:dyDescent="0.3">
      <c r="A159" s="185"/>
      <c r="B159" s="189" t="s">
        <v>2964</v>
      </c>
      <c r="C159" s="189" t="s">
        <v>82</v>
      </c>
      <c r="D159" s="189"/>
      <c r="E159" s="185" t="s">
        <v>2674</v>
      </c>
      <c r="F159" s="185" t="s">
        <v>82</v>
      </c>
      <c r="G159" s="185">
        <v>333</v>
      </c>
      <c r="H159" s="185" t="str">
        <f>IFERROR(VLOOKUP(G159,'2022. tervsor'!C:D,2,0)," ")</f>
        <v>T Képzési finanszírozás átadás</v>
      </c>
      <c r="I159" s="166">
        <f>+I157+I158</f>
        <v>0</v>
      </c>
      <c r="J159" s="181">
        <f t="shared" si="72"/>
        <v>0</v>
      </c>
      <c r="K159" s="166">
        <f t="shared" si="77"/>
        <v>0</v>
      </c>
      <c r="L159" s="166">
        <f t="shared" si="73"/>
        <v>0</v>
      </c>
      <c r="M159" s="190" t="s">
        <v>1429</v>
      </c>
      <c r="N159" s="166">
        <f>IFERROR(VLOOKUP(N$1,'22.b2'!$D:$H,4,0),0)</f>
        <v>0</v>
      </c>
      <c r="O159" s="166">
        <f>IFERROR(VLOOKUP(O$1,'22.b2'!$D:$H,4,0),0)</f>
        <v>0</v>
      </c>
      <c r="P159" s="166">
        <f>IFERROR(VLOOKUP(P$1,'22.b2'!$D:$H,4,0),0)</f>
        <v>0</v>
      </c>
      <c r="Q159" s="166">
        <f>IFERROR(VLOOKUP(Q$1,'22.b2'!$D:$H,4,0),0)</f>
        <v>0</v>
      </c>
      <c r="R159" s="166">
        <f>IFERROR(VLOOKUP(R$1,'22.b2'!$D:$H,4,0),0)</f>
        <v>0</v>
      </c>
      <c r="S159" s="166">
        <f>IFERROR(VLOOKUP(S$1,'22.b2'!$D:$H,4,0),0)</f>
        <v>0</v>
      </c>
      <c r="T159" s="166">
        <f>IFERROR(VLOOKUP(T$1,'22.b2'!$D:$H,4,0),0)</f>
        <v>0</v>
      </c>
      <c r="U159" s="166">
        <f>IFERROR(VLOOKUP(U$1,'22.b2'!$D:$H,4,0),0)</f>
        <v>0</v>
      </c>
      <c r="V159" s="166">
        <f>IFERROR(VLOOKUP(V$1,'22.b2'!$D:$H,4,0),0)</f>
        <v>0</v>
      </c>
      <c r="W159" s="166">
        <f>IFERROR(VLOOKUP(W$1,'22.b2'!$D:$H,4,0),0)</f>
        <v>0</v>
      </c>
      <c r="X159" s="166">
        <f>IFERROR(VLOOKUP(X$1,'22.b2'!$D:$H,4,0),0)</f>
        <v>0</v>
      </c>
      <c r="Y159" s="166">
        <f>IFERROR(VLOOKUP(Y$1,'22.b2'!$D:$H,4,0),0)</f>
        <v>0</v>
      </c>
      <c r="Z159" s="166">
        <f>IFERROR(VLOOKUP(Z$1,'22.b2'!$D:$H,4,0),0)</f>
        <v>0</v>
      </c>
      <c r="AA159" s="166">
        <f>IFERROR(VLOOKUP(AA$1,'22.b2'!$D:$H,4,0),0)</f>
        <v>0</v>
      </c>
      <c r="AB159" s="209">
        <f>IFERROR(VLOOKUP($I$1,'22.b2'!$C:$H,5,0),0)</f>
        <v>0</v>
      </c>
      <c r="AC159" s="166"/>
      <c r="AD159" s="166"/>
      <c r="AE159" s="166"/>
      <c r="AF159" s="166"/>
      <c r="AG159" s="166"/>
      <c r="AH159" s="166"/>
      <c r="AI159" s="166"/>
      <c r="AJ159" s="166"/>
      <c r="AK159" s="166"/>
      <c r="AL159" s="166">
        <f>-I159</f>
        <v>0</v>
      </c>
      <c r="AM159" s="166"/>
      <c r="AN159" s="191"/>
      <c r="AO159" s="191"/>
      <c r="AP159" s="191"/>
      <c r="AQ159" s="191"/>
      <c r="AR159" s="191"/>
      <c r="AS159" s="191"/>
      <c r="AT159" s="191"/>
      <c r="AU159" s="191"/>
      <c r="AV159" s="191"/>
      <c r="AW159" s="191"/>
      <c r="AX159" s="191"/>
      <c r="AY159" s="191"/>
      <c r="AZ159" s="186"/>
      <c r="BA159" s="186"/>
      <c r="BB159" s="186"/>
      <c r="BC159" s="186"/>
      <c r="BD159" s="186"/>
      <c r="BE159" s="186"/>
      <c r="BF159" s="186"/>
      <c r="BG159" s="186"/>
      <c r="BH159" s="186"/>
      <c r="BI159" s="183">
        <f t="shared" ref="BI159:BI189" si="79">+SUM(N159:AA159)</f>
        <v>0</v>
      </c>
      <c r="BJ159" s="183">
        <f t="shared" ref="BJ159:BJ189" si="80">+AB159</f>
        <v>0</v>
      </c>
      <c r="BK159" s="183">
        <f t="shared" ref="BK159:BK189" si="81">+SUM(AC159:AM159)</f>
        <v>0</v>
      </c>
      <c r="BL159" s="183">
        <f t="shared" ref="BL159:BL189" si="82">+SUM(AN159:BH159)</f>
        <v>0</v>
      </c>
    </row>
    <row r="160" spans="1:64" s="187" customFormat="1" hidden="1" outlineLevel="2" x14ac:dyDescent="0.3">
      <c r="A160" s="185"/>
      <c r="B160" s="189" t="s">
        <v>2964</v>
      </c>
      <c r="C160" s="189" t="s">
        <v>82</v>
      </c>
      <c r="D160" s="189"/>
      <c r="E160" s="192" t="s">
        <v>2782</v>
      </c>
      <c r="F160" s="185" t="s">
        <v>82</v>
      </c>
      <c r="G160" s="185">
        <v>333</v>
      </c>
      <c r="H160" s="185" t="str">
        <f>IFERROR(VLOOKUP(G160,'2022. tervsor'!C:D,2,0)," ")</f>
        <v>T Képzési finanszírozás átadás</v>
      </c>
      <c r="I160" s="166">
        <v>0</v>
      </c>
      <c r="J160" s="181">
        <f t="shared" si="72"/>
        <v>0</v>
      </c>
      <c r="K160" s="166">
        <f t="shared" si="77"/>
        <v>0</v>
      </c>
      <c r="L160" s="166">
        <f t="shared" si="73"/>
        <v>0</v>
      </c>
      <c r="M160" s="210"/>
      <c r="N160" s="166">
        <f>IFERROR(VLOOKUP($M160,'1 b felosztások'!$A:$E,'1 b felosztások'!C$2,0)*-$AB160,0)</f>
        <v>0</v>
      </c>
      <c r="O160" s="166">
        <f>IFERROR(VLOOKUP($M160,'1 b felosztások'!$A:$E,'1 b felosztások'!D$2,0)*-$AB160,0)</f>
        <v>0</v>
      </c>
      <c r="P160" s="166">
        <f>IFERROR(VLOOKUP($M160,'1 b felosztások'!$A:$E,'1 b felosztások'!E$2,0)*-$AB160,0)</f>
        <v>0</v>
      </c>
      <c r="Q160" s="166">
        <f>IFERROR(VLOOKUP($M160,'1 b felosztások'!$A:$E,'1 b felosztások'!F$2,0)*-$AB160,0)</f>
        <v>0</v>
      </c>
      <c r="R160" s="166">
        <f>IFERROR(VLOOKUP($M160,'1 b felosztások'!$A:$E,'1 b felosztások'!G$2,0)*-$AB160,0)</f>
        <v>0</v>
      </c>
      <c r="S160" s="166">
        <f>IFERROR(VLOOKUP($M160,'1 b felosztások'!$A:$E,'1 b felosztások'!H$2,0)*-$AB160,0)</f>
        <v>0</v>
      </c>
      <c r="T160" s="166">
        <f>IFERROR(VLOOKUP($M160,'1 b felosztások'!$A:$E,'1 b felosztások'!I$2,0)*-$AB160,0)</f>
        <v>0</v>
      </c>
      <c r="U160" s="166">
        <f>IFERROR(VLOOKUP($M160,'1 b felosztások'!$A:$E,'1 b felosztások'!J$2,0)*-$AB160,0)</f>
        <v>0</v>
      </c>
      <c r="V160" s="166">
        <f>IFERROR(VLOOKUP($M160,'1 b felosztások'!$A:$E,'1 b felosztások'!K$2,0)*-$AB160,0)</f>
        <v>0</v>
      </c>
      <c r="W160" s="166">
        <f>IFERROR(VLOOKUP($M160,'1 b felosztások'!$A:$E,'1 b felosztások'!L$2,0)*-$AB160,0)</f>
        <v>0</v>
      </c>
      <c r="X160" s="166">
        <f>IFERROR(VLOOKUP($M160,'1 b felosztások'!$A:$E,'1 b felosztások'!M$2,0)*-$AB160,0)</f>
        <v>0</v>
      </c>
      <c r="Y160" s="166">
        <f>IFERROR(VLOOKUP($M160,'1 b felosztások'!$A:$E,'1 b felosztások'!N$2,0)*-$AB160,0)</f>
        <v>0</v>
      </c>
      <c r="Z160" s="166">
        <f>IFERROR(VLOOKUP($M160,'1 b felosztások'!$A:$E,'1 b felosztások'!C$2,0)*-$AB160,0)</f>
        <v>0</v>
      </c>
      <c r="AA160" s="166">
        <f>IFERROR(VLOOKUP($M160,'1 b felosztások'!$A:$E,'1 b felosztások'!D$2,0)*-$AB160,0)</f>
        <v>0</v>
      </c>
      <c r="AB160" s="197">
        <f>-AB159</f>
        <v>0</v>
      </c>
      <c r="AC160" s="166"/>
      <c r="AD160" s="166"/>
      <c r="AE160" s="166"/>
      <c r="AF160" s="166"/>
      <c r="AG160" s="166"/>
      <c r="AH160" s="166"/>
      <c r="AI160" s="166"/>
      <c r="AJ160" s="166"/>
      <c r="AK160" s="166"/>
      <c r="AL160" s="166"/>
      <c r="AM160" s="166"/>
      <c r="AN160" s="191"/>
      <c r="AO160" s="191"/>
      <c r="AP160" s="191"/>
      <c r="AQ160" s="191"/>
      <c r="AR160" s="191"/>
      <c r="AS160" s="191"/>
      <c r="AT160" s="191"/>
      <c r="AU160" s="191"/>
      <c r="AV160" s="191"/>
      <c r="AW160" s="191"/>
      <c r="AX160" s="191"/>
      <c r="AY160" s="191"/>
      <c r="AZ160" s="186"/>
      <c r="BA160" s="186"/>
      <c r="BB160" s="186"/>
      <c r="BC160" s="186"/>
      <c r="BD160" s="186"/>
      <c r="BE160" s="186"/>
      <c r="BF160" s="186"/>
      <c r="BG160" s="186"/>
      <c r="BH160" s="186"/>
      <c r="BI160" s="183">
        <f t="shared" si="79"/>
        <v>0</v>
      </c>
      <c r="BJ160" s="183">
        <f t="shared" si="80"/>
        <v>0</v>
      </c>
      <c r="BK160" s="183">
        <f t="shared" si="81"/>
        <v>0</v>
      </c>
      <c r="BL160" s="183">
        <f t="shared" si="82"/>
        <v>0</v>
      </c>
    </row>
    <row r="161" spans="1:64" s="187" customFormat="1" hidden="1" outlineLevel="2" x14ac:dyDescent="0.3">
      <c r="A161" s="185"/>
      <c r="B161" s="189" t="s">
        <v>2964</v>
      </c>
      <c r="C161" s="189" t="s">
        <v>82</v>
      </c>
      <c r="D161" s="189"/>
      <c r="E161" s="192" t="s">
        <v>2782</v>
      </c>
      <c r="F161" s="185" t="s">
        <v>82</v>
      </c>
      <c r="G161" s="185">
        <v>333</v>
      </c>
      <c r="H161" s="185" t="str">
        <f>IFERROR(VLOOKUP(G161,'2022. tervsor'!C:D,2,0)," ")</f>
        <v>T Képzési finanszírozás átadás</v>
      </c>
      <c r="I161" s="166">
        <v>0</v>
      </c>
      <c r="J161" s="181">
        <f t="shared" si="72"/>
        <v>0</v>
      </c>
      <c r="K161" s="166">
        <f t="shared" si="77"/>
        <v>0</v>
      </c>
      <c r="L161" s="166">
        <f t="shared" si="73"/>
        <v>0</v>
      </c>
      <c r="M161" s="210"/>
      <c r="N161" s="166">
        <f>IFERROR(VLOOKUP($M161,'1 b felosztások'!$A:$E,'1 b felosztások'!C$2,0)*-$AB161,0)</f>
        <v>0</v>
      </c>
      <c r="O161" s="166">
        <f>IFERROR(VLOOKUP($M161,'1 b felosztások'!$A:$E,'1 b felosztások'!D$2,0)*-$AB161,0)</f>
        <v>0</v>
      </c>
      <c r="P161" s="166">
        <f>IFERROR(VLOOKUP($M161,'1 b felosztások'!$A:$E,'1 b felosztások'!E$2,0)*-$AB161,0)</f>
        <v>0</v>
      </c>
      <c r="Q161" s="166">
        <f>IFERROR(VLOOKUP($M161,'1 b felosztások'!$A:$E,'1 b felosztások'!F$2,0)*-$AB161,0)</f>
        <v>0</v>
      </c>
      <c r="R161" s="166">
        <f>IFERROR(VLOOKUP($M161,'1 b felosztások'!$A:$E,'1 b felosztások'!G$2,0)*-$AB161,0)</f>
        <v>0</v>
      </c>
      <c r="S161" s="166">
        <f>IFERROR(VLOOKUP($M161,'1 b felosztások'!$A:$E,'1 b felosztások'!H$2,0)*-$AB161,0)</f>
        <v>0</v>
      </c>
      <c r="T161" s="166">
        <f>IFERROR(VLOOKUP($M161,'1 b felosztások'!$A:$E,'1 b felosztások'!I$2,0)*-$AB161,0)</f>
        <v>0</v>
      </c>
      <c r="U161" s="166">
        <f>IFERROR(VLOOKUP($M161,'1 b felosztások'!$A:$E,'1 b felosztások'!J$2,0)*-$AB161,0)</f>
        <v>0</v>
      </c>
      <c r="V161" s="166">
        <f>IFERROR(VLOOKUP($M161,'1 b felosztások'!$A:$E,'1 b felosztások'!K$2,0)*-$AB161,0)</f>
        <v>0</v>
      </c>
      <c r="W161" s="166">
        <f>IFERROR(VLOOKUP($M161,'1 b felosztások'!$A:$E,'1 b felosztások'!L$2,0)*-$AB161,0)</f>
        <v>0</v>
      </c>
      <c r="X161" s="166">
        <f>IFERROR(VLOOKUP($M161,'1 b felosztások'!$A:$E,'1 b felosztások'!M$2,0)*-$AB161,0)</f>
        <v>0</v>
      </c>
      <c r="Y161" s="166">
        <f>IFERROR(VLOOKUP($M161,'1 b felosztások'!$A:$E,'1 b felosztások'!N$2,0)*-$AB161,0)</f>
        <v>0</v>
      </c>
      <c r="Z161" s="166">
        <f>IFERROR(VLOOKUP($M161,'1 b felosztások'!$A:$E,'1 b felosztások'!C$2,0)*-$AB161,0)</f>
        <v>0</v>
      </c>
      <c r="AA161" s="166">
        <f>IFERROR(VLOOKUP($M161,'1 b felosztások'!$A:$E,'1 b felosztások'!D$2,0)*-$AB161,0)</f>
        <v>0</v>
      </c>
      <c r="AB161" s="197"/>
      <c r="AC161" s="166"/>
      <c r="AD161" s="166"/>
      <c r="AE161" s="166"/>
      <c r="AF161" s="166"/>
      <c r="AG161" s="166"/>
      <c r="AH161" s="166"/>
      <c r="AI161" s="166"/>
      <c r="AJ161" s="166"/>
      <c r="AK161" s="166"/>
      <c r="AL161" s="166"/>
      <c r="AM161" s="166"/>
      <c r="AN161" s="191"/>
      <c r="AO161" s="191"/>
      <c r="AP161" s="191"/>
      <c r="AQ161" s="191"/>
      <c r="AR161" s="191"/>
      <c r="AS161" s="191"/>
      <c r="AT161" s="191"/>
      <c r="AU161" s="191"/>
      <c r="AV161" s="191"/>
      <c r="AW161" s="191"/>
      <c r="AX161" s="191"/>
      <c r="AY161" s="191"/>
      <c r="AZ161" s="186"/>
      <c r="BA161" s="186"/>
      <c r="BB161" s="186"/>
      <c r="BC161" s="186"/>
      <c r="BD161" s="186"/>
      <c r="BE161" s="186"/>
      <c r="BF161" s="186"/>
      <c r="BG161" s="186"/>
      <c r="BH161" s="186"/>
      <c r="BI161" s="183">
        <f t="shared" si="79"/>
        <v>0</v>
      </c>
      <c r="BJ161" s="183">
        <f t="shared" si="80"/>
        <v>0</v>
      </c>
      <c r="BK161" s="183">
        <f t="shared" si="81"/>
        <v>0</v>
      </c>
      <c r="BL161" s="183">
        <f t="shared" si="82"/>
        <v>0</v>
      </c>
    </row>
    <row r="162" spans="1:64" s="187" customFormat="1" hidden="1" outlineLevel="2" x14ac:dyDescent="0.3">
      <c r="A162" s="185"/>
      <c r="B162" s="189" t="s">
        <v>2964</v>
      </c>
      <c r="C162" s="189" t="s">
        <v>82</v>
      </c>
      <c r="D162" s="189"/>
      <c r="E162" s="192" t="s">
        <v>2782</v>
      </c>
      <c r="F162" s="185" t="s">
        <v>82</v>
      </c>
      <c r="G162" s="185">
        <v>333</v>
      </c>
      <c r="H162" s="185" t="str">
        <f>IFERROR(VLOOKUP(G162,'2022. tervsor'!C:D,2,0)," ")</f>
        <v>T Képzési finanszírozás átadás</v>
      </c>
      <c r="I162" s="166">
        <v>0</v>
      </c>
      <c r="J162" s="181">
        <f t="shared" si="72"/>
        <v>0</v>
      </c>
      <c r="K162" s="166">
        <f t="shared" si="77"/>
        <v>0</v>
      </c>
      <c r="L162" s="166">
        <f t="shared" si="73"/>
        <v>0</v>
      </c>
      <c r="M162" s="210"/>
      <c r="N162" s="166">
        <f>IFERROR(VLOOKUP($M162,'1 b felosztások'!$A:$E,'1 b felosztások'!C$2,0)*-$AB162,0)</f>
        <v>0</v>
      </c>
      <c r="O162" s="166">
        <f>IFERROR(VLOOKUP($M162,'1 b felosztások'!$A:$E,'1 b felosztások'!D$2,0)*-$AB162,0)</f>
        <v>0</v>
      </c>
      <c r="P162" s="166">
        <f>IFERROR(VLOOKUP($M162,'1 b felosztások'!$A:$E,'1 b felosztások'!E$2,0)*-$AB162,0)</f>
        <v>0</v>
      </c>
      <c r="Q162" s="166">
        <f>IFERROR(VLOOKUP($M162,'1 b felosztások'!$A:$E,'1 b felosztások'!F$2,0)*-$AB162,0)</f>
        <v>0</v>
      </c>
      <c r="R162" s="166">
        <f>IFERROR(VLOOKUP($M162,'1 b felosztások'!$A:$E,'1 b felosztások'!G$2,0)*-$AB162,0)</f>
        <v>0</v>
      </c>
      <c r="S162" s="166">
        <f>IFERROR(VLOOKUP($M162,'1 b felosztások'!$A:$E,'1 b felosztások'!H$2,0)*-$AB162,0)</f>
        <v>0</v>
      </c>
      <c r="T162" s="166">
        <f>IFERROR(VLOOKUP($M162,'1 b felosztások'!$A:$E,'1 b felosztások'!I$2,0)*-$AB162,0)</f>
        <v>0</v>
      </c>
      <c r="U162" s="166">
        <f>IFERROR(VLOOKUP($M162,'1 b felosztások'!$A:$E,'1 b felosztások'!J$2,0)*-$AB162,0)</f>
        <v>0</v>
      </c>
      <c r="V162" s="166">
        <f>IFERROR(VLOOKUP($M162,'1 b felosztások'!$A:$E,'1 b felosztások'!K$2,0)*-$AB162,0)</f>
        <v>0</v>
      </c>
      <c r="W162" s="166">
        <f>IFERROR(VLOOKUP($M162,'1 b felosztások'!$A:$E,'1 b felosztások'!L$2,0)*-$AB162,0)</f>
        <v>0</v>
      </c>
      <c r="X162" s="166">
        <f>IFERROR(VLOOKUP($M162,'1 b felosztások'!$A:$E,'1 b felosztások'!M$2,0)*-$AB162,0)</f>
        <v>0</v>
      </c>
      <c r="Y162" s="166">
        <f>IFERROR(VLOOKUP($M162,'1 b felosztások'!$A:$E,'1 b felosztások'!N$2,0)*-$AB162,0)</f>
        <v>0</v>
      </c>
      <c r="Z162" s="166">
        <f>IFERROR(VLOOKUP($M162,'1 b felosztások'!$A:$E,'1 b felosztások'!C$2,0)*-$AB162,0)</f>
        <v>0</v>
      </c>
      <c r="AA162" s="166">
        <f>IFERROR(VLOOKUP($M162,'1 b felosztások'!$A:$E,'1 b felosztások'!D$2,0)*-$AB162,0)</f>
        <v>0</v>
      </c>
      <c r="AB162" s="197"/>
      <c r="AC162" s="166"/>
      <c r="AD162" s="166"/>
      <c r="AE162" s="166"/>
      <c r="AF162" s="166"/>
      <c r="AG162" s="166"/>
      <c r="AH162" s="166"/>
      <c r="AI162" s="166"/>
      <c r="AJ162" s="166"/>
      <c r="AK162" s="166"/>
      <c r="AL162" s="166"/>
      <c r="AM162" s="166"/>
      <c r="AN162" s="191"/>
      <c r="AO162" s="191"/>
      <c r="AP162" s="191"/>
      <c r="AQ162" s="191"/>
      <c r="AR162" s="191"/>
      <c r="AS162" s="191"/>
      <c r="AT162" s="191"/>
      <c r="AU162" s="191"/>
      <c r="AV162" s="191"/>
      <c r="AW162" s="191"/>
      <c r="AX162" s="191"/>
      <c r="AY162" s="191"/>
      <c r="AZ162" s="186"/>
      <c r="BA162" s="186"/>
      <c r="BB162" s="186"/>
      <c r="BC162" s="186"/>
      <c r="BD162" s="186"/>
      <c r="BE162" s="186"/>
      <c r="BF162" s="186"/>
      <c r="BG162" s="186"/>
      <c r="BH162" s="186"/>
      <c r="BI162" s="183">
        <f t="shared" si="79"/>
        <v>0</v>
      </c>
      <c r="BJ162" s="183">
        <f t="shared" si="80"/>
        <v>0</v>
      </c>
      <c r="BK162" s="183">
        <f t="shared" si="81"/>
        <v>0</v>
      </c>
      <c r="BL162" s="183">
        <f t="shared" si="82"/>
        <v>0</v>
      </c>
    </row>
    <row r="163" spans="1:64" s="187" customFormat="1" ht="16.5" hidden="1" customHeight="1" outlineLevel="2" x14ac:dyDescent="0.3">
      <c r="A163" s="185"/>
      <c r="B163" s="189" t="s">
        <v>2964</v>
      </c>
      <c r="C163" s="189" t="s">
        <v>82</v>
      </c>
      <c r="D163" s="189"/>
      <c r="E163" s="192" t="s">
        <v>2782</v>
      </c>
      <c r="F163" s="185" t="s">
        <v>82</v>
      </c>
      <c r="G163" s="185">
        <v>333</v>
      </c>
      <c r="H163" s="185" t="str">
        <f>IFERROR(VLOOKUP(G163,'2022. tervsor'!C:D,2,0)," ")</f>
        <v>T Képzési finanszírozás átadás</v>
      </c>
      <c r="I163" s="166">
        <v>0</v>
      </c>
      <c r="J163" s="181">
        <f t="shared" si="72"/>
        <v>0</v>
      </c>
      <c r="K163" s="166">
        <f t="shared" si="77"/>
        <v>0</v>
      </c>
      <c r="L163" s="166">
        <f t="shared" si="73"/>
        <v>0</v>
      </c>
      <c r="M163" s="210"/>
      <c r="N163" s="166">
        <f>IFERROR(VLOOKUP($M163,'1 b felosztások'!$A:$E,'1 b felosztások'!C$2,0)*-$AB163,0)</f>
        <v>0</v>
      </c>
      <c r="O163" s="166">
        <f>IFERROR(VLOOKUP($M163,'1 b felosztások'!$A:$E,'1 b felosztások'!D$2,0)*-$AB163,0)</f>
        <v>0</v>
      </c>
      <c r="P163" s="166">
        <f>IFERROR(VLOOKUP($M163,'1 b felosztások'!$A:$E,'1 b felosztások'!E$2,0)*-$AB163,0)</f>
        <v>0</v>
      </c>
      <c r="Q163" s="166">
        <f>IFERROR(VLOOKUP($M163,'1 b felosztások'!$A:$E,'1 b felosztások'!F$2,0)*-$AB163,0)</f>
        <v>0</v>
      </c>
      <c r="R163" s="166">
        <f>IFERROR(VLOOKUP($M163,'1 b felosztások'!$A:$E,'1 b felosztások'!G$2,0)*-$AB163,0)</f>
        <v>0</v>
      </c>
      <c r="S163" s="166">
        <f>IFERROR(VLOOKUP($M163,'1 b felosztások'!$A:$E,'1 b felosztások'!H$2,0)*-$AB163,0)</f>
        <v>0</v>
      </c>
      <c r="T163" s="166">
        <f>IFERROR(VLOOKUP($M163,'1 b felosztások'!$A:$E,'1 b felosztások'!I$2,0)*-$AB163,0)</f>
        <v>0</v>
      </c>
      <c r="U163" s="166">
        <f>IFERROR(VLOOKUP($M163,'1 b felosztások'!$A:$E,'1 b felosztások'!J$2,0)*-$AB163,0)</f>
        <v>0</v>
      </c>
      <c r="V163" s="166">
        <f>IFERROR(VLOOKUP($M163,'1 b felosztások'!$A:$E,'1 b felosztások'!K$2,0)*-$AB163,0)</f>
        <v>0</v>
      </c>
      <c r="W163" s="166">
        <f>IFERROR(VLOOKUP($M163,'1 b felosztások'!$A:$E,'1 b felosztások'!L$2,0)*-$AB163,0)</f>
        <v>0</v>
      </c>
      <c r="X163" s="166">
        <f>IFERROR(VLOOKUP($M163,'1 b felosztások'!$A:$E,'1 b felosztások'!M$2,0)*-$AB163,0)</f>
        <v>0</v>
      </c>
      <c r="Y163" s="166">
        <f>IFERROR(VLOOKUP($M163,'1 b felosztások'!$A:$E,'1 b felosztások'!N$2,0)*-$AB163,0)</f>
        <v>0</v>
      </c>
      <c r="Z163" s="166">
        <f>IFERROR(VLOOKUP($M163,'1 b felosztások'!$A:$E,'1 b felosztások'!C$2,0)*-$AB163,0)</f>
        <v>0</v>
      </c>
      <c r="AA163" s="166">
        <f>IFERROR(VLOOKUP($M163,'1 b felosztások'!$A:$E,'1 b felosztások'!D$2,0)*-$AB163,0)</f>
        <v>0</v>
      </c>
      <c r="AB163" s="197"/>
      <c r="AC163" s="166"/>
      <c r="AD163" s="166"/>
      <c r="AE163" s="166"/>
      <c r="AF163" s="166"/>
      <c r="AG163" s="166"/>
      <c r="AH163" s="166"/>
      <c r="AI163" s="166"/>
      <c r="AJ163" s="166"/>
      <c r="AK163" s="166"/>
      <c r="AL163" s="166"/>
      <c r="AM163" s="166"/>
      <c r="AN163" s="191"/>
      <c r="AO163" s="191"/>
      <c r="AP163" s="191"/>
      <c r="AQ163" s="191"/>
      <c r="AR163" s="191"/>
      <c r="AS163" s="191"/>
      <c r="AT163" s="191"/>
      <c r="AU163" s="191"/>
      <c r="AV163" s="191"/>
      <c r="AW163" s="191"/>
      <c r="AX163" s="191"/>
      <c r="AY163" s="191"/>
      <c r="AZ163" s="186"/>
      <c r="BA163" s="186"/>
      <c r="BB163" s="186"/>
      <c r="BC163" s="186"/>
      <c r="BD163" s="186"/>
      <c r="BE163" s="186"/>
      <c r="BF163" s="186"/>
      <c r="BG163" s="186"/>
      <c r="BH163" s="186"/>
      <c r="BI163" s="183">
        <f t="shared" si="79"/>
        <v>0</v>
      </c>
      <c r="BJ163" s="183">
        <f t="shared" si="80"/>
        <v>0</v>
      </c>
      <c r="BK163" s="183">
        <f t="shared" si="81"/>
        <v>0</v>
      </c>
      <c r="BL163" s="183">
        <f t="shared" si="82"/>
        <v>0</v>
      </c>
    </row>
    <row r="164" spans="1:64" s="187" customFormat="1" hidden="1" outlineLevel="2" x14ac:dyDescent="0.3">
      <c r="A164" s="185"/>
      <c r="B164" s="189" t="s">
        <v>2964</v>
      </c>
      <c r="C164" s="189" t="s">
        <v>82</v>
      </c>
      <c r="D164" s="189"/>
      <c r="E164" s="185" t="s">
        <v>2781</v>
      </c>
      <c r="F164" s="185" t="s">
        <v>82</v>
      </c>
      <c r="G164" s="185">
        <v>333</v>
      </c>
      <c r="H164" s="185" t="str">
        <f>IFERROR(VLOOKUP(G164,'2022. tervsor'!C:D,2,0)," ")</f>
        <v>T Képzési finanszírozás átadás</v>
      </c>
      <c r="I164" s="166">
        <v>0</v>
      </c>
      <c r="J164" s="181">
        <f t="shared" si="72"/>
        <v>0</v>
      </c>
      <c r="K164" s="166">
        <f t="shared" si="77"/>
        <v>0</v>
      </c>
      <c r="L164" s="166">
        <f t="shared" si="73"/>
        <v>0</v>
      </c>
      <c r="M164" s="210"/>
      <c r="N164" s="166">
        <f>IFERROR(VLOOKUP($M164,'1 b felosztások'!$A:$E,'1 b felosztások'!C$2,0)*-SUM(AA164),0)</f>
        <v>0</v>
      </c>
      <c r="O164" s="166">
        <f>IFERROR(VLOOKUP($M164,'1 b felosztások'!$A:$E,'1 b felosztások'!D$2,0)*-SUM(AB164),0)</f>
        <v>0</v>
      </c>
      <c r="P164" s="166">
        <f>IFERROR(VLOOKUP($M164,'1 b felosztások'!$A:$E,'1 b felosztások'!E$2,0)*-SUM(AC164),0)</f>
        <v>0</v>
      </c>
      <c r="Q164" s="166">
        <f>IFERROR(VLOOKUP($M164,'1 b felosztások'!$A:$E,'1 b felosztások'!F$2,0)*-SUM(AD164),0)</f>
        <v>0</v>
      </c>
      <c r="R164" s="166">
        <f>IFERROR(VLOOKUP($M164,'1 b felosztások'!$A:$E,'1 b felosztások'!G$2,0)*-SUM(AE164),0)</f>
        <v>0</v>
      </c>
      <c r="S164" s="166">
        <f>IFERROR(VLOOKUP($M164,'1 b felosztások'!$A:$E,'1 b felosztások'!H$2,0)*-SUM(AF164),0)</f>
        <v>0</v>
      </c>
      <c r="T164" s="166">
        <f>IFERROR(VLOOKUP($M164,'1 b felosztások'!$A:$E,'1 b felosztások'!I$2,0)*-SUM(AG164),0)</f>
        <v>0</v>
      </c>
      <c r="U164" s="166">
        <f>IFERROR(VLOOKUP($M164,'1 b felosztások'!$A:$E,'1 b felosztások'!J$2,0)*-SUM(AH164),0)</f>
        <v>0</v>
      </c>
      <c r="V164" s="166">
        <f>IFERROR(VLOOKUP($M164,'1 b felosztások'!$A:$E,'1 b felosztások'!K$2,0)*-SUM(AI164),0)</f>
        <v>0</v>
      </c>
      <c r="W164" s="166">
        <f>IFERROR(VLOOKUP($M164,'1 b felosztások'!$A:$E,'1 b felosztások'!L$2,0)*-SUM(AJ164),0)</f>
        <v>0</v>
      </c>
      <c r="X164" s="166">
        <f>IFERROR(VLOOKUP($M164,'1 b felosztások'!$A:$E,'1 b felosztások'!M$2,0)*-SUM(AK164),0)</f>
        <v>0</v>
      </c>
      <c r="Y164" s="166">
        <f>IFERROR(VLOOKUP($M164,'1 b felosztások'!$A:$E,'1 b felosztások'!N$2,0)*-SUM(AL164),0)</f>
        <v>0</v>
      </c>
      <c r="Z164" s="166">
        <f>IFERROR(VLOOKUP($M164,'1 b felosztások'!$A:$E,'1 b felosztások'!O$2,0)*-SUM(AM164),0)</f>
        <v>0</v>
      </c>
      <c r="AA164" s="166">
        <f>IFERROR(VLOOKUP($M164,'1 b felosztások'!$A:$E,'1 b felosztások'!P$2,0)*-SUM(AN164),0)</f>
        <v>0</v>
      </c>
      <c r="AB164" s="166"/>
      <c r="AC164" s="166"/>
      <c r="AD164" s="166"/>
      <c r="AE164" s="166"/>
      <c r="AF164" s="166"/>
      <c r="AG164" s="166"/>
      <c r="AH164" s="166"/>
      <c r="AI164" s="166"/>
      <c r="AJ164" s="166"/>
      <c r="AK164" s="166"/>
      <c r="AL164" s="166"/>
      <c r="AM164" s="166"/>
      <c r="AN164" s="191"/>
      <c r="AO164" s="191"/>
      <c r="AP164" s="191"/>
      <c r="AQ164" s="191"/>
      <c r="AR164" s="191"/>
      <c r="AS164" s="191"/>
      <c r="AT164" s="191"/>
      <c r="AU164" s="191"/>
      <c r="AV164" s="191"/>
      <c r="AW164" s="191"/>
      <c r="AX164" s="191"/>
      <c r="AY164" s="191"/>
      <c r="AZ164" s="186"/>
      <c r="BA164" s="186"/>
      <c r="BB164" s="186"/>
      <c r="BC164" s="186"/>
      <c r="BD164" s="186"/>
      <c r="BE164" s="186"/>
      <c r="BF164" s="186"/>
      <c r="BG164" s="186"/>
      <c r="BH164" s="186"/>
      <c r="BI164" s="183">
        <f t="shared" si="79"/>
        <v>0</v>
      </c>
      <c r="BJ164" s="183">
        <f t="shared" si="80"/>
        <v>0</v>
      </c>
      <c r="BK164" s="183">
        <f t="shared" si="81"/>
        <v>0</v>
      </c>
      <c r="BL164" s="183">
        <f t="shared" si="82"/>
        <v>0</v>
      </c>
    </row>
    <row r="165" spans="1:64" s="187" customFormat="1" hidden="1" outlineLevel="2" x14ac:dyDescent="0.3">
      <c r="A165" s="185"/>
      <c r="B165" s="185" t="s">
        <v>2675</v>
      </c>
      <c r="C165" s="185" t="s">
        <v>82</v>
      </c>
      <c r="D165" s="185" t="s">
        <v>3471</v>
      </c>
      <c r="E165" s="185" t="s">
        <v>2675</v>
      </c>
      <c r="F165" s="185" t="s">
        <v>82</v>
      </c>
      <c r="G165" s="185">
        <v>349</v>
      </c>
      <c r="H165" s="185" t="str">
        <f>IFERROR(VLOOKUP(G165,'2022. tervsor'!C:D,2,0)," ")</f>
        <v>T Átoktatásra támogatás ÁTVÉTEL</v>
      </c>
      <c r="I165" s="166">
        <f>VLOOKUP($I$1,'3.a'!B:V,15,0)</f>
        <v>5239256.3252908494</v>
      </c>
      <c r="J165" s="181">
        <f t="shared" si="72"/>
        <v>5239256.3252908494</v>
      </c>
      <c r="K165" s="166">
        <f t="shared" si="77"/>
        <v>0</v>
      </c>
      <c r="L165" s="166">
        <f t="shared" si="73"/>
        <v>0</v>
      </c>
      <c r="M165" s="182" t="s">
        <v>1430</v>
      </c>
      <c r="N165" s="166">
        <f>IFERROR(VLOOKUP(N$1,'22.b3'!$D:$H,4,0),0)</f>
        <v>0</v>
      </c>
      <c r="O165" s="166">
        <f>IFERROR(VLOOKUP(O$1,'22.b3'!$D:$H,4,0),0)</f>
        <v>0</v>
      </c>
      <c r="P165" s="166">
        <f>IFERROR(VLOOKUP(P$1,'22.b3'!$D:$H,4,0),0)</f>
        <v>0</v>
      </c>
      <c r="Q165" s="166">
        <f>IFERROR(VLOOKUP(Q$1,'22.b3'!$D:$H,4,0),0)</f>
        <v>977660.27122652205</v>
      </c>
      <c r="R165" s="166">
        <f>IFERROR(VLOOKUP(R$1,'22.b3'!$D:$H,4,0),0)</f>
        <v>1303547.0283020295</v>
      </c>
      <c r="S165" s="166">
        <f>IFERROR(VLOOKUP(S$1,'22.b3'!$D:$H,4,0),0)</f>
        <v>0</v>
      </c>
      <c r="T165" s="166">
        <f>IFERROR(VLOOKUP(T$1,'22.b3'!$D:$H,4,0),0)</f>
        <v>0</v>
      </c>
      <c r="U165" s="166">
        <f>IFERROR(VLOOKUP(U$1,'22.b3'!$D:$H,4,0),0)</f>
        <v>1855047.6941221186</v>
      </c>
      <c r="V165" s="166">
        <f>IFERROR(VLOOKUP(V$1,'22.b3'!$D:$H,4,0),0)</f>
        <v>0</v>
      </c>
      <c r="W165" s="166">
        <f>IFERROR(VLOOKUP(W$1,'22.b3'!$D:$H,4,0),0)</f>
        <v>1103001.3316401788</v>
      </c>
      <c r="X165" s="166">
        <f>IFERROR(VLOOKUP(X$1,'22.b3'!$D:$H,4,0),0)</f>
        <v>0</v>
      </c>
      <c r="Y165" s="166">
        <f>IFERROR(VLOOKUP(Y$1,'22.b3'!$D:$H,4,0),0)</f>
        <v>0</v>
      </c>
      <c r="Z165" s="166">
        <f>IFERROR(VLOOKUP(Z$1,'22.b3'!$D:$H,4,0),0)</f>
        <v>0</v>
      </c>
      <c r="AA165" s="166">
        <f>IFERROR(VLOOKUP(AA$1,'22.b3'!$D:$H,4,0),0)</f>
        <v>0</v>
      </c>
      <c r="AB165" s="166">
        <f>IFERROR(VLOOKUP($I$1,'22.b3'!$C:$H,5,0),0)</f>
        <v>0</v>
      </c>
      <c r="AC165" s="166"/>
      <c r="AD165" s="166"/>
      <c r="AE165" s="166"/>
      <c r="AF165" s="166"/>
      <c r="AG165" s="166"/>
      <c r="AH165" s="166"/>
      <c r="AI165" s="166"/>
      <c r="AJ165" s="166"/>
      <c r="AK165" s="166"/>
      <c r="AL165" s="166"/>
      <c r="AM165" s="166"/>
      <c r="AN165" s="191"/>
      <c r="AO165" s="191"/>
      <c r="AP165" s="191"/>
      <c r="AQ165" s="191"/>
      <c r="AR165" s="191"/>
      <c r="AS165" s="191"/>
      <c r="AT165" s="191"/>
      <c r="AU165" s="191"/>
      <c r="AV165" s="191"/>
      <c r="AW165" s="191"/>
      <c r="AX165" s="191"/>
      <c r="AY165" s="191"/>
      <c r="AZ165" s="186"/>
      <c r="BA165" s="186"/>
      <c r="BB165" s="186">
        <f>-I165</f>
        <v>-5239256.3252908494</v>
      </c>
      <c r="BC165" s="186"/>
      <c r="BD165" s="186"/>
      <c r="BE165" s="186"/>
      <c r="BF165" s="186"/>
      <c r="BG165" s="186"/>
      <c r="BH165" s="186"/>
      <c r="BI165" s="183">
        <f t="shared" si="79"/>
        <v>5239256.3252908494</v>
      </c>
      <c r="BJ165" s="183">
        <f t="shared" si="80"/>
        <v>0</v>
      </c>
      <c r="BK165" s="183">
        <f t="shared" si="81"/>
        <v>0</v>
      </c>
      <c r="BL165" s="183">
        <f t="shared" si="82"/>
        <v>-5239256.3252908494</v>
      </c>
    </row>
    <row r="166" spans="1:64" s="187" customFormat="1" hidden="1" outlineLevel="2" x14ac:dyDescent="0.3">
      <c r="A166" s="185"/>
      <c r="B166" s="185" t="s">
        <v>2675</v>
      </c>
      <c r="C166" s="185" t="s">
        <v>82</v>
      </c>
      <c r="D166" s="185" t="s">
        <v>3471</v>
      </c>
      <c r="E166" s="185" t="s">
        <v>2676</v>
      </c>
      <c r="F166" s="185" t="s">
        <v>82</v>
      </c>
      <c r="G166" s="185">
        <v>349</v>
      </c>
      <c r="H166" s="185" t="str">
        <f>IFERROR(VLOOKUP(G166,'2022. tervsor'!C:D,2,0)," ")</f>
        <v>T Átoktatásra támogatás ÁTVÉTEL</v>
      </c>
      <c r="I166" s="166">
        <v>0</v>
      </c>
      <c r="J166" s="181">
        <f t="shared" si="72"/>
        <v>0</v>
      </c>
      <c r="K166" s="166">
        <f t="shared" si="77"/>
        <v>0</v>
      </c>
      <c r="L166" s="166">
        <f t="shared" si="73"/>
        <v>0</v>
      </c>
      <c r="M166" s="193"/>
      <c r="N166" s="166">
        <f>IFERROR(VLOOKUP($M166,'1 b felosztások'!$A:$E,'1 b felosztások'!C$2,0)*-$AB166,0)</f>
        <v>0</v>
      </c>
      <c r="O166" s="166">
        <f>IFERROR(VLOOKUP($M166,'1 b felosztások'!$A:$E,'1 b felosztások'!D$2,0)*-$AB166,0)</f>
        <v>0</v>
      </c>
      <c r="P166" s="166">
        <f>IFERROR(VLOOKUP($M166,'1 b felosztások'!$A:$E,'1 b felosztások'!E$2,0)*-$AB166,0)</f>
        <v>0</v>
      </c>
      <c r="Q166" s="166">
        <f>IFERROR(VLOOKUP($M166,'1 b felosztások'!$A:$E,'1 b felosztások'!F$2,0)*-$AB166,0)</f>
        <v>0</v>
      </c>
      <c r="R166" s="166">
        <f>IFERROR(VLOOKUP($M166,'1 b felosztások'!$A:$E,'1 b felosztások'!G$2,0)*-$AB166,0)</f>
        <v>0</v>
      </c>
      <c r="S166" s="166">
        <f>IFERROR(VLOOKUP($M166,'1 b felosztások'!$A:$E,'1 b felosztások'!H$2,0)*-$AB166,0)</f>
        <v>0</v>
      </c>
      <c r="T166" s="166">
        <f>IFERROR(VLOOKUP($M166,'1 b felosztások'!$A:$E,'1 b felosztások'!I$2,0)*-$AB166,0)</f>
        <v>0</v>
      </c>
      <c r="U166" s="166">
        <f>IFERROR(VLOOKUP($M166,'1 b felosztások'!$A:$E,'1 b felosztások'!J$2,0)*-$AB166,0)</f>
        <v>0</v>
      </c>
      <c r="V166" s="166">
        <f>IFERROR(VLOOKUP($M166,'1 b felosztások'!$A:$E,'1 b felosztások'!K$2,0)*-$AB166,0)</f>
        <v>0</v>
      </c>
      <c r="W166" s="166">
        <f>IFERROR(VLOOKUP($M166,'1 b felosztások'!$A:$E,'1 b felosztások'!L$2,0)*-$AB166,0)</f>
        <v>0</v>
      </c>
      <c r="X166" s="166">
        <f>IFERROR(VLOOKUP($M166,'1 b felosztások'!$A:$E,'1 b felosztások'!M$2,0)*-$AB166,0)</f>
        <v>0</v>
      </c>
      <c r="Y166" s="166">
        <f>IFERROR(VLOOKUP($M166,'1 b felosztások'!$A:$E,'1 b felosztások'!N$2,0)*-$AB166,0)</f>
        <v>0</v>
      </c>
      <c r="Z166" s="166">
        <f>IFERROR(VLOOKUP($M166,'1 b felosztások'!$A:$E,'1 b felosztások'!O$2,0)*-$AB166,0)</f>
        <v>0</v>
      </c>
      <c r="AA166" s="166">
        <f>IFERROR(VLOOKUP($M166,'1 b felosztások'!$A:$E,'1 b felosztások'!D$2,0)*-$AB166,0)</f>
        <v>0</v>
      </c>
      <c r="AB166" s="166">
        <f>-AB165</f>
        <v>0</v>
      </c>
      <c r="AC166" s="166"/>
      <c r="AD166" s="166"/>
      <c r="AE166" s="166"/>
      <c r="AF166" s="166"/>
      <c r="AG166" s="166"/>
      <c r="AH166" s="166"/>
      <c r="AI166" s="166"/>
      <c r="AJ166" s="166"/>
      <c r="AK166" s="166"/>
      <c r="AL166" s="166"/>
      <c r="AM166" s="166"/>
      <c r="AN166" s="191"/>
      <c r="AO166" s="191"/>
      <c r="AP166" s="191"/>
      <c r="AQ166" s="191"/>
      <c r="AR166" s="191"/>
      <c r="AS166" s="191"/>
      <c r="AT166" s="191"/>
      <c r="AU166" s="191"/>
      <c r="AV166" s="191"/>
      <c r="AW166" s="191"/>
      <c r="AX166" s="191"/>
      <c r="AY166" s="191"/>
      <c r="AZ166" s="186"/>
      <c r="BA166" s="186"/>
      <c r="BB166" s="186"/>
      <c r="BC166" s="186"/>
      <c r="BD166" s="186"/>
      <c r="BE166" s="186"/>
      <c r="BF166" s="186"/>
      <c r="BG166" s="186"/>
      <c r="BH166" s="186"/>
      <c r="BI166" s="183">
        <f t="shared" si="79"/>
        <v>0</v>
      </c>
      <c r="BJ166" s="183">
        <f t="shared" si="80"/>
        <v>0</v>
      </c>
      <c r="BK166" s="183">
        <f t="shared" si="81"/>
        <v>0</v>
      </c>
      <c r="BL166" s="183">
        <f t="shared" si="82"/>
        <v>0</v>
      </c>
    </row>
    <row r="167" spans="1:64" s="187" customFormat="1" hidden="1" outlineLevel="2" x14ac:dyDescent="0.3">
      <c r="A167" s="185"/>
      <c r="B167" s="185" t="s">
        <v>2675</v>
      </c>
      <c r="C167" s="185" t="s">
        <v>82</v>
      </c>
      <c r="D167" s="185" t="s">
        <v>3471</v>
      </c>
      <c r="E167" s="185" t="s">
        <v>2762</v>
      </c>
      <c r="F167" s="185" t="s">
        <v>82</v>
      </c>
      <c r="G167" s="185">
        <v>349</v>
      </c>
      <c r="H167" s="185" t="str">
        <f>IFERROR(VLOOKUP(G167,'2022. tervsor'!C:D,2,0)," ")</f>
        <v>T Átoktatásra támogatás ÁTVÉTEL</v>
      </c>
      <c r="I167" s="166">
        <v>0</v>
      </c>
      <c r="J167" s="181">
        <f t="shared" si="72"/>
        <v>0</v>
      </c>
      <c r="K167" s="166">
        <f t="shared" si="77"/>
        <v>0</v>
      </c>
      <c r="L167" s="166">
        <f t="shared" si="73"/>
        <v>0</v>
      </c>
      <c r="M167" s="190"/>
      <c r="N167" s="166">
        <f>IFERROR(VLOOKUP($M167,'1 b felosztások'!$A:$E,'1 b felosztások'!C$2,0)*-SUM(AA167),0)</f>
        <v>0</v>
      </c>
      <c r="O167" s="166">
        <f>IFERROR(VLOOKUP($M167,'1 b felosztások'!$A:$E,'1 b felosztások'!D$2,0)*-SUM(AB167),0)</f>
        <v>0</v>
      </c>
      <c r="P167" s="166">
        <f>IFERROR(VLOOKUP($M167,'1 b felosztások'!$A:$E,'1 b felosztások'!E$2,0)*-SUM(AC167),0)</f>
        <v>0</v>
      </c>
      <c r="Q167" s="166">
        <f>IFERROR(VLOOKUP($M167,'1 b felosztások'!$A:$E,'1 b felosztások'!F$2,0)*-SUM(AD167),0)</f>
        <v>0</v>
      </c>
      <c r="R167" s="166">
        <f>IFERROR(VLOOKUP($M167,'1 b felosztások'!$A:$E,'1 b felosztások'!G$2,0)*-SUM(AE167),0)</f>
        <v>0</v>
      </c>
      <c r="S167" s="166">
        <f>IFERROR(VLOOKUP($M167,'1 b felosztások'!$A:$E,'1 b felosztások'!H$2,0)*-SUM(AF167),0)</f>
        <v>0</v>
      </c>
      <c r="T167" s="166">
        <f>IFERROR(VLOOKUP($M167,'1 b felosztások'!$A:$E,'1 b felosztások'!I$2,0)*-SUM(AG167),0)</f>
        <v>0</v>
      </c>
      <c r="U167" s="166">
        <f>IFERROR(VLOOKUP($M167,'1 b felosztások'!$A:$E,'1 b felosztások'!J$2,0)*-SUM(AH167),0)</f>
        <v>0</v>
      </c>
      <c r="V167" s="166">
        <f>IFERROR(VLOOKUP($M167,'1 b felosztások'!$A:$E,'1 b felosztások'!K$2,0)*-SUM(AI167),0)</f>
        <v>0</v>
      </c>
      <c r="W167" s="166">
        <f>IFERROR(VLOOKUP($M167,'1 b felosztások'!$A:$E,'1 b felosztások'!L$2,0)*-SUM(AJ167),0)</f>
        <v>0</v>
      </c>
      <c r="X167" s="166">
        <f>IFERROR(VLOOKUP($M167,'1 b felosztások'!$A:$E,'1 b felosztások'!M$2,0)*-SUM(AK167),0)</f>
        <v>0</v>
      </c>
      <c r="Y167" s="166">
        <f>IFERROR(VLOOKUP($M167,'1 b felosztások'!$A:$E,'1 b felosztások'!N$2,0)*-SUM(AL167),0)</f>
        <v>0</v>
      </c>
      <c r="Z167" s="166">
        <f>IFERROR(VLOOKUP($M167,'1 b felosztások'!$A:$E,'1 b felosztások'!O$2,0)*-SUM(AM167),0)</f>
        <v>0</v>
      </c>
      <c r="AA167" s="166">
        <f>IFERROR(VLOOKUP($M167,'1 b felosztások'!$A:$E,'1 b felosztások'!P$2,0)*-SUM(AN167),0)</f>
        <v>0</v>
      </c>
      <c r="AB167" s="166"/>
      <c r="AC167" s="166"/>
      <c r="AD167" s="166"/>
      <c r="AE167" s="166"/>
      <c r="AF167" s="166"/>
      <c r="AG167" s="166"/>
      <c r="AH167" s="166"/>
      <c r="AI167" s="166"/>
      <c r="AJ167" s="166"/>
      <c r="AK167" s="166"/>
      <c r="AL167" s="166"/>
      <c r="AM167" s="166"/>
      <c r="AN167" s="191"/>
      <c r="AO167" s="191"/>
      <c r="AP167" s="191"/>
      <c r="AQ167" s="191"/>
      <c r="AR167" s="191"/>
      <c r="AS167" s="191"/>
      <c r="AT167" s="191"/>
      <c r="AU167" s="191"/>
      <c r="AV167" s="191"/>
      <c r="AW167" s="191"/>
      <c r="AX167" s="191"/>
      <c r="AY167" s="191"/>
      <c r="AZ167" s="186"/>
      <c r="BA167" s="186"/>
      <c r="BB167" s="186"/>
      <c r="BC167" s="186"/>
      <c r="BD167" s="186"/>
      <c r="BE167" s="186"/>
      <c r="BF167" s="186"/>
      <c r="BG167" s="186"/>
      <c r="BH167" s="186"/>
      <c r="BI167" s="183">
        <f t="shared" si="79"/>
        <v>0</v>
      </c>
      <c r="BJ167" s="183">
        <f t="shared" si="80"/>
        <v>0</v>
      </c>
      <c r="BK167" s="183">
        <f t="shared" si="81"/>
        <v>0</v>
      </c>
      <c r="BL167" s="183">
        <f t="shared" si="82"/>
        <v>0</v>
      </c>
    </row>
    <row r="168" spans="1:64" s="187" customFormat="1" hidden="1" outlineLevel="1" x14ac:dyDescent="0.3">
      <c r="A168" s="180">
        <v>40</v>
      </c>
      <c r="B168" s="350" t="s">
        <v>3424</v>
      </c>
      <c r="C168" s="180" t="s">
        <v>82</v>
      </c>
      <c r="D168" s="180" t="s">
        <v>2939</v>
      </c>
      <c r="E168" s="350" t="s">
        <v>3424</v>
      </c>
      <c r="F168" s="180" t="s">
        <v>2791</v>
      </c>
      <c r="G168" s="180">
        <v>327</v>
      </c>
      <c r="H168" s="185" t="str">
        <f>IFERROR(VLOOKUP(G168,'2022. tervsor'!C:D,2,0)," ")</f>
        <v>Működési költségvetés támogatása - Stipendium</v>
      </c>
      <c r="I168" s="181">
        <f>IFERROR(VLOOKUP($A168,'Bevétel 2a SZH 2022'!$B:$M,MATCH($I$1,'Bevétel 2a SZH 2022'!$B$1:$M$1,0),0), )</f>
        <v>0</v>
      </c>
      <c r="J168" s="181">
        <f t="shared" si="72"/>
        <v>0</v>
      </c>
      <c r="K168" s="166">
        <f t="shared" si="77"/>
        <v>0</v>
      </c>
      <c r="L168" s="166">
        <f t="shared" si="73"/>
        <v>0</v>
      </c>
      <c r="M168" s="193"/>
      <c r="N168" s="166">
        <f>IFERROR(VLOOKUP($M168,'1 b felosztások'!$A:$E,'1 b felosztások'!C$2,0)*$I168,0)</f>
        <v>0</v>
      </c>
      <c r="O168" s="166">
        <f>IFERROR(VLOOKUP($M168,'1 b felosztások'!$A:$E,'1 b felosztások'!D$2,0)*$I168,0)</f>
        <v>0</v>
      </c>
      <c r="P168" s="166">
        <f>IFERROR(VLOOKUP($M168,'1 b felosztások'!$A:$E,'1 b felosztások'!E$2,0)*$I168,0)</f>
        <v>0</v>
      </c>
      <c r="Q168" s="166">
        <f>IFERROR(VLOOKUP($M168,'1 b felosztások'!$A:$E,'1 b felosztások'!F$2,0)*$I168,0)</f>
        <v>0</v>
      </c>
      <c r="R168" s="166">
        <f>IFERROR(VLOOKUP($M168,'1 b felosztások'!$A:$E,'1 b felosztások'!G$2,0)*$I168,0)</f>
        <v>0</v>
      </c>
      <c r="S168" s="166">
        <f>IFERROR(VLOOKUP($M168,'1 b felosztások'!$A:$E,'1 b felosztások'!H$2,0)*$I168,0)</f>
        <v>0</v>
      </c>
      <c r="T168" s="166">
        <f>IFERROR(VLOOKUP($M168,'1 b felosztások'!$A:$E,'1 b felosztások'!I$2,0)*$I168,0)</f>
        <v>0</v>
      </c>
      <c r="U168" s="166">
        <f>IFERROR(VLOOKUP($M168,'1 b felosztások'!$A:$E,'1 b felosztások'!J$2,0)*$I168,0)</f>
        <v>0</v>
      </c>
      <c r="V168" s="166">
        <f>IFERROR(VLOOKUP($M168,'1 b felosztások'!$A:$E,'1 b felosztások'!K$2,0)*$I168,0)</f>
        <v>0</v>
      </c>
      <c r="W168" s="166">
        <f>IFERROR(VLOOKUP($M168,'1 b felosztások'!$A:$E,'1 b felosztások'!L$2,0)*$I168,0)</f>
        <v>0</v>
      </c>
      <c r="X168" s="166">
        <f>IFERROR(VLOOKUP($M168,'1 b felosztások'!$A:$E,'1 b felosztások'!M$2,0)*$I168,0)</f>
        <v>0</v>
      </c>
      <c r="Y168" s="166">
        <f>IFERROR(VLOOKUP($M168,'1 b felosztások'!$A:$E,'1 b felosztások'!N$2,0)*$I168,0)</f>
        <v>0</v>
      </c>
      <c r="Z168" s="166">
        <f>IFERROR(VLOOKUP($M168,'1 b felosztások'!$A:$E,'1 b felosztások'!C$2,0)*$I168,0)</f>
        <v>0</v>
      </c>
      <c r="AA168" s="166">
        <f>IFERROR(VLOOKUP($M168,'1 b felosztások'!$A:$E,'1 b felosztások'!D$2,0)*$I168,0)</f>
        <v>0</v>
      </c>
      <c r="AB168" s="166">
        <f>IFERROR(VLOOKUP($M168,'1 b felosztások'!$A:$E,'1 b felosztások'!E$2,0)*$I168,0)</f>
        <v>0</v>
      </c>
      <c r="AC168" s="181"/>
      <c r="AD168" s="181"/>
      <c r="AE168" s="181"/>
      <c r="AF168" s="181"/>
      <c r="AG168" s="181"/>
      <c r="AH168" s="181"/>
      <c r="AI168" s="181"/>
      <c r="AJ168" s="181"/>
      <c r="AK168" s="181"/>
      <c r="AL168" s="181"/>
      <c r="AM168" s="181"/>
      <c r="AN168" s="166"/>
      <c r="AO168" s="166"/>
      <c r="AP168" s="166"/>
      <c r="AQ168" s="166"/>
      <c r="AR168" s="166"/>
      <c r="AS168" s="166"/>
      <c r="AT168" s="166"/>
      <c r="AU168" s="166"/>
      <c r="AV168" s="166"/>
      <c r="AW168" s="166"/>
      <c r="AX168" s="166"/>
      <c r="AY168" s="166"/>
      <c r="AZ168" s="186"/>
      <c r="BA168" s="186"/>
      <c r="BB168" s="186"/>
      <c r="BC168" s="186"/>
      <c r="BD168" s="186">
        <f>-I168</f>
        <v>0</v>
      </c>
      <c r="BE168" s="186">
        <f>-J168</f>
        <v>0</v>
      </c>
      <c r="BF168" s="186"/>
      <c r="BG168" s="186"/>
      <c r="BH168" s="186"/>
      <c r="BI168" s="183">
        <f t="shared" si="79"/>
        <v>0</v>
      </c>
      <c r="BJ168" s="183">
        <f t="shared" si="80"/>
        <v>0</v>
      </c>
      <c r="BK168" s="183">
        <f t="shared" si="81"/>
        <v>0</v>
      </c>
      <c r="BL168" s="183">
        <f t="shared" si="82"/>
        <v>0</v>
      </c>
    </row>
    <row r="169" spans="1:64" s="187" customFormat="1" hidden="1" outlineLevel="1" collapsed="1" x14ac:dyDescent="0.3">
      <c r="A169" s="180">
        <v>41</v>
      </c>
      <c r="B169" s="180" t="s">
        <v>42</v>
      </c>
      <c r="C169" s="180" t="s">
        <v>82</v>
      </c>
      <c r="D169" s="180" t="s">
        <v>2940</v>
      </c>
      <c r="E169" s="350" t="s">
        <v>43</v>
      </c>
      <c r="F169" s="180"/>
      <c r="G169" s="185"/>
      <c r="H169" s="180" t="s">
        <v>2707</v>
      </c>
      <c r="I169" s="181">
        <f>IFERROR(VLOOKUP($A169,'Bevétel 2a SZH 2022'!$B:$M,MATCH($I$1,'Bevétel 2a SZH 2022'!$B$1:$M$1,0),0), )</f>
        <v>-28818049.492268525</v>
      </c>
      <c r="J169" s="181">
        <f t="shared" si="72"/>
        <v>-28818049.553260915</v>
      </c>
      <c r="K169" s="166">
        <f t="shared" si="77"/>
        <v>6.0992389917373657E-2</v>
      </c>
      <c r="L169" s="166">
        <f t="shared" si="73"/>
        <v>-6.0992389917373657E-2</v>
      </c>
      <c r="M169" s="190"/>
      <c r="N169" s="181">
        <f>SUM(N170:N171)</f>
        <v>-7241297.3602920836</v>
      </c>
      <c r="O169" s="181">
        <f>SUM(O170:O171)</f>
        <v>-1060010.0893787877</v>
      </c>
      <c r="P169" s="181">
        <f t="shared" ref="P169:Y169" si="83">SUM(P170:P171)</f>
        <v>-198548.92406910792</v>
      </c>
      <c r="Q169" s="181">
        <f t="shared" si="83"/>
        <v>-1661908.9801940867</v>
      </c>
      <c r="R169" s="181">
        <f t="shared" si="83"/>
        <v>-739407.57128239376</v>
      </c>
      <c r="S169" s="181">
        <f t="shared" si="83"/>
        <v>-1681480.7145079409</v>
      </c>
      <c r="T169" s="181">
        <f t="shared" si="83"/>
        <v>-1719610.7752763517</v>
      </c>
      <c r="U169" s="181">
        <f t="shared" si="83"/>
        <v>-1720878.5468095194</v>
      </c>
      <c r="V169" s="181">
        <f t="shared" si="83"/>
        <v>-1798956.3845206343</v>
      </c>
      <c r="W169" s="181">
        <f t="shared" si="83"/>
        <v>-2598175.1276538922</v>
      </c>
      <c r="X169" s="181">
        <f t="shared" si="83"/>
        <v>-2183579.923984874</v>
      </c>
      <c r="Y169" s="181">
        <f t="shared" si="83"/>
        <v>-4991771.5688953511</v>
      </c>
      <c r="Z169" s="181">
        <f>SUM(Z170:Z171)</f>
        <v>-636841.8921321535</v>
      </c>
      <c r="AA169" s="181">
        <f t="shared" ref="AA169:BH169" si="84">SUM(AA170:AA171)</f>
        <v>-585581.71340908785</v>
      </c>
      <c r="AB169" s="181">
        <f t="shared" ref="AB169:AH169" si="85">SUM(AB170:AB171)</f>
        <v>1.9145351611077787E-2</v>
      </c>
      <c r="AC169" s="181">
        <f t="shared" si="85"/>
        <v>0</v>
      </c>
      <c r="AD169" s="181">
        <f t="shared" si="85"/>
        <v>0</v>
      </c>
      <c r="AE169" s="181">
        <f t="shared" si="85"/>
        <v>0</v>
      </c>
      <c r="AF169" s="181">
        <f t="shared" si="85"/>
        <v>0</v>
      </c>
      <c r="AG169" s="181">
        <f t="shared" si="85"/>
        <v>0</v>
      </c>
      <c r="AH169" s="181">
        <f t="shared" si="85"/>
        <v>0</v>
      </c>
      <c r="AI169" s="181">
        <f t="shared" si="84"/>
        <v>0</v>
      </c>
      <c r="AJ169" s="181">
        <f t="shared" si="84"/>
        <v>0</v>
      </c>
      <c r="AK169" s="181">
        <f t="shared" si="84"/>
        <v>0</v>
      </c>
      <c r="AL169" s="181">
        <f t="shared" si="84"/>
        <v>0</v>
      </c>
      <c r="AM169" s="181">
        <f t="shared" si="84"/>
        <v>0</v>
      </c>
      <c r="AN169" s="181">
        <f t="shared" si="84"/>
        <v>0</v>
      </c>
      <c r="AO169" s="181">
        <f t="shared" si="84"/>
        <v>28818049.492268525</v>
      </c>
      <c r="AP169" s="181">
        <f t="shared" si="84"/>
        <v>0</v>
      </c>
      <c r="AQ169" s="181">
        <f t="shared" si="84"/>
        <v>0</v>
      </c>
      <c r="AR169" s="181">
        <f t="shared" si="84"/>
        <v>0</v>
      </c>
      <c r="AS169" s="181">
        <f t="shared" si="84"/>
        <v>0</v>
      </c>
      <c r="AT169" s="181">
        <f t="shared" si="84"/>
        <v>0</v>
      </c>
      <c r="AU169" s="181">
        <f t="shared" si="84"/>
        <v>0</v>
      </c>
      <c r="AV169" s="181">
        <f t="shared" si="84"/>
        <v>0</v>
      </c>
      <c r="AW169" s="181">
        <f t="shared" si="84"/>
        <v>0</v>
      </c>
      <c r="AX169" s="181">
        <f t="shared" si="84"/>
        <v>0</v>
      </c>
      <c r="AY169" s="181">
        <f t="shared" si="84"/>
        <v>0</v>
      </c>
      <c r="AZ169" s="181">
        <f t="shared" si="84"/>
        <v>0</v>
      </c>
      <c r="BA169" s="181">
        <f t="shared" si="84"/>
        <v>0</v>
      </c>
      <c r="BB169" s="181">
        <f t="shared" si="84"/>
        <v>0</v>
      </c>
      <c r="BC169" s="181">
        <f t="shared" si="84"/>
        <v>0</v>
      </c>
      <c r="BD169" s="181">
        <f t="shared" si="84"/>
        <v>0</v>
      </c>
      <c r="BE169" s="181">
        <f>SUM(BE170:BE171)</f>
        <v>0</v>
      </c>
      <c r="BF169" s="181"/>
      <c r="BG169" s="181"/>
      <c r="BH169" s="181">
        <f t="shared" si="84"/>
        <v>0</v>
      </c>
      <c r="BI169" s="183">
        <f t="shared" si="79"/>
        <v>-28818049.572406266</v>
      </c>
      <c r="BJ169" s="183">
        <f t="shared" si="80"/>
        <v>1.9145351611077787E-2</v>
      </c>
      <c r="BK169" s="183">
        <f t="shared" si="81"/>
        <v>0</v>
      </c>
      <c r="BL169" s="183">
        <f t="shared" si="82"/>
        <v>28818049.492268525</v>
      </c>
    </row>
    <row r="170" spans="1:64" s="187" customFormat="1" hidden="1" outlineLevel="2" x14ac:dyDescent="0.3">
      <c r="A170" s="211" t="s">
        <v>2832</v>
      </c>
      <c r="B170" s="185"/>
      <c r="C170" s="180"/>
      <c r="D170" s="180"/>
      <c r="E170" s="413" t="s">
        <v>2838</v>
      </c>
      <c r="F170" s="180" t="s">
        <v>2791</v>
      </c>
      <c r="G170" s="185">
        <v>332</v>
      </c>
      <c r="H170" s="185" t="str">
        <f>IFERROR(VLOOKUP(G170,'2022. tervsor'!C:D,2,0)," ")</f>
        <v>T ÁKTH ÁTADÁS</v>
      </c>
      <c r="I170" s="166">
        <f>IFERROR(VLOOKUP($A170,'Bevétel 2a SZH 2022'!$B:$M,MATCH($I$1,'Bevétel 2a SZH 2022'!$B$1:$M$1,0),0), )</f>
        <v>-28818049.492268525</v>
      </c>
      <c r="J170" s="181">
        <f t="shared" si="72"/>
        <v>-28818049.553260915</v>
      </c>
      <c r="K170" s="166">
        <f t="shared" ref="K170:K180" si="86">+I170-J170</f>
        <v>6.0992389917373657E-2</v>
      </c>
      <c r="L170" s="166">
        <f t="shared" si="73"/>
        <v>-6.0992389917373657E-2</v>
      </c>
      <c r="M170" s="190"/>
      <c r="N170" s="166">
        <f>-(N144+N145+N146+N156+N147+N154+N155+N168)*0.19</f>
        <v>-7241297.3602920836</v>
      </c>
      <c r="O170" s="166">
        <f>-(O144+O145+O146+O156+O147+O154+O155+O168)*0.19</f>
        <v>-1060010.0893787877</v>
      </c>
      <c r="P170" s="166">
        <f t="shared" ref="P170:Z170" si="87">-(P144+P145+P146+P156+P147+P154+P155+P168)*0.19</f>
        <v>-198548.92406910792</v>
      </c>
      <c r="Q170" s="166">
        <f t="shared" si="87"/>
        <v>-1661908.9801940867</v>
      </c>
      <c r="R170" s="166">
        <f t="shared" si="87"/>
        <v>-739407.57128239376</v>
      </c>
      <c r="S170" s="166">
        <f t="shared" si="87"/>
        <v>-1681480.7145079409</v>
      </c>
      <c r="T170" s="166">
        <f t="shared" si="87"/>
        <v>-1719610.7752763517</v>
      </c>
      <c r="U170" s="166">
        <f t="shared" si="87"/>
        <v>-1720878.5468095194</v>
      </c>
      <c r="V170" s="166">
        <f t="shared" si="87"/>
        <v>-1798956.3845206343</v>
      </c>
      <c r="W170" s="166">
        <f t="shared" si="87"/>
        <v>-2598175.1276538922</v>
      </c>
      <c r="X170" s="166">
        <f t="shared" si="87"/>
        <v>-2183579.923984874</v>
      </c>
      <c r="Y170" s="166">
        <f t="shared" si="87"/>
        <v>-4991771.5688953511</v>
      </c>
      <c r="Z170" s="166">
        <f t="shared" si="87"/>
        <v>-636841.8921321535</v>
      </c>
      <c r="AA170" s="166">
        <f t="shared" ref="AA170:AM170" si="88">-(AA144+AA145+AA146+AA156+AA147+AA154+AA155+AA168)*0.19</f>
        <v>-585581.71340908785</v>
      </c>
      <c r="AB170" s="166">
        <f t="shared" si="88"/>
        <v>1.9145351611077787E-2</v>
      </c>
      <c r="AC170" s="166">
        <f t="shared" si="88"/>
        <v>0</v>
      </c>
      <c r="AD170" s="166">
        <f t="shared" si="88"/>
        <v>0</v>
      </c>
      <c r="AE170" s="166">
        <f t="shared" si="88"/>
        <v>0</v>
      </c>
      <c r="AF170" s="166">
        <f>-(AF144+AF145+AF146+AF156+AF147+AF154+AF155+AF168)*0.19</f>
        <v>0</v>
      </c>
      <c r="AG170" s="166">
        <f>-(AG144+AG145+AG146+AG156+AG147+AG154+AG155+AG168)*0.19</f>
        <v>0</v>
      </c>
      <c r="AH170" s="166">
        <f t="shared" si="88"/>
        <v>0</v>
      </c>
      <c r="AI170" s="166">
        <f t="shared" si="88"/>
        <v>0</v>
      </c>
      <c r="AJ170" s="166">
        <f t="shared" si="88"/>
        <v>0</v>
      </c>
      <c r="AK170" s="166">
        <f t="shared" si="88"/>
        <v>0</v>
      </c>
      <c r="AL170" s="166">
        <f t="shared" si="88"/>
        <v>0</v>
      </c>
      <c r="AM170" s="166">
        <f t="shared" si="88"/>
        <v>0</v>
      </c>
      <c r="AN170" s="166"/>
      <c r="AO170" s="166">
        <f>-I170</f>
        <v>28818049.492268525</v>
      </c>
      <c r="AP170" s="166"/>
      <c r="AQ170" s="166"/>
      <c r="AR170" s="166"/>
      <c r="AS170" s="166"/>
      <c r="AT170" s="166"/>
      <c r="AU170" s="166"/>
      <c r="AV170" s="166"/>
      <c r="AW170" s="166"/>
      <c r="AX170" s="166"/>
      <c r="AY170" s="166"/>
      <c r="AZ170" s="186"/>
      <c r="BA170" s="186"/>
      <c r="BB170" s="186"/>
      <c r="BC170" s="186"/>
      <c r="BD170" s="186"/>
      <c r="BE170" s="186"/>
      <c r="BF170" s="186"/>
      <c r="BG170" s="186"/>
      <c r="BH170" s="186"/>
      <c r="BI170" s="186">
        <f t="shared" si="79"/>
        <v>-28818049.572406266</v>
      </c>
      <c r="BJ170" s="186">
        <f t="shared" si="80"/>
        <v>1.9145351611077787E-2</v>
      </c>
      <c r="BK170" s="186">
        <f t="shared" si="81"/>
        <v>0</v>
      </c>
      <c r="BL170" s="186">
        <f t="shared" si="82"/>
        <v>28818049.492268525</v>
      </c>
    </row>
    <row r="171" spans="1:64" s="187" customFormat="1" hidden="1" outlineLevel="2" x14ac:dyDescent="0.3">
      <c r="A171" s="211" t="s">
        <v>2833</v>
      </c>
      <c r="B171" s="180"/>
      <c r="C171" s="180"/>
      <c r="D171" s="180"/>
      <c r="E171" s="413" t="s">
        <v>2839</v>
      </c>
      <c r="F171" s="180" t="s">
        <v>85</v>
      </c>
      <c r="G171" s="185"/>
      <c r="H171" s="185" t="s">
        <v>2679</v>
      </c>
      <c r="I171" s="166">
        <f>IFERROR(VLOOKUP($A171,'Bevétel 2a SZH 2022'!$B:$M,MATCH($I$1,'Bevétel 2a SZH 2022'!$B$1:$M$1,0),0), )</f>
        <v>0</v>
      </c>
      <c r="J171" s="181">
        <f t="shared" si="72"/>
        <v>0</v>
      </c>
      <c r="K171" s="166">
        <f t="shared" si="86"/>
        <v>0</v>
      </c>
      <c r="L171" s="166">
        <f t="shared" si="73"/>
        <v>0</v>
      </c>
      <c r="M171" s="190"/>
      <c r="N171" s="166">
        <v>0</v>
      </c>
      <c r="O171" s="166">
        <v>0</v>
      </c>
      <c r="P171" s="166">
        <v>0</v>
      </c>
      <c r="Q171" s="166">
        <v>0</v>
      </c>
      <c r="R171" s="166">
        <v>0</v>
      </c>
      <c r="S171" s="166">
        <v>0</v>
      </c>
      <c r="T171" s="166">
        <v>0</v>
      </c>
      <c r="U171" s="166">
        <v>0</v>
      </c>
      <c r="V171" s="166">
        <v>0</v>
      </c>
      <c r="W171" s="166">
        <v>0</v>
      </c>
      <c r="X171" s="166">
        <v>0</v>
      </c>
      <c r="Y171" s="166">
        <v>0</v>
      </c>
      <c r="Z171" s="166">
        <v>0</v>
      </c>
      <c r="AA171" s="166">
        <v>0</v>
      </c>
      <c r="AB171" s="166">
        <v>0</v>
      </c>
      <c r="AC171" s="166">
        <v>0</v>
      </c>
      <c r="AD171" s="166">
        <v>0</v>
      </c>
      <c r="AE171" s="166">
        <v>0</v>
      </c>
      <c r="AF171" s="166">
        <v>0</v>
      </c>
      <c r="AG171" s="166">
        <v>0</v>
      </c>
      <c r="AH171" s="166">
        <v>0</v>
      </c>
      <c r="AI171" s="166">
        <v>0</v>
      </c>
      <c r="AJ171" s="166">
        <v>0</v>
      </c>
      <c r="AK171" s="166">
        <v>0</v>
      </c>
      <c r="AL171" s="166">
        <v>0</v>
      </c>
      <c r="AM171" s="166">
        <v>0</v>
      </c>
      <c r="AN171" s="166"/>
      <c r="AO171" s="166"/>
      <c r="AP171" s="166"/>
      <c r="AQ171" s="166"/>
      <c r="AR171" s="166"/>
      <c r="AS171" s="166"/>
      <c r="AT171" s="166"/>
      <c r="AU171" s="166"/>
      <c r="AV171" s="166"/>
      <c r="AW171" s="166"/>
      <c r="AX171" s="166"/>
      <c r="AY171" s="166"/>
      <c r="AZ171" s="186"/>
      <c r="BA171" s="186"/>
      <c r="BB171" s="186"/>
      <c r="BC171" s="186"/>
      <c r="BD171" s="186"/>
      <c r="BE171" s="186"/>
      <c r="BF171" s="186"/>
      <c r="BG171" s="186"/>
      <c r="BH171" s="186"/>
      <c r="BI171" s="186">
        <f t="shared" si="79"/>
        <v>0</v>
      </c>
      <c r="BJ171" s="186">
        <f t="shared" si="80"/>
        <v>0</v>
      </c>
      <c r="BK171" s="186">
        <f t="shared" si="81"/>
        <v>0</v>
      </c>
      <c r="BL171" s="186">
        <f t="shared" si="82"/>
        <v>0</v>
      </c>
    </row>
    <row r="172" spans="1:64" s="187" customFormat="1" hidden="1" outlineLevel="1" collapsed="1" x14ac:dyDescent="0.3">
      <c r="A172" s="180">
        <v>42</v>
      </c>
      <c r="B172" s="350" t="s">
        <v>3489</v>
      </c>
      <c r="C172" s="180" t="s">
        <v>82</v>
      </c>
      <c r="D172" s="180" t="s">
        <v>2941</v>
      </c>
      <c r="E172" s="350" t="s">
        <v>3427</v>
      </c>
      <c r="F172" s="180"/>
      <c r="G172" s="185"/>
      <c r="H172" s="180" t="s">
        <v>2707</v>
      </c>
      <c r="I172" s="181">
        <f>IFERROR(VLOOKUP($A172,'Bevétel 2a SZH 2022'!$B:$M,MATCH($I$1,'Bevétel 2a SZH 2022'!$B$1:$M$1,0),0), )</f>
        <v>-758369.72348075069</v>
      </c>
      <c r="J172" s="181">
        <f t="shared" si="72"/>
        <v>-758369.72508581355</v>
      </c>
      <c r="K172" s="166">
        <f t="shared" si="86"/>
        <v>1.6050628619268537E-3</v>
      </c>
      <c r="L172" s="166">
        <f t="shared" si="73"/>
        <v>-1.6050628619268537E-3</v>
      </c>
      <c r="M172" s="190"/>
      <c r="N172" s="181">
        <f t="shared" ref="N172:BH172" si="89">SUM(N173:N174)</f>
        <v>-190560.45684979166</v>
      </c>
      <c r="O172" s="181">
        <f t="shared" ref="O172:Z172" si="90">SUM(O173:O174)</f>
        <v>-27895.002352073359</v>
      </c>
      <c r="P172" s="181">
        <f t="shared" si="90"/>
        <v>-5224.9716860291564</v>
      </c>
      <c r="Q172" s="181">
        <f t="shared" si="90"/>
        <v>-43734.446847212821</v>
      </c>
      <c r="R172" s="181">
        <f t="shared" si="90"/>
        <v>-19458.093981115624</v>
      </c>
      <c r="S172" s="181">
        <f t="shared" si="90"/>
        <v>-44249.49248705108</v>
      </c>
      <c r="T172" s="181">
        <f t="shared" si="90"/>
        <v>-45252.915138851356</v>
      </c>
      <c r="U172" s="181">
        <f t="shared" si="90"/>
        <v>-45286.277547618934</v>
      </c>
      <c r="V172" s="181">
        <f t="shared" si="90"/>
        <v>-47340.957487385116</v>
      </c>
      <c r="W172" s="181">
        <f t="shared" si="90"/>
        <v>-68373.029675102414</v>
      </c>
      <c r="X172" s="181">
        <f t="shared" si="90"/>
        <v>-57462.629578549313</v>
      </c>
      <c r="Y172" s="181">
        <f t="shared" si="90"/>
        <v>-131362.4097077724</v>
      </c>
      <c r="Z172" s="181">
        <f t="shared" si="90"/>
        <v>-16758.997161372459</v>
      </c>
      <c r="AA172" s="181">
        <f t="shared" si="89"/>
        <v>-15410.045089712839</v>
      </c>
      <c r="AB172" s="181">
        <f t="shared" si="89"/>
        <v>5.0382504239678385E-4</v>
      </c>
      <c r="AC172" s="181">
        <f t="shared" si="89"/>
        <v>0</v>
      </c>
      <c r="AD172" s="181">
        <f t="shared" si="89"/>
        <v>0</v>
      </c>
      <c r="AE172" s="181">
        <f t="shared" si="89"/>
        <v>0</v>
      </c>
      <c r="AF172" s="181">
        <f>SUM(AF173:AF174)</f>
        <v>0</v>
      </c>
      <c r="AG172" s="181">
        <f>SUM(AG173:AG174)</f>
        <v>0</v>
      </c>
      <c r="AH172" s="181">
        <f t="shared" si="89"/>
        <v>0</v>
      </c>
      <c r="AI172" s="181">
        <f t="shared" si="89"/>
        <v>0</v>
      </c>
      <c r="AJ172" s="181">
        <f t="shared" si="89"/>
        <v>0</v>
      </c>
      <c r="AK172" s="181">
        <f t="shared" si="89"/>
        <v>0</v>
      </c>
      <c r="AL172" s="181">
        <f t="shared" si="89"/>
        <v>0</v>
      </c>
      <c r="AM172" s="181">
        <f t="shared" si="89"/>
        <v>0</v>
      </c>
      <c r="AN172" s="181">
        <f t="shared" si="89"/>
        <v>0</v>
      </c>
      <c r="AO172" s="181">
        <f t="shared" si="89"/>
        <v>0</v>
      </c>
      <c r="AP172" s="181">
        <f t="shared" si="89"/>
        <v>0</v>
      </c>
      <c r="AQ172" s="181">
        <f t="shared" si="89"/>
        <v>0</v>
      </c>
      <c r="AR172" s="181">
        <f>SUM(AR173:AR174)</f>
        <v>758369.72348075069</v>
      </c>
      <c r="AS172" s="181">
        <f t="shared" si="89"/>
        <v>0</v>
      </c>
      <c r="AT172" s="181">
        <f t="shared" si="89"/>
        <v>0</v>
      </c>
      <c r="AU172" s="181">
        <f t="shared" si="89"/>
        <v>0</v>
      </c>
      <c r="AV172" s="181">
        <f t="shared" si="89"/>
        <v>0</v>
      </c>
      <c r="AW172" s="181">
        <f t="shared" si="89"/>
        <v>0</v>
      </c>
      <c r="AX172" s="181">
        <f t="shared" si="89"/>
        <v>0</v>
      </c>
      <c r="AY172" s="181">
        <f t="shared" si="89"/>
        <v>0</v>
      </c>
      <c r="AZ172" s="181">
        <f t="shared" si="89"/>
        <v>0</v>
      </c>
      <c r="BA172" s="181">
        <f t="shared" si="89"/>
        <v>0</v>
      </c>
      <c r="BB172" s="181">
        <f t="shared" si="89"/>
        <v>0</v>
      </c>
      <c r="BC172" s="181">
        <f t="shared" si="89"/>
        <v>0</v>
      </c>
      <c r="BD172" s="181">
        <f t="shared" si="89"/>
        <v>0</v>
      </c>
      <c r="BE172" s="181">
        <f>SUM(BE173:BE174)</f>
        <v>0</v>
      </c>
      <c r="BF172" s="181"/>
      <c r="BG172" s="181"/>
      <c r="BH172" s="181">
        <f t="shared" si="89"/>
        <v>0</v>
      </c>
      <c r="BI172" s="183">
        <f t="shared" si="79"/>
        <v>-758369.72558963858</v>
      </c>
      <c r="BJ172" s="183">
        <f t="shared" si="80"/>
        <v>5.0382504239678385E-4</v>
      </c>
      <c r="BK172" s="183">
        <f t="shared" si="81"/>
        <v>0</v>
      </c>
      <c r="BL172" s="183">
        <f t="shared" si="82"/>
        <v>758369.72348075069</v>
      </c>
    </row>
    <row r="173" spans="1:64" s="187" customFormat="1" hidden="1" outlineLevel="2" x14ac:dyDescent="0.3">
      <c r="A173" s="211" t="s">
        <v>2834</v>
      </c>
      <c r="B173" s="180"/>
      <c r="C173" s="180"/>
      <c r="D173" s="180"/>
      <c r="E173" s="413" t="s">
        <v>3425</v>
      </c>
      <c r="F173" s="180" t="s">
        <v>2791</v>
      </c>
      <c r="G173" s="185">
        <v>342</v>
      </c>
      <c r="H173" s="185" t="str">
        <f>IFERROR(VLOOKUP(G173,'2022. tervsor'!C:D,2,0)," ")</f>
        <v>T Kiválósági Alap</v>
      </c>
      <c r="I173" s="166">
        <f>IFERROR(VLOOKUP($A173,'Bevétel 2a SZH 2022'!$B:$M,MATCH($I$1,'Bevétel 2a SZH 2022'!$B$1:$M$1,0),0), )</f>
        <v>-758369.72348075069</v>
      </c>
      <c r="J173" s="181">
        <f t="shared" si="72"/>
        <v>-758369.72508581355</v>
      </c>
      <c r="K173" s="166">
        <f t="shared" si="86"/>
        <v>1.6050628619268537E-3</v>
      </c>
      <c r="L173" s="166">
        <f t="shared" si="73"/>
        <v>-1.6050628619268537E-3</v>
      </c>
      <c r="M173" s="190"/>
      <c r="N173" s="166">
        <f>-(N144+N145+N146+N155+N157+N156+N147+N168)*0.005</f>
        <v>-190560.45684979166</v>
      </c>
      <c r="O173" s="166">
        <f>-(O144+O145+O146+O155+O157+O156+O147+O168)*0.005</f>
        <v>-27895.002352073359</v>
      </c>
      <c r="P173" s="166">
        <f t="shared" ref="P173:Z173" si="91">-(P144+P145+P146+P155+P157+P156+P147+P168)*0.005</f>
        <v>-5224.9716860291564</v>
      </c>
      <c r="Q173" s="166">
        <f t="shared" si="91"/>
        <v>-43734.446847212821</v>
      </c>
      <c r="R173" s="166">
        <f t="shared" si="91"/>
        <v>-19458.093981115624</v>
      </c>
      <c r="S173" s="166">
        <f t="shared" si="91"/>
        <v>-44249.49248705108</v>
      </c>
      <c r="T173" s="166">
        <f t="shared" si="91"/>
        <v>-45252.915138851356</v>
      </c>
      <c r="U173" s="166">
        <f t="shared" si="91"/>
        <v>-45286.277547618934</v>
      </c>
      <c r="V173" s="166">
        <f t="shared" si="91"/>
        <v>-47340.957487385116</v>
      </c>
      <c r="W173" s="166">
        <f t="shared" si="91"/>
        <v>-68373.029675102414</v>
      </c>
      <c r="X173" s="166">
        <f t="shared" si="91"/>
        <v>-57462.629578549313</v>
      </c>
      <c r="Y173" s="166">
        <f t="shared" si="91"/>
        <v>-131362.4097077724</v>
      </c>
      <c r="Z173" s="166">
        <f t="shared" si="91"/>
        <v>-16758.997161372459</v>
      </c>
      <c r="AA173" s="166">
        <f t="shared" ref="AA173:AM173" si="92">-(AA144+AA145+AA146+AA155+AA157+AA156+AA147+AA168)*0.005</f>
        <v>-15410.045089712839</v>
      </c>
      <c r="AB173" s="166">
        <f t="shared" si="92"/>
        <v>5.0382504239678385E-4</v>
      </c>
      <c r="AC173" s="166">
        <f t="shared" si="92"/>
        <v>0</v>
      </c>
      <c r="AD173" s="166">
        <f t="shared" si="92"/>
        <v>0</v>
      </c>
      <c r="AE173" s="166">
        <f t="shared" si="92"/>
        <v>0</v>
      </c>
      <c r="AF173" s="166">
        <f>-(AF144+AF145+AF146+AF155+AF157+AF156+AF147+AF168)*0.005</f>
        <v>0</v>
      </c>
      <c r="AG173" s="166">
        <f>-(AG144+AG145+AG146+AG155+AG157+AG156+AG147+AG168)*0.005</f>
        <v>0</v>
      </c>
      <c r="AH173" s="166">
        <f t="shared" si="92"/>
        <v>0</v>
      </c>
      <c r="AI173" s="166">
        <f t="shared" si="92"/>
        <v>0</v>
      </c>
      <c r="AJ173" s="166">
        <f t="shared" si="92"/>
        <v>0</v>
      </c>
      <c r="AK173" s="166">
        <f t="shared" si="92"/>
        <v>0</v>
      </c>
      <c r="AL173" s="166">
        <f t="shared" si="92"/>
        <v>0</v>
      </c>
      <c r="AM173" s="166">
        <f t="shared" si="92"/>
        <v>0</v>
      </c>
      <c r="AN173" s="166"/>
      <c r="AO173" s="166"/>
      <c r="AP173" s="166"/>
      <c r="AQ173" s="166"/>
      <c r="AR173" s="166">
        <f>-I173</f>
        <v>758369.72348075069</v>
      </c>
      <c r="AS173" s="166"/>
      <c r="AT173" s="166"/>
      <c r="AU173" s="166"/>
      <c r="AV173" s="166"/>
      <c r="AW173" s="166"/>
      <c r="AX173" s="166"/>
      <c r="AY173" s="166"/>
      <c r="AZ173" s="186"/>
      <c r="BA173" s="186"/>
      <c r="BB173" s="186"/>
      <c r="BC173" s="186"/>
      <c r="BD173" s="186"/>
      <c r="BE173" s="186"/>
      <c r="BF173" s="186"/>
      <c r="BG173" s="186"/>
      <c r="BH173" s="186"/>
      <c r="BI173" s="186">
        <f t="shared" si="79"/>
        <v>-758369.72558963858</v>
      </c>
      <c r="BJ173" s="186">
        <f t="shared" si="80"/>
        <v>5.0382504239678385E-4</v>
      </c>
      <c r="BK173" s="186">
        <f t="shared" si="81"/>
        <v>0</v>
      </c>
      <c r="BL173" s="186">
        <f t="shared" si="82"/>
        <v>758369.72348075069</v>
      </c>
    </row>
    <row r="174" spans="1:64" s="187" customFormat="1" hidden="1" outlineLevel="2" x14ac:dyDescent="0.3">
      <c r="A174" s="211" t="s">
        <v>2835</v>
      </c>
      <c r="B174" s="180"/>
      <c r="C174" s="180"/>
      <c r="D174" s="180"/>
      <c r="E174" s="413" t="s">
        <v>3426</v>
      </c>
      <c r="F174" s="180" t="s">
        <v>85</v>
      </c>
      <c r="G174" s="185"/>
      <c r="H174" s="185" t="s">
        <v>2679</v>
      </c>
      <c r="I174" s="166">
        <f>IFERROR(VLOOKUP($A174,'Bevétel 2a SZH 2022'!$B:$M,MATCH($I$1,'Bevétel 2a SZH 2022'!$B$1:$M$1,0),0), )</f>
        <v>0</v>
      </c>
      <c r="J174" s="181">
        <f t="shared" si="72"/>
        <v>0</v>
      </c>
      <c r="K174" s="166">
        <f t="shared" si="86"/>
        <v>0</v>
      </c>
      <c r="L174" s="166">
        <f t="shared" si="73"/>
        <v>0</v>
      </c>
      <c r="M174" s="190"/>
      <c r="N174" s="166">
        <v>0</v>
      </c>
      <c r="O174" s="166">
        <v>0</v>
      </c>
      <c r="P174" s="166">
        <v>0</v>
      </c>
      <c r="Q174" s="166">
        <v>0</v>
      </c>
      <c r="R174" s="166">
        <v>0</v>
      </c>
      <c r="S174" s="166">
        <v>0</v>
      </c>
      <c r="T174" s="166">
        <v>0</v>
      </c>
      <c r="U174" s="166">
        <v>0</v>
      </c>
      <c r="V174" s="166">
        <v>0</v>
      </c>
      <c r="W174" s="166">
        <v>0</v>
      </c>
      <c r="X174" s="166">
        <v>0</v>
      </c>
      <c r="Y174" s="166">
        <v>0</v>
      </c>
      <c r="Z174" s="166">
        <v>0</v>
      </c>
      <c r="AA174" s="166">
        <v>0</v>
      </c>
      <c r="AB174" s="166">
        <v>0</v>
      </c>
      <c r="AC174" s="166">
        <v>0</v>
      </c>
      <c r="AD174" s="166">
        <v>0</v>
      </c>
      <c r="AE174" s="166">
        <v>0</v>
      </c>
      <c r="AF174" s="166">
        <v>0</v>
      </c>
      <c r="AG174" s="166">
        <v>0</v>
      </c>
      <c r="AH174" s="166">
        <v>0</v>
      </c>
      <c r="AI174" s="166">
        <v>0</v>
      </c>
      <c r="AJ174" s="166">
        <v>0</v>
      </c>
      <c r="AK174" s="166">
        <v>0</v>
      </c>
      <c r="AL174" s="166">
        <v>0</v>
      </c>
      <c r="AM174" s="166">
        <v>0</v>
      </c>
      <c r="AN174" s="166"/>
      <c r="AO174" s="166"/>
      <c r="AP174" s="166"/>
      <c r="AQ174" s="166"/>
      <c r="AR174" s="166"/>
      <c r="AS174" s="166"/>
      <c r="AT174" s="166"/>
      <c r="AU174" s="166"/>
      <c r="AV174" s="166"/>
      <c r="AW174" s="166"/>
      <c r="AX174" s="166"/>
      <c r="AY174" s="166"/>
      <c r="AZ174" s="186"/>
      <c r="BA174" s="186"/>
      <c r="BB174" s="186"/>
      <c r="BC174" s="186"/>
      <c r="BD174" s="186"/>
      <c r="BE174" s="186"/>
      <c r="BF174" s="186"/>
      <c r="BG174" s="186"/>
      <c r="BH174" s="186"/>
      <c r="BI174" s="186">
        <f t="shared" si="79"/>
        <v>0</v>
      </c>
      <c r="BJ174" s="186">
        <f t="shared" si="80"/>
        <v>0</v>
      </c>
      <c r="BK174" s="186">
        <f t="shared" si="81"/>
        <v>0</v>
      </c>
      <c r="BL174" s="186">
        <f t="shared" si="82"/>
        <v>0</v>
      </c>
    </row>
    <row r="175" spans="1:64" s="187" customFormat="1" hidden="1" outlineLevel="1" collapsed="1" x14ac:dyDescent="0.3">
      <c r="A175" s="180">
        <v>43</v>
      </c>
      <c r="B175" s="180" t="s">
        <v>44</v>
      </c>
      <c r="C175" s="180" t="s">
        <v>82</v>
      </c>
      <c r="D175" s="180" t="s">
        <v>2943</v>
      </c>
      <c r="E175" s="180" t="s">
        <v>2852</v>
      </c>
      <c r="F175" s="180"/>
      <c r="G175" s="185"/>
      <c r="H175" s="180" t="s">
        <v>2707</v>
      </c>
      <c r="I175" s="181">
        <f>IFERROR(VLOOKUP($A175,'Bevétel 2a SZH 2022'!$B:$M,MATCH($I$1,'Bevétel 2a SZH 2022'!$B$1:$M$1,0),0), )</f>
        <v>-2275109.170442252</v>
      </c>
      <c r="J175" s="181">
        <f t="shared" si="72"/>
        <v>-4.8151882365345955E-3</v>
      </c>
      <c r="K175" s="166">
        <f t="shared" si="86"/>
        <v>-2275109.1656270637</v>
      </c>
      <c r="L175" s="166">
        <f t="shared" si="73"/>
        <v>-4.8151882365345955E-3</v>
      </c>
      <c r="M175" s="190"/>
      <c r="N175" s="181">
        <f>SUM(N176:N177)</f>
        <v>-571681.37054937496</v>
      </c>
      <c r="O175" s="181">
        <f t="shared" ref="O175:Z175" si="93">SUM(O176:O177)</f>
        <v>-83685.007056220071</v>
      </c>
      <c r="P175" s="181">
        <f t="shared" si="93"/>
        <v>-15674.915058087467</v>
      </c>
      <c r="Q175" s="181">
        <f t="shared" si="93"/>
        <v>-131203.34054163843</v>
      </c>
      <c r="R175" s="181">
        <f t="shared" si="93"/>
        <v>-58374.281943346876</v>
      </c>
      <c r="S175" s="181">
        <f t="shared" si="93"/>
        <v>-132748.47746115323</v>
      </c>
      <c r="T175" s="181">
        <f t="shared" si="93"/>
        <v>-135758.74541655407</v>
      </c>
      <c r="U175" s="181">
        <f t="shared" si="93"/>
        <v>-135858.83264285678</v>
      </c>
      <c r="V175" s="181">
        <f t="shared" si="93"/>
        <v>-142022.87246215533</v>
      </c>
      <c r="W175" s="181">
        <f t="shared" si="93"/>
        <v>-205119.08902530724</v>
      </c>
      <c r="X175" s="181">
        <f t="shared" si="93"/>
        <v>-172387.88873564792</v>
      </c>
      <c r="Y175" s="181">
        <f t="shared" si="93"/>
        <v>-394087.22912331717</v>
      </c>
      <c r="Z175" s="181">
        <f t="shared" si="93"/>
        <v>-50276.991484117381</v>
      </c>
      <c r="AA175" s="181">
        <f t="shared" ref="AA175:AI175" si="94">SUM(AA176:AA177)</f>
        <v>-46230.135269138518</v>
      </c>
      <c r="AB175" s="181">
        <f t="shared" si="94"/>
        <v>1.5114751271903515E-3</v>
      </c>
      <c r="AC175" s="181">
        <f t="shared" si="94"/>
        <v>0</v>
      </c>
      <c r="AD175" s="181">
        <f t="shared" si="94"/>
        <v>0</v>
      </c>
      <c r="AE175" s="181">
        <f t="shared" si="94"/>
        <v>0</v>
      </c>
      <c r="AF175" s="181">
        <f t="shared" si="94"/>
        <v>2275109.170442252</v>
      </c>
      <c r="AG175" s="181">
        <f t="shared" si="94"/>
        <v>0</v>
      </c>
      <c r="AH175" s="181">
        <f t="shared" si="94"/>
        <v>0</v>
      </c>
      <c r="AI175" s="181">
        <f t="shared" si="94"/>
        <v>0</v>
      </c>
      <c r="AJ175" s="181">
        <f t="shared" ref="AJ175:BH175" si="95">SUM(AJ176:AJ177)</f>
        <v>0</v>
      </c>
      <c r="AK175" s="181">
        <f t="shared" si="95"/>
        <v>0</v>
      </c>
      <c r="AL175" s="181">
        <f t="shared" si="95"/>
        <v>0</v>
      </c>
      <c r="AM175" s="181">
        <f t="shared" si="95"/>
        <v>0</v>
      </c>
      <c r="AN175" s="181">
        <f t="shared" si="95"/>
        <v>0</v>
      </c>
      <c r="AO175" s="181">
        <f t="shared" si="95"/>
        <v>0</v>
      </c>
      <c r="AP175" s="181">
        <f t="shared" si="95"/>
        <v>0</v>
      </c>
      <c r="AQ175" s="181">
        <f t="shared" si="95"/>
        <v>0</v>
      </c>
      <c r="AR175" s="181">
        <f t="shared" si="95"/>
        <v>0</v>
      </c>
      <c r="AS175" s="181">
        <f t="shared" si="95"/>
        <v>0</v>
      </c>
      <c r="AT175" s="181">
        <f t="shared" si="95"/>
        <v>0</v>
      </c>
      <c r="AU175" s="181">
        <f t="shared" si="95"/>
        <v>0</v>
      </c>
      <c r="AV175" s="181">
        <f t="shared" si="95"/>
        <v>0</v>
      </c>
      <c r="AW175" s="181">
        <f t="shared" si="95"/>
        <v>0</v>
      </c>
      <c r="AX175" s="181">
        <f t="shared" si="95"/>
        <v>0</v>
      </c>
      <c r="AY175" s="181">
        <f t="shared" si="95"/>
        <v>0</v>
      </c>
      <c r="AZ175" s="181">
        <f t="shared" si="95"/>
        <v>0</v>
      </c>
      <c r="BA175" s="181">
        <f t="shared" si="95"/>
        <v>0</v>
      </c>
      <c r="BB175" s="181">
        <f t="shared" si="95"/>
        <v>0</v>
      </c>
      <c r="BC175" s="181">
        <f t="shared" si="95"/>
        <v>0</v>
      </c>
      <c r="BD175" s="181">
        <f t="shared" si="95"/>
        <v>0</v>
      </c>
      <c r="BE175" s="181">
        <f>SUM(BE176:BE177)</f>
        <v>0</v>
      </c>
      <c r="BF175" s="181"/>
      <c r="BG175" s="181"/>
      <c r="BH175" s="181">
        <f t="shared" si="95"/>
        <v>0</v>
      </c>
      <c r="BI175" s="183">
        <f t="shared" si="79"/>
        <v>-2275109.1767689153</v>
      </c>
      <c r="BJ175" s="183">
        <f t="shared" si="80"/>
        <v>1.5114751271903515E-3</v>
      </c>
      <c r="BK175" s="183">
        <f t="shared" si="81"/>
        <v>2275109.170442252</v>
      </c>
      <c r="BL175" s="183">
        <f t="shared" si="82"/>
        <v>0</v>
      </c>
    </row>
    <row r="176" spans="1:64" s="187" customFormat="1" hidden="1" outlineLevel="2" x14ac:dyDescent="0.3">
      <c r="A176" s="211" t="s">
        <v>2840</v>
      </c>
      <c r="B176" s="180"/>
      <c r="C176" s="180"/>
      <c r="D176" s="180"/>
      <c r="E176" s="185" t="s">
        <v>2848</v>
      </c>
      <c r="F176" s="180" t="s">
        <v>2791</v>
      </c>
      <c r="G176" s="185">
        <v>341</v>
      </c>
      <c r="H176" s="185" t="str">
        <f>IFERROR(VLOOKUP(G176,'2022. tervsor'!C:D,2,0)," ")</f>
        <v>T Kari kiválósági keret</v>
      </c>
      <c r="I176" s="166">
        <f>IFERROR(VLOOKUP($A176,'Bevétel 2a SZH 2022'!$B:$M,MATCH($I$1,'Bevétel 2a SZH 2022'!$B$1:$M$1,0),0), )</f>
        <v>-2275109.170442252</v>
      </c>
      <c r="J176" s="181">
        <f t="shared" si="72"/>
        <v>-4.8151882365345955E-3</v>
      </c>
      <c r="K176" s="166">
        <f t="shared" si="86"/>
        <v>-2275109.1656270637</v>
      </c>
      <c r="L176" s="166">
        <f t="shared" si="73"/>
        <v>-4.8151882365345955E-3</v>
      </c>
      <c r="M176" s="190"/>
      <c r="N176" s="166">
        <f>-(N144+N145+N146+N155+N157+N156+N147+N168)*0.015</f>
        <v>-571681.37054937496</v>
      </c>
      <c r="O176" s="166">
        <f>-(O144+O145+O146+O155+O157+O156+O147+O168)*0.015</f>
        <v>-83685.007056220071</v>
      </c>
      <c r="P176" s="166">
        <f t="shared" ref="P176:Y176" si="96">-(P144+P145+P146+P155+P157+P156+P147+P168)*0.015</f>
        <v>-15674.915058087467</v>
      </c>
      <c r="Q176" s="166">
        <f t="shared" si="96"/>
        <v>-131203.34054163843</v>
      </c>
      <c r="R176" s="166">
        <f t="shared" si="96"/>
        <v>-58374.281943346876</v>
      </c>
      <c r="S176" s="166">
        <f t="shared" si="96"/>
        <v>-132748.47746115323</v>
      </c>
      <c r="T176" s="166">
        <f t="shared" si="96"/>
        <v>-135758.74541655407</v>
      </c>
      <c r="U176" s="166">
        <f t="shared" si="96"/>
        <v>-135858.83264285678</v>
      </c>
      <c r="V176" s="166">
        <f t="shared" si="96"/>
        <v>-142022.87246215533</v>
      </c>
      <c r="W176" s="166">
        <f t="shared" si="96"/>
        <v>-205119.08902530724</v>
      </c>
      <c r="X176" s="166">
        <f t="shared" si="96"/>
        <v>-172387.88873564792</v>
      </c>
      <c r="Y176" s="166">
        <f t="shared" si="96"/>
        <v>-394087.22912331717</v>
      </c>
      <c r="Z176" s="166">
        <f>-(Z144+Z145+Z146+Z155+Z157+Z156+Z147+Z168)*0.015</f>
        <v>-50276.991484117381</v>
      </c>
      <c r="AA176" s="166">
        <f>-(AA144+AA145+AA146+AA155+AA157+AA156+AA147+AA168)*0.015</f>
        <v>-46230.135269138518</v>
      </c>
      <c r="AB176" s="166">
        <f>-(AB144+AB145+AB146+AB155+AB157+AB156+AB147+AB168)*0.015</f>
        <v>1.5114751271903515E-3</v>
      </c>
      <c r="AC176" s="166"/>
      <c r="AD176" s="166"/>
      <c r="AE176" s="166"/>
      <c r="AF176" s="166">
        <f>-I176</f>
        <v>2275109.170442252</v>
      </c>
      <c r="AG176" s="166"/>
      <c r="AH176" s="166"/>
      <c r="AI176" s="166"/>
      <c r="AJ176" s="166"/>
      <c r="AK176" s="166"/>
      <c r="AL176" s="166"/>
      <c r="AM176" s="166"/>
      <c r="AN176" s="166"/>
      <c r="AO176" s="166"/>
      <c r="AP176" s="166"/>
      <c r="AQ176" s="166"/>
      <c r="AR176" s="166"/>
      <c r="AS176" s="166"/>
      <c r="AT176" s="166"/>
      <c r="AU176" s="166"/>
      <c r="AV176" s="166"/>
      <c r="AW176" s="166"/>
      <c r="AX176" s="166"/>
      <c r="AY176" s="166"/>
      <c r="AZ176" s="186"/>
      <c r="BA176" s="186"/>
      <c r="BB176" s="186"/>
      <c r="BC176" s="186"/>
      <c r="BD176" s="186"/>
      <c r="BE176" s="186"/>
      <c r="BF176" s="186"/>
      <c r="BG176" s="186"/>
      <c r="BH176" s="186"/>
      <c r="BI176" s="186">
        <f t="shared" si="79"/>
        <v>-2275109.1767689153</v>
      </c>
      <c r="BJ176" s="186">
        <f t="shared" si="80"/>
        <v>1.5114751271903515E-3</v>
      </c>
      <c r="BK176" s="186">
        <f t="shared" si="81"/>
        <v>2275109.170442252</v>
      </c>
      <c r="BL176" s="186">
        <f t="shared" si="82"/>
        <v>0</v>
      </c>
    </row>
    <row r="177" spans="1:64" s="187" customFormat="1" hidden="1" outlineLevel="2" x14ac:dyDescent="0.3">
      <c r="A177" s="211" t="s">
        <v>2841</v>
      </c>
      <c r="B177" s="180"/>
      <c r="C177" s="180"/>
      <c r="D177" s="180"/>
      <c r="E177" s="185" t="s">
        <v>2849</v>
      </c>
      <c r="F177" s="180" t="s">
        <v>85</v>
      </c>
      <c r="G177" s="185"/>
      <c r="H177" s="185" t="s">
        <v>2679</v>
      </c>
      <c r="I177" s="166">
        <f>IFERROR(VLOOKUP($A177,'Bevétel 2a SZH 2022'!$B:$M,MATCH($I$1,'Bevétel 2a SZH 2022'!$B$1:$M$1,0),0), )</f>
        <v>0</v>
      </c>
      <c r="J177" s="181">
        <f t="shared" si="72"/>
        <v>0</v>
      </c>
      <c r="K177" s="166">
        <f t="shared" si="86"/>
        <v>0</v>
      </c>
      <c r="L177" s="166">
        <f t="shared" si="73"/>
        <v>0</v>
      </c>
      <c r="M177" s="190"/>
      <c r="N177" s="166">
        <v>0</v>
      </c>
      <c r="O177" s="166">
        <v>0</v>
      </c>
      <c r="P177" s="166">
        <v>0</v>
      </c>
      <c r="Q177" s="166">
        <v>0</v>
      </c>
      <c r="R177" s="166">
        <v>0</v>
      </c>
      <c r="S177" s="166">
        <v>0</v>
      </c>
      <c r="T177" s="166">
        <v>0</v>
      </c>
      <c r="U177" s="166">
        <v>0</v>
      </c>
      <c r="V177" s="166">
        <v>0</v>
      </c>
      <c r="W177" s="166">
        <v>0</v>
      </c>
      <c r="X177" s="166">
        <v>0</v>
      </c>
      <c r="Y177" s="166">
        <v>0</v>
      </c>
      <c r="Z177" s="166">
        <v>0</v>
      </c>
      <c r="AA177" s="166">
        <v>0</v>
      </c>
      <c r="AB177" s="166">
        <v>0</v>
      </c>
      <c r="AC177" s="166"/>
      <c r="AD177" s="166"/>
      <c r="AE177" s="166"/>
      <c r="AF177" s="166">
        <f>I177</f>
        <v>0</v>
      </c>
      <c r="AG177" s="166"/>
      <c r="AH177" s="166"/>
      <c r="AI177" s="166"/>
      <c r="AJ177" s="166"/>
      <c r="AK177" s="166"/>
      <c r="AL177" s="166"/>
      <c r="AM177" s="166"/>
      <c r="AN177" s="166"/>
      <c r="AO177" s="166"/>
      <c r="AP177" s="166"/>
      <c r="AQ177" s="166"/>
      <c r="AR177" s="166"/>
      <c r="AS177" s="166"/>
      <c r="AT177" s="166"/>
      <c r="AU177" s="166"/>
      <c r="AV177" s="166"/>
      <c r="AW177" s="166"/>
      <c r="AX177" s="166"/>
      <c r="AY177" s="166"/>
      <c r="AZ177" s="186"/>
      <c r="BA177" s="186"/>
      <c r="BB177" s="186"/>
      <c r="BC177" s="186"/>
      <c r="BD177" s="186"/>
      <c r="BE177" s="186"/>
      <c r="BF177" s="186"/>
      <c r="BG177" s="186"/>
      <c r="BH177" s="186"/>
      <c r="BI177" s="186">
        <f t="shared" si="79"/>
        <v>0</v>
      </c>
      <c r="BJ177" s="186">
        <f t="shared" si="80"/>
        <v>0</v>
      </c>
      <c r="BK177" s="186">
        <f t="shared" si="81"/>
        <v>0</v>
      </c>
      <c r="BL177" s="186">
        <f t="shared" si="82"/>
        <v>0</v>
      </c>
    </row>
    <row r="178" spans="1:64" s="187" customFormat="1" hidden="1" outlineLevel="1" collapsed="1" x14ac:dyDescent="0.3">
      <c r="A178" s="180">
        <v>44</v>
      </c>
      <c r="B178" s="180" t="s">
        <v>31</v>
      </c>
      <c r="C178" s="180" t="s">
        <v>82</v>
      </c>
      <c r="D178" s="180" t="s">
        <v>3472</v>
      </c>
      <c r="E178" s="207" t="s">
        <v>2853</v>
      </c>
      <c r="F178" s="207"/>
      <c r="G178" s="212"/>
      <c r="H178" s="213" t="s">
        <v>2761</v>
      </c>
      <c r="I178" s="181">
        <f>IFERROR(VLOOKUP($A178,'Bevétel 2a SZH 2022'!$B:$M,MATCH($I$1,'Bevétel 2a SZH 2022'!$B$1:$M$1,0),0), )</f>
        <v>2275109.170442252</v>
      </c>
      <c r="J178" s="181">
        <f t="shared" si="72"/>
        <v>0</v>
      </c>
      <c r="K178" s="166">
        <f t="shared" si="86"/>
        <v>2275109.170442252</v>
      </c>
      <c r="L178" s="166">
        <f t="shared" si="73"/>
        <v>0</v>
      </c>
      <c r="M178" s="182"/>
      <c r="N178" s="181">
        <f>SUM(N179:N180)</f>
        <v>0</v>
      </c>
      <c r="O178" s="181">
        <f t="shared" ref="O178:Z178" si="97">SUM(O179:O180)</f>
        <v>0</v>
      </c>
      <c r="P178" s="181">
        <f t="shared" si="97"/>
        <v>0</v>
      </c>
      <c r="Q178" s="181">
        <f t="shared" si="97"/>
        <v>0</v>
      </c>
      <c r="R178" s="181">
        <f t="shared" si="97"/>
        <v>0</v>
      </c>
      <c r="S178" s="181">
        <f t="shared" si="97"/>
        <v>0</v>
      </c>
      <c r="T178" s="181">
        <f t="shared" si="97"/>
        <v>0</v>
      </c>
      <c r="U178" s="181">
        <f t="shared" si="97"/>
        <v>0</v>
      </c>
      <c r="V178" s="181">
        <f t="shared" si="97"/>
        <v>0</v>
      </c>
      <c r="W178" s="181">
        <f t="shared" si="97"/>
        <v>0</v>
      </c>
      <c r="X178" s="181">
        <f t="shared" si="97"/>
        <v>0</v>
      </c>
      <c r="Y178" s="181">
        <f t="shared" si="97"/>
        <v>0</v>
      </c>
      <c r="Z178" s="181">
        <f t="shared" si="97"/>
        <v>0</v>
      </c>
      <c r="AA178" s="181">
        <f t="shared" ref="AA178:AI178" si="98">SUM(AA179:AA180)</f>
        <v>0</v>
      </c>
      <c r="AB178" s="181">
        <f t="shared" si="98"/>
        <v>0</v>
      </c>
      <c r="AC178" s="181">
        <f t="shared" si="98"/>
        <v>0</v>
      </c>
      <c r="AD178" s="181">
        <f t="shared" si="98"/>
        <v>0</v>
      </c>
      <c r="AE178" s="181">
        <f t="shared" si="98"/>
        <v>0</v>
      </c>
      <c r="AF178" s="181">
        <f t="shared" si="98"/>
        <v>0</v>
      </c>
      <c r="AG178" s="181">
        <f t="shared" si="98"/>
        <v>0</v>
      </c>
      <c r="AH178" s="181">
        <f t="shared" si="98"/>
        <v>0</v>
      </c>
      <c r="AI178" s="181">
        <f t="shared" si="98"/>
        <v>0</v>
      </c>
      <c r="AJ178" s="181">
        <f t="shared" ref="AJ178:BH178" si="99">SUM(AJ179:AJ180)</f>
        <v>0</v>
      </c>
      <c r="AK178" s="181">
        <f t="shared" si="99"/>
        <v>0</v>
      </c>
      <c r="AL178" s="181">
        <f t="shared" si="99"/>
        <v>0</v>
      </c>
      <c r="AM178" s="181">
        <f t="shared" si="99"/>
        <v>0</v>
      </c>
      <c r="AN178" s="181">
        <f t="shared" si="99"/>
        <v>0</v>
      </c>
      <c r="AO178" s="181">
        <f t="shared" si="99"/>
        <v>0</v>
      </c>
      <c r="AP178" s="181">
        <f t="shared" si="99"/>
        <v>0</v>
      </c>
      <c r="AQ178" s="181">
        <f t="shared" si="99"/>
        <v>0</v>
      </c>
      <c r="AR178" s="181">
        <f t="shared" si="99"/>
        <v>0</v>
      </c>
      <c r="AS178" s="181">
        <f t="shared" si="99"/>
        <v>0</v>
      </c>
      <c r="AT178" s="181">
        <f t="shared" si="99"/>
        <v>0</v>
      </c>
      <c r="AU178" s="181">
        <f t="shared" si="99"/>
        <v>0</v>
      </c>
      <c r="AV178" s="181">
        <f t="shared" si="99"/>
        <v>0</v>
      </c>
      <c r="AW178" s="181">
        <f t="shared" si="99"/>
        <v>0</v>
      </c>
      <c r="AX178" s="181">
        <f t="shared" si="99"/>
        <v>0</v>
      </c>
      <c r="AY178" s="181">
        <f t="shared" si="99"/>
        <v>0</v>
      </c>
      <c r="AZ178" s="181">
        <f t="shared" si="99"/>
        <v>0</v>
      </c>
      <c r="BA178" s="181">
        <f t="shared" si="99"/>
        <v>0</v>
      </c>
      <c r="BB178" s="181">
        <f t="shared" si="99"/>
        <v>0</v>
      </c>
      <c r="BC178" s="181">
        <f t="shared" si="99"/>
        <v>0</v>
      </c>
      <c r="BD178" s="181">
        <f t="shared" si="99"/>
        <v>0</v>
      </c>
      <c r="BE178" s="181">
        <f>SUM(BE179:BE180)</f>
        <v>0</v>
      </c>
      <c r="BF178" s="181"/>
      <c r="BG178" s="181"/>
      <c r="BH178" s="181">
        <f t="shared" si="99"/>
        <v>0</v>
      </c>
      <c r="BI178" s="183">
        <f t="shared" si="79"/>
        <v>0</v>
      </c>
      <c r="BJ178" s="183">
        <f t="shared" si="80"/>
        <v>0</v>
      </c>
      <c r="BK178" s="183">
        <f t="shared" si="81"/>
        <v>0</v>
      </c>
      <c r="BL178" s="183">
        <f t="shared" si="82"/>
        <v>0</v>
      </c>
    </row>
    <row r="179" spans="1:64" s="187" customFormat="1" hidden="1" outlineLevel="2" x14ac:dyDescent="0.3">
      <c r="A179" s="211" t="s">
        <v>2842</v>
      </c>
      <c r="B179" s="180"/>
      <c r="C179" s="180"/>
      <c r="D179" s="180"/>
      <c r="E179" s="212" t="s">
        <v>2850</v>
      </c>
      <c r="F179" s="207" t="s">
        <v>2791</v>
      </c>
      <c r="G179" s="212">
        <v>1</v>
      </c>
      <c r="H179" s="213" t="s">
        <v>2761</v>
      </c>
      <c r="I179" s="166">
        <f>IFERROR(VLOOKUP($A179,'Bevétel 2a SZH 2022'!$B:$M,MATCH($I$1,'Bevétel 2a SZH 2022'!$B$1:$M$1,0),0), )</f>
        <v>2275109.170442252</v>
      </c>
      <c r="J179" s="181">
        <f t="shared" si="72"/>
        <v>0</v>
      </c>
      <c r="K179" s="166">
        <f t="shared" si="86"/>
        <v>2275109.170442252</v>
      </c>
      <c r="L179" s="166">
        <f t="shared" si="73"/>
        <v>0</v>
      </c>
      <c r="M179" s="182"/>
      <c r="N179" s="166"/>
      <c r="O179" s="166"/>
      <c r="P179" s="166"/>
      <c r="Q179" s="166"/>
      <c r="R179" s="166"/>
      <c r="S179" s="166"/>
      <c r="T179" s="166"/>
      <c r="U179" s="166"/>
      <c r="V179" s="166"/>
      <c r="W179" s="166"/>
      <c r="X179" s="166"/>
      <c r="Y179" s="166"/>
      <c r="Z179" s="166"/>
      <c r="AA179" s="166"/>
      <c r="AB179" s="166"/>
      <c r="AC179" s="166"/>
      <c r="AD179" s="166"/>
      <c r="AE179" s="166"/>
      <c r="AF179" s="166"/>
      <c r="AG179" s="166"/>
      <c r="AH179" s="166"/>
      <c r="AI179" s="166"/>
      <c r="AJ179" s="166"/>
      <c r="AK179" s="166"/>
      <c r="AL179" s="166"/>
      <c r="AM179" s="166"/>
      <c r="AN179" s="166"/>
      <c r="AO179" s="166"/>
      <c r="AP179" s="166"/>
      <c r="AQ179" s="166"/>
      <c r="AR179" s="166"/>
      <c r="AS179" s="166"/>
      <c r="AT179" s="166"/>
      <c r="AU179" s="166"/>
      <c r="AV179" s="166"/>
      <c r="AW179" s="166"/>
      <c r="AX179" s="166"/>
      <c r="AY179" s="166"/>
      <c r="AZ179" s="186"/>
      <c r="BA179" s="186"/>
      <c r="BB179" s="186"/>
      <c r="BC179" s="186"/>
      <c r="BD179" s="186"/>
      <c r="BE179" s="186"/>
      <c r="BF179" s="186"/>
      <c r="BG179" s="186"/>
      <c r="BH179" s="186"/>
      <c r="BI179" s="186">
        <f t="shared" si="79"/>
        <v>0</v>
      </c>
      <c r="BJ179" s="186">
        <f t="shared" si="80"/>
        <v>0</v>
      </c>
      <c r="BK179" s="186">
        <f t="shared" si="81"/>
        <v>0</v>
      </c>
      <c r="BL179" s="186">
        <f t="shared" si="82"/>
        <v>0</v>
      </c>
    </row>
    <row r="180" spans="1:64" s="187" customFormat="1" hidden="1" outlineLevel="2" x14ac:dyDescent="0.3">
      <c r="A180" s="211" t="s">
        <v>2843</v>
      </c>
      <c r="B180" s="180"/>
      <c r="C180" s="180"/>
      <c r="D180" s="180"/>
      <c r="E180" s="212" t="s">
        <v>2851</v>
      </c>
      <c r="F180" s="207" t="s">
        <v>85</v>
      </c>
      <c r="G180" s="212"/>
      <c r="H180" s="213" t="s">
        <v>2761</v>
      </c>
      <c r="I180" s="166">
        <f>IFERROR(VLOOKUP($A180,'Bevétel 2a SZH 2022'!$B:$M,MATCH($I$1,'Bevétel 2a SZH 2022'!$B$1:$M$1,0),0), )</f>
        <v>0</v>
      </c>
      <c r="J180" s="181">
        <f t="shared" si="72"/>
        <v>0</v>
      </c>
      <c r="K180" s="166">
        <f t="shared" si="86"/>
        <v>0</v>
      </c>
      <c r="L180" s="166">
        <f t="shared" si="73"/>
        <v>0</v>
      </c>
      <c r="M180" s="182"/>
      <c r="N180" s="166"/>
      <c r="O180" s="166"/>
      <c r="P180" s="166"/>
      <c r="Q180" s="166"/>
      <c r="R180" s="166"/>
      <c r="S180" s="166"/>
      <c r="T180" s="166"/>
      <c r="U180" s="166"/>
      <c r="V180" s="166"/>
      <c r="W180" s="166"/>
      <c r="X180" s="166"/>
      <c r="Y180" s="166"/>
      <c r="Z180" s="166"/>
      <c r="AA180" s="166"/>
      <c r="AB180" s="166"/>
      <c r="AC180" s="166"/>
      <c r="AD180" s="166"/>
      <c r="AE180" s="166"/>
      <c r="AF180" s="166"/>
      <c r="AG180" s="166"/>
      <c r="AH180" s="166"/>
      <c r="AI180" s="166"/>
      <c r="AJ180" s="166"/>
      <c r="AK180" s="166"/>
      <c r="AL180" s="166"/>
      <c r="AM180" s="166"/>
      <c r="AN180" s="166"/>
      <c r="AO180" s="166"/>
      <c r="AP180" s="166"/>
      <c r="AQ180" s="166"/>
      <c r="AR180" s="166"/>
      <c r="AS180" s="166"/>
      <c r="AT180" s="166"/>
      <c r="AU180" s="166"/>
      <c r="AV180" s="166"/>
      <c r="AW180" s="166"/>
      <c r="AX180" s="166"/>
      <c r="AY180" s="166"/>
      <c r="AZ180" s="186"/>
      <c r="BA180" s="186"/>
      <c r="BB180" s="186"/>
      <c r="BC180" s="186"/>
      <c r="BD180" s="186"/>
      <c r="BE180" s="186"/>
      <c r="BF180" s="186"/>
      <c r="BG180" s="186"/>
      <c r="BH180" s="186"/>
      <c r="BI180" s="186">
        <f t="shared" si="79"/>
        <v>0</v>
      </c>
      <c r="BJ180" s="186">
        <f t="shared" si="80"/>
        <v>0</v>
      </c>
      <c r="BK180" s="186">
        <f t="shared" si="81"/>
        <v>0</v>
      </c>
      <c r="BL180" s="186">
        <f t="shared" si="82"/>
        <v>0</v>
      </c>
    </row>
    <row r="181" spans="1:64" s="187" customFormat="1" ht="37.950000000000003" customHeight="1" x14ac:dyDescent="0.3">
      <c r="A181" s="214"/>
      <c r="B181" s="206" t="s">
        <v>45</v>
      </c>
      <c r="C181" s="198" t="s">
        <v>2917</v>
      </c>
      <c r="D181" s="198" t="s">
        <v>2942</v>
      </c>
      <c r="E181" s="215" t="str">
        <f>+B181</f>
        <v>Bevétel egyenleg III. (Bevétel egyenleg II. + nem ittlévő bevételek)</v>
      </c>
      <c r="F181" s="216"/>
      <c r="G181" s="217"/>
      <c r="H181" s="217"/>
      <c r="I181" s="199">
        <f>+I143+I144+I145+I146+I147+I154+I155+I156+I168+I169+I172+I175+I178</f>
        <v>761698682.8549428</v>
      </c>
      <c r="J181" s="199">
        <f t="shared" ref="J181:BH181" si="100">+J143+J144+J145+J146+J147+J154+J155+J156+J168+J169+J172+J175+J178</f>
        <v>761698681.43566918</v>
      </c>
      <c r="K181" s="199">
        <f t="shared" si="100"/>
        <v>1.4192737452685833</v>
      </c>
      <c r="L181" s="199">
        <f t="shared" si="100"/>
        <v>1015884925.3828527</v>
      </c>
      <c r="M181" s="199"/>
      <c r="N181" s="199">
        <f t="shared" si="100"/>
        <v>133618730.45713712</v>
      </c>
      <c r="O181" s="199">
        <f t="shared" ref="O181:Z181" si="101">+O143+O144+O145+O146+O147+O154+O155+O156+O168+O169+O172+O175+O178</f>
        <v>26154628.43684268</v>
      </c>
      <c r="P181" s="199">
        <f t="shared" si="101"/>
        <v>9060167.503679242</v>
      </c>
      <c r="Q181" s="199">
        <f t="shared" si="101"/>
        <v>38426218.006297417</v>
      </c>
      <c r="R181" s="199">
        <f t="shared" si="101"/>
        <v>14824288.26299422</v>
      </c>
      <c r="S181" s="199">
        <f t="shared" si="101"/>
        <v>36274589.287557997</v>
      </c>
      <c r="T181" s="199">
        <f t="shared" si="101"/>
        <v>27586891.429440029</v>
      </c>
      <c r="U181" s="199">
        <f t="shared" si="101"/>
        <v>42909179.376457155</v>
      </c>
      <c r="V181" s="199">
        <f t="shared" si="101"/>
        <v>48248574.347422503</v>
      </c>
      <c r="W181" s="199">
        <f t="shared" si="101"/>
        <v>42596167.525325142</v>
      </c>
      <c r="X181" s="199">
        <f t="shared" si="101"/>
        <v>31264081.927267652</v>
      </c>
      <c r="Y181" s="199">
        <f t="shared" si="101"/>
        <v>92992010.243323818</v>
      </c>
      <c r="Z181" s="199">
        <f t="shared" si="101"/>
        <v>18791651.529201284</v>
      </c>
      <c r="AA181" s="199">
        <f t="shared" si="100"/>
        <v>10897809.568182094</v>
      </c>
      <c r="AB181" s="199">
        <f t="shared" si="100"/>
        <v>9861025.8741799332</v>
      </c>
      <c r="AC181" s="199">
        <f t="shared" si="100"/>
        <v>38586146.113053955</v>
      </c>
      <c r="AD181" s="199">
        <f t="shared" si="100"/>
        <v>5621500</v>
      </c>
      <c r="AE181" s="199">
        <f t="shared" si="100"/>
        <v>-9286</v>
      </c>
      <c r="AF181" s="199">
        <f>+AF143+AF144+AF145+AF146+AF147+AF154+AF155+AF156+AF168+AF169+AF172+AF175+AF178</f>
        <v>14607068.427306894</v>
      </c>
      <c r="AG181" s="199">
        <f>+AG143+AG144+AG145+AG146+AG147+AG154+AG155+AG156+AG168+AG169+AG172+AG175+AG178</f>
        <v>0</v>
      </c>
      <c r="AH181" s="199">
        <f t="shared" si="100"/>
        <v>-452535</v>
      </c>
      <c r="AI181" s="199">
        <f t="shared" si="100"/>
        <v>0</v>
      </c>
      <c r="AJ181" s="199">
        <f t="shared" si="100"/>
        <v>0</v>
      </c>
      <c r="AK181" s="199">
        <f t="shared" si="100"/>
        <v>0</v>
      </c>
      <c r="AL181" s="199">
        <f t="shared" si="100"/>
        <v>0</v>
      </c>
      <c r="AM181" s="199">
        <f t="shared" si="100"/>
        <v>119839774.12</v>
      </c>
      <c r="AN181" s="199">
        <f t="shared" si="100"/>
        <v>1911197</v>
      </c>
      <c r="AO181" s="199">
        <f t="shared" si="100"/>
        <v>178656704.64255401</v>
      </c>
      <c r="AP181" s="199">
        <f t="shared" si="100"/>
        <v>40180860</v>
      </c>
      <c r="AQ181" s="199">
        <f t="shared" si="100"/>
        <v>157177.68975872546</v>
      </c>
      <c r="AR181" s="199">
        <f t="shared" si="100"/>
        <v>4701492.2274356307</v>
      </c>
      <c r="AS181" s="199">
        <f t="shared" si="100"/>
        <v>0</v>
      </c>
      <c r="AT181" s="199">
        <f t="shared" si="100"/>
        <v>0</v>
      </c>
      <c r="AU181" s="199">
        <f t="shared" si="100"/>
        <v>0</v>
      </c>
      <c r="AV181" s="199">
        <f t="shared" si="100"/>
        <v>0</v>
      </c>
      <c r="AW181" s="199">
        <f t="shared" si="100"/>
        <v>0</v>
      </c>
      <c r="AX181" s="199">
        <f t="shared" si="100"/>
        <v>0</v>
      </c>
      <c r="AY181" s="199">
        <f t="shared" si="100"/>
        <v>9239068.3874350004</v>
      </c>
      <c r="AZ181" s="199">
        <f t="shared" si="100"/>
        <v>0</v>
      </c>
      <c r="BA181" s="199">
        <f t="shared" si="100"/>
        <v>0</v>
      </c>
      <c r="BB181" s="199">
        <f t="shared" si="100"/>
        <v>0</v>
      </c>
      <c r="BC181" s="199">
        <f t="shared" si="100"/>
        <v>0</v>
      </c>
      <c r="BD181" s="199">
        <f t="shared" si="100"/>
        <v>0</v>
      </c>
      <c r="BE181" s="199">
        <f>+BE143+BE144+BE145+BE146+BE147+BE154+BE155+BE156+BE168+BE169+BE172+BE175+BE178</f>
        <v>0</v>
      </c>
      <c r="BF181" s="199">
        <f t="shared" si="100"/>
        <v>19339744</v>
      </c>
      <c r="BG181" s="199">
        <f t="shared" si="100"/>
        <v>0</v>
      </c>
      <c r="BH181" s="199">
        <f t="shared" si="100"/>
        <v>0</v>
      </c>
      <c r="BI181" s="199">
        <f t="shared" si="79"/>
        <v>573644987.90112829</v>
      </c>
      <c r="BJ181" s="199">
        <f t="shared" si="80"/>
        <v>9861025.8741799332</v>
      </c>
      <c r="BK181" s="199">
        <f t="shared" si="81"/>
        <v>178192667.66036087</v>
      </c>
      <c r="BL181" s="199">
        <f t="shared" si="82"/>
        <v>254186243.94718334</v>
      </c>
    </row>
    <row r="182" spans="1:64" s="187" customFormat="1" ht="37.950000000000003" hidden="1" customHeight="1" x14ac:dyDescent="0.3">
      <c r="A182" s="214">
        <v>48</v>
      </c>
      <c r="B182" s="417" t="s">
        <v>49</v>
      </c>
      <c r="C182" s="198" t="s">
        <v>82</v>
      </c>
      <c r="D182" s="198" t="s">
        <v>3473</v>
      </c>
      <c r="E182" s="417" t="s">
        <v>49</v>
      </c>
      <c r="F182" s="226" t="s">
        <v>2791</v>
      </c>
      <c r="G182" s="416"/>
      <c r="H182" s="226" t="s">
        <v>2707</v>
      </c>
      <c r="I182" s="199">
        <v>0</v>
      </c>
      <c r="J182" s="199">
        <f>SUM(N182:AX182)</f>
        <v>0</v>
      </c>
      <c r="K182" s="199">
        <f t="shared" ref="K182:K198" si="102">+I182-J182</f>
        <v>0</v>
      </c>
      <c r="L182" s="199">
        <f>SUM(N182:BS182)</f>
        <v>0</v>
      </c>
      <c r="M182" s="199"/>
      <c r="N182" s="199"/>
      <c r="O182" s="199"/>
      <c r="P182" s="199"/>
      <c r="Q182" s="199"/>
      <c r="R182" s="199"/>
      <c r="S182" s="199"/>
      <c r="T182" s="199"/>
      <c r="U182" s="199"/>
      <c r="V182" s="199"/>
      <c r="W182" s="199"/>
      <c r="X182" s="199"/>
      <c r="Y182" s="199"/>
      <c r="Z182" s="199"/>
      <c r="AA182" s="199"/>
      <c r="AB182" s="199"/>
      <c r="AC182" s="199"/>
      <c r="AD182" s="199"/>
      <c r="AE182" s="199"/>
      <c r="AF182" s="199"/>
      <c r="AG182" s="199"/>
      <c r="AH182" s="199"/>
      <c r="AI182" s="199"/>
      <c r="AJ182" s="199"/>
      <c r="AK182" s="199"/>
      <c r="AL182" s="199"/>
      <c r="AM182" s="199"/>
      <c r="AN182" s="199"/>
      <c r="AO182" s="199"/>
      <c r="AP182" s="199"/>
      <c r="AQ182" s="199"/>
      <c r="AR182" s="199"/>
      <c r="AS182" s="199"/>
      <c r="AT182" s="199"/>
      <c r="AU182" s="199"/>
      <c r="AV182" s="199"/>
      <c r="AW182" s="199"/>
      <c r="AX182" s="199"/>
      <c r="AY182" s="199"/>
      <c r="AZ182" s="199"/>
      <c r="BA182" s="199"/>
      <c r="BB182" s="199"/>
      <c r="BC182" s="199"/>
      <c r="BD182" s="199"/>
      <c r="BE182" s="199"/>
      <c r="BF182" s="199"/>
      <c r="BG182" s="199"/>
      <c r="BH182" s="199"/>
      <c r="BI182" s="199">
        <f t="shared" si="79"/>
        <v>0</v>
      </c>
      <c r="BJ182" s="199">
        <f t="shared" si="80"/>
        <v>0</v>
      </c>
      <c r="BK182" s="199">
        <f t="shared" si="81"/>
        <v>0</v>
      </c>
      <c r="BL182" s="199">
        <f t="shared" si="82"/>
        <v>0</v>
      </c>
    </row>
    <row r="183" spans="1:64" s="187" customFormat="1" ht="24" customHeight="1" collapsed="1" x14ac:dyDescent="0.3">
      <c r="A183" s="220"/>
      <c r="B183" s="219" t="s">
        <v>2751</v>
      </c>
      <c r="C183" s="220" t="s">
        <v>82</v>
      </c>
      <c r="D183" s="220" t="s">
        <v>2970</v>
      </c>
      <c r="E183" s="220" t="s">
        <v>2751</v>
      </c>
      <c r="F183" s="180"/>
      <c r="G183" s="180"/>
      <c r="H183" s="180" t="s">
        <v>2707</v>
      </c>
      <c r="I183" s="365">
        <f>+I184+I189</f>
        <v>0</v>
      </c>
      <c r="J183" s="181">
        <f t="shared" ref="J183:J216" si="103">SUM(N183:AM183)</f>
        <v>7.4505805969238281E-9</v>
      </c>
      <c r="K183" s="166">
        <f t="shared" si="102"/>
        <v>-7.4505805969238281E-9</v>
      </c>
      <c r="L183" s="166">
        <f t="shared" ref="L183:L216" si="104">SUM(N183:BH183)</f>
        <v>7.4505805969238281E-9</v>
      </c>
      <c r="M183" s="182"/>
      <c r="N183" s="166">
        <f t="shared" ref="N183:AM183" si="105">+N184+N189</f>
        <v>-19928866.406046104</v>
      </c>
      <c r="O183" s="166">
        <f t="shared" si="105"/>
        <v>-1304722.3213310875</v>
      </c>
      <c r="P183" s="166">
        <f t="shared" si="105"/>
        <v>-316049.00924525771</v>
      </c>
      <c r="Q183" s="166">
        <f t="shared" si="105"/>
        <v>-1494791.7951189633</v>
      </c>
      <c r="R183" s="166">
        <f t="shared" si="105"/>
        <v>-568008.08016002143</v>
      </c>
      <c r="S183" s="166">
        <f t="shared" si="105"/>
        <v>-1113712.7017562161</v>
      </c>
      <c r="T183" s="166">
        <f t="shared" si="105"/>
        <v>-5592385.8917687014</v>
      </c>
      <c r="U183" s="166">
        <f t="shared" si="105"/>
        <v>-1482229.8471565568</v>
      </c>
      <c r="V183" s="166">
        <f t="shared" si="105"/>
        <v>-2392996.9577646758</v>
      </c>
      <c r="W183" s="166">
        <f t="shared" si="105"/>
        <v>-10945374.660585044</v>
      </c>
      <c r="X183" s="166">
        <f t="shared" si="105"/>
        <v>-10014190.263218891</v>
      </c>
      <c r="Y183" s="166">
        <f t="shared" si="105"/>
        <v>-7979416.0449499879</v>
      </c>
      <c r="Z183" s="166">
        <f t="shared" si="105"/>
        <v>-1073810.0208984935</v>
      </c>
      <c r="AA183" s="166">
        <f t="shared" si="105"/>
        <v>52916450</v>
      </c>
      <c r="AB183" s="166">
        <f t="shared" si="105"/>
        <v>1635414</v>
      </c>
      <c r="AC183" s="166">
        <f t="shared" si="105"/>
        <v>-24682907</v>
      </c>
      <c r="AD183" s="166">
        <f t="shared" si="105"/>
        <v>-5621500</v>
      </c>
      <c r="AE183" s="166">
        <f t="shared" si="105"/>
        <v>9286</v>
      </c>
      <c r="AF183" s="166">
        <f t="shared" si="105"/>
        <v>0</v>
      </c>
      <c r="AG183" s="166">
        <f t="shared" si="105"/>
        <v>42844292</v>
      </c>
      <c r="AH183" s="166">
        <f t="shared" si="105"/>
        <v>452535</v>
      </c>
      <c r="AI183" s="166">
        <f t="shared" si="105"/>
        <v>0</v>
      </c>
      <c r="AJ183" s="166">
        <f t="shared" si="105"/>
        <v>0</v>
      </c>
      <c r="AK183" s="166">
        <f t="shared" si="105"/>
        <v>0</v>
      </c>
      <c r="AL183" s="166">
        <f t="shared" si="105"/>
        <v>0</v>
      </c>
      <c r="AM183" s="166">
        <f t="shared" si="105"/>
        <v>-3347016</v>
      </c>
      <c r="AN183" s="166"/>
      <c r="AO183" s="166"/>
      <c r="AP183" s="166"/>
      <c r="AQ183" s="166"/>
      <c r="AR183" s="166"/>
      <c r="AS183" s="166"/>
      <c r="AT183" s="166"/>
      <c r="AU183" s="166"/>
      <c r="AV183" s="166"/>
      <c r="AW183" s="166"/>
      <c r="AX183" s="166"/>
      <c r="AY183" s="166"/>
      <c r="AZ183" s="186"/>
      <c r="BA183" s="186"/>
      <c r="BB183" s="186"/>
      <c r="BC183" s="186"/>
      <c r="BD183" s="186"/>
      <c r="BE183" s="186"/>
      <c r="BF183" s="186"/>
      <c r="BG183" s="186"/>
      <c r="BH183" s="186"/>
      <c r="BI183" s="366">
        <f t="shared" si="79"/>
        <v>-11290103.999999993</v>
      </c>
      <c r="BJ183" s="366">
        <f t="shared" si="80"/>
        <v>1635414</v>
      </c>
      <c r="BK183" s="366">
        <f t="shared" si="81"/>
        <v>9654690</v>
      </c>
      <c r="BL183" s="366">
        <f t="shared" si="82"/>
        <v>0</v>
      </c>
    </row>
    <row r="184" spans="1:64" s="187" customFormat="1" hidden="1" outlineLevel="1" x14ac:dyDescent="0.3">
      <c r="A184" s="180"/>
      <c r="B184" s="180"/>
      <c r="C184" s="180"/>
      <c r="D184" s="180"/>
      <c r="E184" s="180" t="s">
        <v>2752</v>
      </c>
      <c r="F184" s="185"/>
      <c r="G184" s="180"/>
      <c r="H184" s="180" t="s">
        <v>2753</v>
      </c>
      <c r="I184" s="181">
        <v>0</v>
      </c>
      <c r="J184" s="181">
        <f>SUM(N184:AM184)</f>
        <v>0</v>
      </c>
      <c r="K184" s="166">
        <f t="shared" si="102"/>
        <v>0</v>
      </c>
      <c r="L184" s="166">
        <f t="shared" si="104"/>
        <v>0</v>
      </c>
      <c r="M184" s="182"/>
      <c r="N184" s="166">
        <f t="shared" ref="N184:AM184" si="106">SUM(N185:N188)</f>
        <v>0</v>
      </c>
      <c r="O184" s="166">
        <f t="shared" si="106"/>
        <v>0</v>
      </c>
      <c r="P184" s="166">
        <f t="shared" si="106"/>
        <v>0</v>
      </c>
      <c r="Q184" s="166">
        <f t="shared" si="106"/>
        <v>0</v>
      </c>
      <c r="R184" s="166">
        <f t="shared" si="106"/>
        <v>0</v>
      </c>
      <c r="S184" s="166">
        <f t="shared" si="106"/>
        <v>0</v>
      </c>
      <c r="T184" s="166">
        <f t="shared" si="106"/>
        <v>0</v>
      </c>
      <c r="U184" s="166">
        <f t="shared" si="106"/>
        <v>0</v>
      </c>
      <c r="V184" s="166">
        <f t="shared" si="106"/>
        <v>-7227</v>
      </c>
      <c r="W184" s="166">
        <f t="shared" si="106"/>
        <v>0</v>
      </c>
      <c r="X184" s="166">
        <f t="shared" si="106"/>
        <v>0</v>
      </c>
      <c r="Y184" s="166">
        <f t="shared" si="106"/>
        <v>0</v>
      </c>
      <c r="Z184" s="166">
        <f t="shared" si="106"/>
        <v>-454594</v>
      </c>
      <c r="AA184" s="166">
        <f t="shared" si="106"/>
        <v>23977706</v>
      </c>
      <c r="AB184" s="166">
        <f t="shared" si="106"/>
        <v>943652</v>
      </c>
      <c r="AC184" s="166">
        <f t="shared" si="106"/>
        <v>-24829858</v>
      </c>
      <c r="AD184" s="166">
        <f t="shared" si="106"/>
        <v>-91500</v>
      </c>
      <c r="AE184" s="166">
        <f t="shared" si="106"/>
        <v>9286</v>
      </c>
      <c r="AF184" s="166">
        <f t="shared" si="106"/>
        <v>0</v>
      </c>
      <c r="AG184" s="166">
        <f t="shared" si="106"/>
        <v>0</v>
      </c>
      <c r="AH184" s="166">
        <f t="shared" si="106"/>
        <v>452535</v>
      </c>
      <c r="AI184" s="166">
        <f t="shared" si="106"/>
        <v>0</v>
      </c>
      <c r="AJ184" s="166">
        <f t="shared" si="106"/>
        <v>0</v>
      </c>
      <c r="AK184" s="166">
        <f t="shared" si="106"/>
        <v>0</v>
      </c>
      <c r="AL184" s="166">
        <f t="shared" si="106"/>
        <v>0</v>
      </c>
      <c r="AM184" s="166">
        <f t="shared" si="106"/>
        <v>0</v>
      </c>
      <c r="AN184" s="166"/>
      <c r="AO184" s="166"/>
      <c r="AP184" s="166"/>
      <c r="AQ184" s="166"/>
      <c r="AR184" s="166"/>
      <c r="AS184" s="166"/>
      <c r="AT184" s="166"/>
      <c r="AU184" s="166"/>
      <c r="AV184" s="166"/>
      <c r="AW184" s="166"/>
      <c r="AX184" s="166"/>
      <c r="AY184" s="166"/>
      <c r="AZ184" s="186"/>
      <c r="BA184" s="186"/>
      <c r="BB184" s="186"/>
      <c r="BC184" s="186"/>
      <c r="BD184" s="186"/>
      <c r="BE184" s="186"/>
      <c r="BF184" s="186"/>
      <c r="BG184" s="186"/>
      <c r="BH184" s="186"/>
      <c r="BI184" s="183">
        <f t="shared" si="79"/>
        <v>23515885</v>
      </c>
      <c r="BJ184" s="183">
        <f t="shared" si="80"/>
        <v>943652</v>
      </c>
      <c r="BK184" s="183">
        <f t="shared" si="81"/>
        <v>-24459537</v>
      </c>
      <c r="BL184" s="183">
        <f t="shared" si="82"/>
        <v>0</v>
      </c>
    </row>
    <row r="185" spans="1:64" s="187" customFormat="1" ht="12.6" hidden="1" customHeight="1" outlineLevel="1" x14ac:dyDescent="0.3">
      <c r="A185" s="180"/>
      <c r="B185" s="180"/>
      <c r="C185" s="180"/>
      <c r="D185" s="180"/>
      <c r="E185" s="885" t="s">
        <v>4384</v>
      </c>
      <c r="F185" s="185" t="s">
        <v>85</v>
      </c>
      <c r="G185" s="180"/>
      <c r="H185" s="200" t="s">
        <v>3474</v>
      </c>
      <c r="I185" s="166">
        <v>0</v>
      </c>
      <c r="J185" s="181">
        <f t="shared" si="103"/>
        <v>0</v>
      </c>
      <c r="K185" s="166">
        <f t="shared" si="102"/>
        <v>0</v>
      </c>
      <c r="L185" s="166">
        <f t="shared" si="104"/>
        <v>0</v>
      </c>
      <c r="M185" s="193"/>
      <c r="N185" s="166">
        <f>IFERROR(VLOOKUP($M185,'1 b felosztások'!$A:$E,'1 b felosztások'!C$2,0)*$AL185,0)</f>
        <v>0</v>
      </c>
      <c r="O185" s="166">
        <f>IFERROR(VLOOKUP($M185,'1 b felosztások'!$A:$E,'1 b felosztások'!D$2,0)*$AL185,0)</f>
        <v>0</v>
      </c>
      <c r="P185" s="166">
        <f>IFERROR(VLOOKUP($M185,'1 b felosztások'!$A:$E,'1 b felosztások'!E$2,0)*$AL185,0)</f>
        <v>0</v>
      </c>
      <c r="Q185" s="166">
        <f>IFERROR(VLOOKUP($M185,'1 b felosztások'!$A:$E,'1 b felosztások'!F$2,0)*$AL185,0)</f>
        <v>0</v>
      </c>
      <c r="R185" s="166">
        <f>IFERROR(VLOOKUP($M185,'1 b felosztások'!$A:$E,'1 b felosztások'!G$2,0)*$AL185,0)</f>
        <v>0</v>
      </c>
      <c r="S185" s="166">
        <f>IFERROR(VLOOKUP($M185,'1 b felosztások'!$A:$E,'1 b felosztások'!H$2,0)*$AL185,0)</f>
        <v>0</v>
      </c>
      <c r="T185" s="166">
        <f>IFERROR(VLOOKUP($M185,'1 b felosztások'!$A:$E,'1 b felosztások'!I$2,0)*$AL185,0)</f>
        <v>0</v>
      </c>
      <c r="U185" s="166">
        <f>IFERROR(VLOOKUP($M185,'1 b felosztások'!$A:$E,'1 b felosztások'!J$2,0)*$AL185,0)</f>
        <v>0</v>
      </c>
      <c r="V185" s="166">
        <f>IFERROR(VLOOKUP($M185,'1 b felosztások'!$A:$E,'1 b felosztások'!K$2,0)*$AL185,0)</f>
        <v>0</v>
      </c>
      <c r="W185" s="166">
        <f>IFERROR(VLOOKUP($M185,'1 b felosztások'!$A:$E,'1 b felosztások'!L$2,0)*$AL185,0)</f>
        <v>0</v>
      </c>
      <c r="X185" s="166">
        <f>IFERROR(VLOOKUP($M185,'1 b felosztások'!$A:$E,'1 b felosztások'!M$2,0)*$AL185,0)</f>
        <v>0</v>
      </c>
      <c r="Y185" s="166"/>
      <c r="Z185" s="166">
        <f>IFERROR(VLOOKUP($M185,'1 b felosztások'!$A:$E,'1 b felosztások'!O$2,0)*$AL185,0)</f>
        <v>0</v>
      </c>
      <c r="AA185" s="166">
        <f>91500+3340023+34063302-1613784-11903335</f>
        <v>23977706</v>
      </c>
      <c r="AB185" s="166">
        <v>-3340023</v>
      </c>
      <c r="AC185" s="166">
        <f>+-34063302+11903335+1613784</f>
        <v>-20546183</v>
      </c>
      <c r="AD185" s="166">
        <v>-91500</v>
      </c>
      <c r="AE185" s="166">
        <f>IFERROR(VLOOKUP($M185,'1 b felosztások'!$A:$E,'1 b felosztások'!T$2,0)*$AL185,0)</f>
        <v>0</v>
      </c>
      <c r="AF185" s="166"/>
      <c r="AG185" s="166"/>
      <c r="AH185" s="166"/>
      <c r="AI185" s="166"/>
      <c r="AJ185" s="166"/>
      <c r="AK185" s="166"/>
      <c r="AL185" s="166"/>
      <c r="AM185" s="166"/>
      <c r="AN185" s="166"/>
      <c r="AO185" s="166"/>
      <c r="AP185" s="166"/>
      <c r="AQ185" s="166"/>
      <c r="AR185" s="166"/>
      <c r="AS185" s="166"/>
      <c r="AT185" s="166"/>
      <c r="AU185" s="166"/>
      <c r="AV185" s="166"/>
      <c r="AW185" s="166"/>
      <c r="AX185" s="166"/>
      <c r="AY185" s="166"/>
      <c r="AZ185" s="186"/>
      <c r="BA185" s="186"/>
      <c r="BB185" s="186"/>
      <c r="BC185" s="186"/>
      <c r="BD185" s="186"/>
      <c r="BE185" s="186"/>
      <c r="BF185" s="186"/>
      <c r="BG185" s="186"/>
      <c r="BH185" s="186"/>
      <c r="BI185" s="183">
        <f t="shared" si="79"/>
        <v>23977706</v>
      </c>
      <c r="BJ185" s="183">
        <f t="shared" si="80"/>
        <v>-3340023</v>
      </c>
      <c r="BK185" s="183">
        <f t="shared" si="81"/>
        <v>-20637683</v>
      </c>
      <c r="BL185" s="183">
        <f t="shared" si="82"/>
        <v>0</v>
      </c>
    </row>
    <row r="186" spans="1:64" s="187" customFormat="1" hidden="1" outlineLevel="1" x14ac:dyDescent="0.3">
      <c r="A186" s="180"/>
      <c r="B186" s="180"/>
      <c r="C186" s="180"/>
      <c r="D186" s="180"/>
      <c r="E186" s="885" t="s">
        <v>4274</v>
      </c>
      <c r="F186" s="185" t="s">
        <v>85</v>
      </c>
      <c r="G186" s="180"/>
      <c r="H186" s="200" t="s">
        <v>3474</v>
      </c>
      <c r="I186" s="166">
        <v>0</v>
      </c>
      <c r="J186" s="181">
        <f t="shared" si="103"/>
        <v>0</v>
      </c>
      <c r="K186" s="166">
        <f t="shared" si="102"/>
        <v>0</v>
      </c>
      <c r="L186" s="166">
        <f t="shared" si="104"/>
        <v>0</v>
      </c>
      <c r="M186" s="193"/>
      <c r="N186" s="166">
        <f>IFERROR(VLOOKUP($M186,'1 b felosztások'!$A:$E,'1 b felosztások'!C$2,0)*$AB186,0)</f>
        <v>0</v>
      </c>
      <c r="O186" s="166">
        <f>IFERROR(VLOOKUP($M186,'1 b felosztások'!$A:$E,'1 b felosztások'!D$2,0)*$AB186,0)</f>
        <v>0</v>
      </c>
      <c r="P186" s="166">
        <f>IFERROR(VLOOKUP($M186,'1 b felosztások'!$A:$E,'1 b felosztások'!E$2,0)*$AB186,0)</f>
        <v>0</v>
      </c>
      <c r="Q186" s="166">
        <f>IFERROR(VLOOKUP($M186,'1 b felosztások'!$A:$E,'1 b felosztások'!F$2,0)*$AB186,0)</f>
        <v>0</v>
      </c>
      <c r="R186" s="166">
        <f>IFERROR(VLOOKUP($M186,'1 b felosztások'!$A:$E,'1 b felosztások'!G$2,0)*$AB186,0)</f>
        <v>0</v>
      </c>
      <c r="S186" s="166">
        <f>IFERROR(VLOOKUP($M186,'1 b felosztások'!$A:$E,'1 b felosztások'!H$2,0)*$AB186,0)</f>
        <v>0</v>
      </c>
      <c r="T186" s="166">
        <f>IFERROR(VLOOKUP($M186,'1 b felosztások'!$A:$E,'1 b felosztások'!I$2,0)*$AB186,0)</f>
        <v>0</v>
      </c>
      <c r="U186" s="166">
        <f>IFERROR(VLOOKUP($M186,'1 b felosztások'!$A:$E,'1 b felosztások'!J$2,0)*$AB186,0)</f>
        <v>0</v>
      </c>
      <c r="V186" s="166">
        <f>IFERROR(VLOOKUP($M186,'1 b felosztások'!$A:$E,'1 b felosztások'!K$2,0)*$AB186,0)</f>
        <v>0</v>
      </c>
      <c r="W186" s="166">
        <f>IFERROR(VLOOKUP($M186,'1 b felosztások'!$A:$E,'1 b felosztások'!L$2,0)*$AB186,0)</f>
        <v>0</v>
      </c>
      <c r="X186" s="166">
        <f>IFERROR(VLOOKUP($M186,'1 b felosztások'!$A:$E,'1 b felosztások'!M$2,0)*$AB186,0)</f>
        <v>0</v>
      </c>
      <c r="Y186" s="166">
        <f>IFERROR(VLOOKUP($M186,'1 b felosztások'!$A:$E,'1 b felosztások'!N$2,0)*$AB186,0)</f>
        <v>0</v>
      </c>
      <c r="Z186" s="166">
        <f>IFERROR(VLOOKUP($M186,'1 b felosztások'!$A:$E,'1 b felosztások'!O$2,0)*$AB186,0)</f>
        <v>0</v>
      </c>
      <c r="AA186" s="166"/>
      <c r="AB186" s="166">
        <v>4283675</v>
      </c>
      <c r="AC186" s="166">
        <v>-4283675</v>
      </c>
      <c r="AD186" s="166">
        <f>IFERROR(VLOOKUP($M186,'1 b felosztások'!$A:$E,'1 b felosztások'!S$2,0)*$AB186,0)</f>
        <v>0</v>
      </c>
      <c r="AE186" s="166">
        <f>IFERROR(VLOOKUP($M186,'1 b felosztások'!$A:$E,'1 b felosztások'!T$2,0)*$AB186,0)</f>
        <v>0</v>
      </c>
      <c r="AF186" s="166"/>
      <c r="AG186" s="166"/>
      <c r="AH186" s="166"/>
      <c r="AI186" s="166"/>
      <c r="AJ186" s="166"/>
      <c r="AK186" s="166"/>
      <c r="AL186" s="166"/>
      <c r="AM186" s="166"/>
      <c r="AN186" s="166"/>
      <c r="AO186" s="166"/>
      <c r="AP186" s="166"/>
      <c r="AQ186" s="166"/>
      <c r="AR186" s="166"/>
      <c r="AS186" s="166"/>
      <c r="AT186" s="166"/>
      <c r="AU186" s="166"/>
      <c r="AV186" s="166"/>
      <c r="AW186" s="166"/>
      <c r="AX186" s="166"/>
      <c r="AY186" s="166"/>
      <c r="AZ186" s="186"/>
      <c r="BA186" s="186"/>
      <c r="BB186" s="186"/>
      <c r="BC186" s="186"/>
      <c r="BD186" s="186"/>
      <c r="BE186" s="186"/>
      <c r="BF186" s="186"/>
      <c r="BG186" s="186"/>
      <c r="BH186" s="186"/>
      <c r="BI186" s="183">
        <f t="shared" si="79"/>
        <v>0</v>
      </c>
      <c r="BJ186" s="183">
        <f t="shared" si="80"/>
        <v>4283675</v>
      </c>
      <c r="BK186" s="183">
        <f t="shared" si="81"/>
        <v>-4283675</v>
      </c>
      <c r="BL186" s="183">
        <f t="shared" si="82"/>
        <v>0</v>
      </c>
    </row>
    <row r="187" spans="1:64" s="187" customFormat="1" hidden="1" outlineLevel="1" x14ac:dyDescent="0.3">
      <c r="A187" s="180"/>
      <c r="B187" s="180"/>
      <c r="C187" s="180"/>
      <c r="D187" s="180"/>
      <c r="E187" s="885" t="s">
        <v>4275</v>
      </c>
      <c r="F187" s="185" t="s">
        <v>85</v>
      </c>
      <c r="G187" s="180"/>
      <c r="H187" s="200" t="s">
        <v>3474</v>
      </c>
      <c r="I187" s="166">
        <v>0</v>
      </c>
      <c r="J187" s="181">
        <f t="shared" si="103"/>
        <v>0</v>
      </c>
      <c r="K187" s="166">
        <f t="shared" si="102"/>
        <v>0</v>
      </c>
      <c r="L187" s="166">
        <f t="shared" si="104"/>
        <v>0</v>
      </c>
      <c r="M187" s="193"/>
      <c r="N187" s="166">
        <f>IFERROR(VLOOKUP($M187,'1 b felosztások'!$A:$E,'1 b felosztások'!C$2,0)*$AB187,0)</f>
        <v>0</v>
      </c>
      <c r="O187" s="166">
        <f>IFERROR(VLOOKUP($M187,'1 b felosztások'!$A:$E,'1 b felosztások'!D$2,0)*$AB187,0)</f>
        <v>0</v>
      </c>
      <c r="P187" s="166">
        <f>IFERROR(VLOOKUP($M187,'1 b felosztások'!$A:$E,'1 b felosztások'!E$2,0)*$AB187,0)</f>
        <v>0</v>
      </c>
      <c r="Q187" s="166">
        <f>IFERROR(VLOOKUP($M187,'1 b felosztások'!$A:$E,'1 b felosztások'!F$2,0)*$AB187,0)</f>
        <v>0</v>
      </c>
      <c r="R187" s="166">
        <f>IFERROR(VLOOKUP($M187,'1 b felosztások'!$A:$E,'1 b felosztások'!G$2,0)*$AB187,0)</f>
        <v>0</v>
      </c>
      <c r="S187" s="166">
        <f>IFERROR(VLOOKUP($M187,'1 b felosztások'!$A:$E,'1 b felosztások'!H$2,0)*$AB187,0)</f>
        <v>0</v>
      </c>
      <c r="T187" s="166">
        <f>IFERROR(VLOOKUP($M187,'1 b felosztások'!$A:$E,'1 b felosztások'!I$2,0)*$AB187,0)</f>
        <v>0</v>
      </c>
      <c r="U187" s="166">
        <f>IFERROR(VLOOKUP($M187,'1 b felosztások'!$A:$E,'1 b felosztások'!J$2,0)*$AB187,0)</f>
        <v>0</v>
      </c>
      <c r="V187" s="166">
        <v>-7227</v>
      </c>
      <c r="W187" s="166">
        <f>IFERROR(VLOOKUP($M187,'1 b felosztások'!$A:$E,'1 b felosztások'!L$2,0)*$AB187,0)</f>
        <v>0</v>
      </c>
      <c r="X187" s="166">
        <f>IFERROR(VLOOKUP($M187,'1 b felosztások'!$A:$E,'1 b felosztások'!M$2,0)*$AB187,0)</f>
        <v>0</v>
      </c>
      <c r="Y187" s="166">
        <f>IFERROR(VLOOKUP($M187,'1 b felosztások'!$A:$E,'1 b felosztások'!N$2,0)*$AB187,0)</f>
        <v>0</v>
      </c>
      <c r="Z187" s="166">
        <v>-2059</v>
      </c>
      <c r="AA187" s="166"/>
      <c r="AB187" s="166"/>
      <c r="AC187" s="166"/>
      <c r="AD187" s="166"/>
      <c r="AE187" s="166">
        <v>9286</v>
      </c>
      <c r="AF187" s="166"/>
      <c r="AG187" s="166"/>
      <c r="AH187" s="166"/>
      <c r="AI187" s="166"/>
      <c r="AJ187" s="166"/>
      <c r="AK187" s="166"/>
      <c r="AL187" s="166"/>
      <c r="AM187" s="166"/>
      <c r="AN187" s="166"/>
      <c r="AO187" s="166"/>
      <c r="AP187" s="166"/>
      <c r="AQ187" s="166"/>
      <c r="AR187" s="166"/>
      <c r="AS187" s="166"/>
      <c r="AT187" s="166"/>
      <c r="AU187" s="166"/>
      <c r="AV187" s="166"/>
      <c r="AW187" s="166"/>
      <c r="AX187" s="166"/>
      <c r="AY187" s="166"/>
      <c r="AZ187" s="186"/>
      <c r="BA187" s="186"/>
      <c r="BB187" s="186"/>
      <c r="BC187" s="186"/>
      <c r="BD187" s="186"/>
      <c r="BE187" s="186"/>
      <c r="BF187" s="186"/>
      <c r="BG187" s="186"/>
      <c r="BH187" s="186"/>
      <c r="BI187" s="183">
        <f t="shared" si="79"/>
        <v>-9286</v>
      </c>
      <c r="BJ187" s="183">
        <f t="shared" si="80"/>
        <v>0</v>
      </c>
      <c r="BK187" s="183">
        <f t="shared" si="81"/>
        <v>9286</v>
      </c>
      <c r="BL187" s="183">
        <f t="shared" si="82"/>
        <v>0</v>
      </c>
    </row>
    <row r="188" spans="1:64" s="187" customFormat="1" hidden="1" outlineLevel="1" x14ac:dyDescent="0.3">
      <c r="A188" s="180"/>
      <c r="B188" s="180"/>
      <c r="C188" s="180"/>
      <c r="D188" s="180"/>
      <c r="E188" s="885" t="s">
        <v>4276</v>
      </c>
      <c r="F188" s="185" t="s">
        <v>85</v>
      </c>
      <c r="G188" s="180"/>
      <c r="H188" s="200" t="s">
        <v>3474</v>
      </c>
      <c r="I188" s="166">
        <v>0</v>
      </c>
      <c r="J188" s="181">
        <f t="shared" si="103"/>
        <v>0</v>
      </c>
      <c r="K188" s="166">
        <f t="shared" si="102"/>
        <v>0</v>
      </c>
      <c r="L188" s="166">
        <f t="shared" si="104"/>
        <v>0</v>
      </c>
      <c r="M188" s="190"/>
      <c r="N188" s="166"/>
      <c r="O188" s="166"/>
      <c r="P188" s="166"/>
      <c r="Q188" s="166"/>
      <c r="R188" s="166"/>
      <c r="S188" s="166"/>
      <c r="T188" s="166"/>
      <c r="U188" s="166"/>
      <c r="V188" s="166"/>
      <c r="W188" s="166"/>
      <c r="X188" s="166"/>
      <c r="Y188" s="166"/>
      <c r="Z188" s="166">
        <v>-452535</v>
      </c>
      <c r="AA188" s="166"/>
      <c r="AB188" s="166"/>
      <c r="AC188" s="166"/>
      <c r="AD188" s="166"/>
      <c r="AE188" s="166"/>
      <c r="AF188" s="166"/>
      <c r="AG188" s="166"/>
      <c r="AH188" s="166">
        <v>452535</v>
      </c>
      <c r="AI188" s="166"/>
      <c r="AJ188" s="166"/>
      <c r="AK188" s="166"/>
      <c r="AL188" s="166"/>
      <c r="AM188" s="166"/>
      <c r="AN188" s="166"/>
      <c r="AO188" s="166"/>
      <c r="AP188" s="166"/>
      <c r="AQ188" s="166"/>
      <c r="AR188" s="166"/>
      <c r="AS188" s="166"/>
      <c r="AT188" s="166"/>
      <c r="AU188" s="166"/>
      <c r="AV188" s="166"/>
      <c r="AW188" s="166"/>
      <c r="AX188" s="166"/>
      <c r="AY188" s="166"/>
      <c r="AZ188" s="186"/>
      <c r="BA188" s="186"/>
      <c r="BB188" s="186"/>
      <c r="BC188" s="186"/>
      <c r="BD188" s="186"/>
      <c r="BE188" s="186"/>
      <c r="BF188" s="186"/>
      <c r="BG188" s="186"/>
      <c r="BH188" s="186"/>
      <c r="BI188" s="183">
        <f t="shared" si="79"/>
        <v>-452535</v>
      </c>
      <c r="BJ188" s="183">
        <f t="shared" si="80"/>
        <v>0</v>
      </c>
      <c r="BK188" s="183">
        <f t="shared" si="81"/>
        <v>452535</v>
      </c>
      <c r="BL188" s="183">
        <f t="shared" si="82"/>
        <v>0</v>
      </c>
    </row>
    <row r="189" spans="1:64" s="187" customFormat="1" hidden="1" outlineLevel="1" x14ac:dyDescent="0.3">
      <c r="A189" s="180"/>
      <c r="B189" s="180"/>
      <c r="C189" s="180"/>
      <c r="D189" s="180"/>
      <c r="E189" s="180" t="s">
        <v>2754</v>
      </c>
      <c r="F189" s="180"/>
      <c r="G189" s="180"/>
      <c r="H189" s="180" t="s">
        <v>2707</v>
      </c>
      <c r="I189" s="181">
        <f>+I190+I193</f>
        <v>0</v>
      </c>
      <c r="J189" s="181">
        <f t="shared" si="103"/>
        <v>7.4505805969238281E-9</v>
      </c>
      <c r="K189" s="166">
        <f t="shared" si="102"/>
        <v>-7.4505805969238281E-9</v>
      </c>
      <c r="L189" s="166">
        <f t="shared" si="104"/>
        <v>7.4505805969238281E-9</v>
      </c>
      <c r="M189" s="182"/>
      <c r="N189" s="166">
        <f t="shared" ref="N189:AM189" si="107">+N190+N193</f>
        <v>-19928866.406046104</v>
      </c>
      <c r="O189" s="166">
        <f t="shared" si="107"/>
        <v>-1304722.3213310875</v>
      </c>
      <c r="P189" s="166">
        <f t="shared" si="107"/>
        <v>-316049.00924525771</v>
      </c>
      <c r="Q189" s="166">
        <f t="shared" si="107"/>
        <v>-1494791.7951189633</v>
      </c>
      <c r="R189" s="166">
        <f t="shared" si="107"/>
        <v>-568008.08016002143</v>
      </c>
      <c r="S189" s="166">
        <f t="shared" si="107"/>
        <v>-1113712.7017562161</v>
      </c>
      <c r="T189" s="166">
        <f t="shared" si="107"/>
        <v>-5592385.8917687014</v>
      </c>
      <c r="U189" s="166">
        <f t="shared" si="107"/>
        <v>-1482229.8471565568</v>
      </c>
      <c r="V189" s="166">
        <f t="shared" si="107"/>
        <v>-2385769.9577646758</v>
      </c>
      <c r="W189" s="166">
        <f t="shared" si="107"/>
        <v>-10945374.660585044</v>
      </c>
      <c r="X189" s="166">
        <f t="shared" si="107"/>
        <v>-10014190.263218891</v>
      </c>
      <c r="Y189" s="166">
        <f t="shared" si="107"/>
        <v>-7979416.0449499879</v>
      </c>
      <c r="Z189" s="166">
        <f t="shared" si="107"/>
        <v>-619216.02089849359</v>
      </c>
      <c r="AA189" s="166">
        <f t="shared" si="107"/>
        <v>28938744</v>
      </c>
      <c r="AB189" s="166">
        <f t="shared" si="107"/>
        <v>691762</v>
      </c>
      <c r="AC189" s="166">
        <f t="shared" si="107"/>
        <v>146951</v>
      </c>
      <c r="AD189" s="166">
        <f t="shared" si="107"/>
        <v>-5530000</v>
      </c>
      <c r="AE189" s="166">
        <f t="shared" si="107"/>
        <v>0</v>
      </c>
      <c r="AF189" s="166">
        <f t="shared" si="107"/>
        <v>0</v>
      </c>
      <c r="AG189" s="166">
        <f t="shared" si="107"/>
        <v>42844292</v>
      </c>
      <c r="AH189" s="166">
        <f t="shared" si="107"/>
        <v>0</v>
      </c>
      <c r="AI189" s="166">
        <f t="shared" si="107"/>
        <v>0</v>
      </c>
      <c r="AJ189" s="166">
        <f t="shared" si="107"/>
        <v>0</v>
      </c>
      <c r="AK189" s="166">
        <f t="shared" si="107"/>
        <v>0</v>
      </c>
      <c r="AL189" s="166">
        <f t="shared" si="107"/>
        <v>0</v>
      </c>
      <c r="AM189" s="166">
        <f t="shared" si="107"/>
        <v>-3347016</v>
      </c>
      <c r="AN189" s="166"/>
      <c r="AO189" s="166"/>
      <c r="AP189" s="166"/>
      <c r="AQ189" s="166"/>
      <c r="AR189" s="166"/>
      <c r="AS189" s="166"/>
      <c r="AT189" s="166"/>
      <c r="AU189" s="166"/>
      <c r="AV189" s="166"/>
      <c r="AW189" s="166"/>
      <c r="AX189" s="166"/>
      <c r="AY189" s="166"/>
      <c r="AZ189" s="186"/>
      <c r="BA189" s="186"/>
      <c r="BB189" s="186"/>
      <c r="BC189" s="186"/>
      <c r="BD189" s="186"/>
      <c r="BE189" s="186"/>
      <c r="BF189" s="186"/>
      <c r="BG189" s="186"/>
      <c r="BH189" s="186"/>
      <c r="BI189" s="183">
        <f t="shared" si="79"/>
        <v>-34805988.999999993</v>
      </c>
      <c r="BJ189" s="183">
        <f t="shared" si="80"/>
        <v>691762</v>
      </c>
      <c r="BK189" s="183">
        <f t="shared" si="81"/>
        <v>34114227</v>
      </c>
      <c r="BL189" s="183">
        <f t="shared" si="82"/>
        <v>0</v>
      </c>
    </row>
    <row r="190" spans="1:64" s="187" customFormat="1" hidden="1" outlineLevel="1" x14ac:dyDescent="0.3">
      <c r="A190" s="180"/>
      <c r="B190" s="180"/>
      <c r="C190" s="180"/>
      <c r="D190" s="180"/>
      <c r="E190" s="180" t="s">
        <v>2755</v>
      </c>
      <c r="F190" s="180"/>
      <c r="G190" s="180"/>
      <c r="H190" s="180" t="s">
        <v>2707</v>
      </c>
      <c r="I190" s="181">
        <f>SUM(I191:I192)</f>
        <v>0</v>
      </c>
      <c r="J190" s="181">
        <f t="shared" si="103"/>
        <v>3.7252902984619141E-9</v>
      </c>
      <c r="K190" s="166">
        <f t="shared" si="102"/>
        <v>-3.7252902984619141E-9</v>
      </c>
      <c r="L190" s="166">
        <f t="shared" si="104"/>
        <v>3.7252902984619141E-9</v>
      </c>
      <c r="M190" s="182"/>
      <c r="N190" s="166">
        <f t="shared" ref="N190:AM190" si="108">SUM(N191:N192)</f>
        <v>-6551821.3348161466</v>
      </c>
      <c r="O190" s="166">
        <f t="shared" si="108"/>
        <v>-1513661.763568325</v>
      </c>
      <c r="P190" s="166">
        <f t="shared" si="108"/>
        <v>-366661.39061692473</v>
      </c>
      <c r="Q190" s="166">
        <f t="shared" si="108"/>
        <v>-1734169.1391152882</v>
      </c>
      <c r="R190" s="166">
        <f t="shared" si="108"/>
        <v>-658969.42075684783</v>
      </c>
      <c r="S190" s="166">
        <f t="shared" si="108"/>
        <v>-1292063.6864163619</v>
      </c>
      <c r="T190" s="166">
        <f t="shared" si="108"/>
        <v>-965131.68192198011</v>
      </c>
      <c r="U190" s="166">
        <f t="shared" si="108"/>
        <v>-1719595.5091591217</v>
      </c>
      <c r="V190" s="166">
        <f t="shared" si="108"/>
        <v>-2767829.3708152282</v>
      </c>
      <c r="W190" s="166">
        <f t="shared" si="108"/>
        <v>-1652528.9636602034</v>
      </c>
      <c r="X190" s="166">
        <f t="shared" si="108"/>
        <v>-572223.83353367925</v>
      </c>
      <c r="Y190" s="166">
        <f t="shared" si="108"/>
        <v>-3734423.0570162507</v>
      </c>
      <c r="Z190" s="166">
        <f t="shared" si="108"/>
        <v>-718377.84860364068</v>
      </c>
      <c r="AA190" s="166">
        <f t="shared" si="108"/>
        <v>28938744</v>
      </c>
      <c r="AB190" s="166">
        <f t="shared" si="108"/>
        <v>0</v>
      </c>
      <c r="AC190" s="166">
        <f t="shared" si="108"/>
        <v>0</v>
      </c>
      <c r="AD190" s="166">
        <f t="shared" si="108"/>
        <v>-4691287</v>
      </c>
      <c r="AE190" s="166">
        <f t="shared" si="108"/>
        <v>0</v>
      </c>
      <c r="AF190" s="166">
        <f t="shared" si="108"/>
        <v>0</v>
      </c>
      <c r="AG190" s="166">
        <f t="shared" si="108"/>
        <v>0</v>
      </c>
      <c r="AH190" s="166">
        <f t="shared" si="108"/>
        <v>0</v>
      </c>
      <c r="AI190" s="166">
        <f t="shared" si="108"/>
        <v>0</v>
      </c>
      <c r="AJ190" s="166">
        <f t="shared" si="108"/>
        <v>0</v>
      </c>
      <c r="AK190" s="166">
        <f t="shared" si="108"/>
        <v>0</v>
      </c>
      <c r="AL190" s="166">
        <f t="shared" si="108"/>
        <v>0</v>
      </c>
      <c r="AM190" s="166">
        <f t="shared" si="108"/>
        <v>0</v>
      </c>
      <c r="AN190" s="166"/>
      <c r="AO190" s="166"/>
      <c r="AP190" s="166"/>
      <c r="AQ190" s="166"/>
      <c r="AR190" s="166"/>
      <c r="AS190" s="166"/>
      <c r="AT190" s="166"/>
      <c r="AU190" s="166"/>
      <c r="AV190" s="166"/>
      <c r="AW190" s="166"/>
      <c r="AX190" s="166"/>
      <c r="AY190" s="166"/>
      <c r="AZ190" s="186"/>
      <c r="BA190" s="186"/>
      <c r="BB190" s="186"/>
      <c r="BC190" s="186"/>
      <c r="BD190" s="186"/>
      <c r="BE190" s="186"/>
      <c r="BF190" s="186"/>
      <c r="BG190" s="186"/>
      <c r="BH190" s="186"/>
      <c r="BI190" s="183">
        <f t="shared" ref="BI190:BI224" si="109">+SUM(N190:AA190)</f>
        <v>4691287.0000000037</v>
      </c>
      <c r="BJ190" s="183">
        <f t="shared" ref="BJ190:BJ224" si="110">+AB190</f>
        <v>0</v>
      </c>
      <c r="BK190" s="183">
        <f t="shared" ref="BK190:BK224" si="111">+SUM(AC190:AM190)</f>
        <v>-4691287</v>
      </c>
      <c r="BL190" s="183">
        <f t="shared" ref="BL190:BL224" si="112">+SUM(AN190:BH190)</f>
        <v>0</v>
      </c>
    </row>
    <row r="191" spans="1:64" s="187" customFormat="1" hidden="1" outlineLevel="1" x14ac:dyDescent="0.3">
      <c r="A191" s="185"/>
      <c r="B191" s="185"/>
      <c r="C191" s="185"/>
      <c r="D191" s="185"/>
      <c r="E191" s="885" t="s">
        <v>4273</v>
      </c>
      <c r="F191" s="185" t="s">
        <v>82</v>
      </c>
      <c r="G191" s="185">
        <v>344</v>
      </c>
      <c r="H191" s="185" t="str">
        <f>IFERROR(VLOOKUP(G191,'2022. tervsor'!C:D,2,0)," ")</f>
        <v>T Belső működésre átadás</v>
      </c>
      <c r="I191" s="166">
        <v>0</v>
      </c>
      <c r="J191" s="181">
        <f t="shared" si="103"/>
        <v>3.7252902984619141E-9</v>
      </c>
      <c r="K191" s="166">
        <f t="shared" si="102"/>
        <v>-3.7252902984619141E-9</v>
      </c>
      <c r="L191" s="166">
        <f t="shared" si="104"/>
        <v>3.7252902984619141E-9</v>
      </c>
      <c r="M191" s="193">
        <v>7</v>
      </c>
      <c r="N191" s="166">
        <f>IFERROR(VLOOKUP($M191,'1 b felosztások'!$A:$U,'1 b felosztások'!C$2,0)*-$AA191,0)</f>
        <v>-7819437.7390578631</v>
      </c>
      <c r="O191" s="166">
        <f>IFERROR(VLOOKUP($M191,'1 b felosztások'!$A:$U,'1 b felosztások'!D$2,0)*-$AA191,0)</f>
        <v>-1806518.113569282</v>
      </c>
      <c r="P191" s="166">
        <f>IFERROR(VLOOKUP($M191,'1 b felosztások'!$A:$U,'1 b felosztások'!E$2,0)*-$AA191,0)</f>
        <v>-437601.35826809332</v>
      </c>
      <c r="Q191" s="166">
        <f>IFERROR(VLOOKUP($M191,'1 b felosztások'!$A:$U,'1 b felosztások'!F$2,0)*-$AA191,0)</f>
        <v>-2069688.2468770936</v>
      </c>
      <c r="R191" s="166">
        <f>IFERROR(VLOOKUP($M191,'1 b felosztások'!$A:$U,'1 b felosztások'!G$2,0)*-$AA191,0)</f>
        <v>-786463.80818865681</v>
      </c>
      <c r="S191" s="166">
        <f>IFERROR(VLOOKUP($M191,'1 b felosztások'!$A:$U,'1 b felosztások'!H$2,0)*-$AA191,0)</f>
        <v>-1542046.2547020654</v>
      </c>
      <c r="T191" s="166">
        <f>IFERROR(VLOOKUP($M191,'1 b felosztások'!$A:$U,'1 b felosztások'!I$2,0)*-$AA191,0)</f>
        <v>-1151860.9423425149</v>
      </c>
      <c r="U191" s="166">
        <f>IFERROR(VLOOKUP($M191,'1 b felosztások'!$A:$U,'1 b felosztások'!J$2,0)*-$AA191,0)</f>
        <v>-2052294.9777003617</v>
      </c>
      <c r="V191" s="166">
        <f>IFERROR(VLOOKUP($M191,'1 b felosztások'!$A:$U,'1 b felosztások'!K$2,0)*-$AA191,0)</f>
        <v>-3303336.3291541445</v>
      </c>
      <c r="W191" s="166">
        <f>IFERROR(VLOOKUP($M191,'1 b felosztások'!$A:$U,'1 b felosztások'!L$2,0)*-$AA191,0)</f>
        <v>-1972252.7039411978</v>
      </c>
      <c r="X191" s="166">
        <f>IFERROR(VLOOKUP($M191,'1 b felosztások'!$A:$U,'1 b felosztások'!M$2,0)*-$AA191,0)</f>
        <v>-682935.0817832055</v>
      </c>
      <c r="Y191" s="166">
        <f>IFERROR(VLOOKUP($M191,'1 b felosztások'!$A:$U,'1 b felosztások'!N$2,0)*-$AA191,0)</f>
        <v>-4456942.1376720322</v>
      </c>
      <c r="Z191" s="166">
        <f>IFERROR(VLOOKUP($M191,'1 b felosztások'!$A:$U,'1 b felosztások'!O$2,0)*-$AA191,0)</f>
        <v>-857366.30674348713</v>
      </c>
      <c r="AA191" s="166">
        <f>26425038+2513706</f>
        <v>28938744</v>
      </c>
      <c r="AB191" s="166"/>
      <c r="AC191" s="166"/>
      <c r="AD191" s="166">
        <f>IFERROR(VLOOKUP($M191,'1 b felosztások'!$A:$U,'1 b felosztások'!S$2,0)*-$AA191,0)</f>
        <v>0</v>
      </c>
      <c r="AE191" s="166">
        <f>IFERROR(VLOOKUP($M191,'1 b felosztások'!$A:$U,'1 b felosztások'!T$2,0)*-$AA191,0)</f>
        <v>0</v>
      </c>
      <c r="AF191" s="166"/>
      <c r="AG191" s="166"/>
      <c r="AH191" s="166"/>
      <c r="AI191" s="166"/>
      <c r="AJ191" s="166"/>
      <c r="AK191" s="166"/>
      <c r="AL191" s="166"/>
      <c r="AM191" s="166"/>
      <c r="AN191" s="166"/>
      <c r="AO191" s="166"/>
      <c r="AP191" s="166"/>
      <c r="AQ191" s="166"/>
      <c r="AR191" s="166"/>
      <c r="AS191" s="166"/>
      <c r="AT191" s="166"/>
      <c r="AU191" s="166"/>
      <c r="AV191" s="166"/>
      <c r="AW191" s="166"/>
      <c r="AX191" s="166"/>
      <c r="AY191" s="166"/>
      <c r="AZ191" s="186"/>
      <c r="BA191" s="186"/>
      <c r="BB191" s="186"/>
      <c r="BC191" s="186"/>
      <c r="BD191" s="186"/>
      <c r="BE191" s="186"/>
      <c r="BF191" s="186"/>
      <c r="BG191" s="186"/>
      <c r="BH191" s="186"/>
      <c r="BI191" s="183">
        <f t="shared" si="109"/>
        <v>0</v>
      </c>
      <c r="BJ191" s="183">
        <f t="shared" si="110"/>
        <v>0</v>
      </c>
      <c r="BK191" s="183">
        <f t="shared" si="111"/>
        <v>0</v>
      </c>
      <c r="BL191" s="183">
        <f t="shared" si="112"/>
        <v>0</v>
      </c>
    </row>
    <row r="192" spans="1:64" s="187" customFormat="1" hidden="1" outlineLevel="1" x14ac:dyDescent="0.3">
      <c r="A192" s="185"/>
      <c r="B192" s="185"/>
      <c r="C192" s="185"/>
      <c r="D192" s="185"/>
      <c r="E192" s="885" t="s">
        <v>4268</v>
      </c>
      <c r="F192" s="185" t="s">
        <v>82</v>
      </c>
      <c r="G192" s="185">
        <v>299</v>
      </c>
      <c r="H192" s="185" t="str">
        <f>IFERROR(VLOOKUP(G192,'2022. tervsor'!C:D,2,0)," ")</f>
        <v>SB Belső működési átadás</v>
      </c>
      <c r="I192" s="166">
        <v>0</v>
      </c>
      <c r="J192" s="181">
        <f>SUM(N192:AM192)</f>
        <v>-9.3132257461547852E-10</v>
      </c>
      <c r="K192" s="166">
        <f t="shared" si="102"/>
        <v>9.3132257461547852E-10</v>
      </c>
      <c r="L192" s="166">
        <f>SUM(N192:BH192)</f>
        <v>-9.3132257461547852E-10</v>
      </c>
      <c r="M192" s="193">
        <v>7</v>
      </c>
      <c r="N192" s="166">
        <f>IFERROR(VLOOKUP($M192,'1 b felosztások'!$A:$U,'1 b felosztások'!C$2,0)*-$AD192,0)</f>
        <v>1267616.4042417165</v>
      </c>
      <c r="O192" s="166">
        <f>IFERROR(VLOOKUP($M192,'1 b felosztások'!$A:$U,'1 b felosztások'!D$2,0)*-$AD192,0)</f>
        <v>292856.35000095709</v>
      </c>
      <c r="P192" s="166">
        <f>IFERROR(VLOOKUP($M192,'1 b felosztások'!$A:$U,'1 b felosztások'!E$2,0)*-$AD192,0)</f>
        <v>70939.967651168568</v>
      </c>
      <c r="Q192" s="166">
        <f>IFERROR(VLOOKUP($M192,'1 b felosztások'!$A:$U,'1 b felosztások'!F$2,0)*-$AD192,0)</f>
        <v>335519.10776180541</v>
      </c>
      <c r="R192" s="166">
        <f>IFERROR(VLOOKUP($M192,'1 b felosztások'!$A:$U,'1 b felosztások'!G$2,0)*-$AD192,0)</f>
        <v>127494.38743180904</v>
      </c>
      <c r="S192" s="166">
        <f>IFERROR(VLOOKUP($M192,'1 b felosztások'!$A:$U,'1 b felosztások'!H$2,0)*-$AD192,0)</f>
        <v>249982.56828570334</v>
      </c>
      <c r="T192" s="166">
        <f>IFERROR(VLOOKUP($M192,'1 b felosztások'!$A:$U,'1 b felosztások'!I$2,0)*-$AD192,0)</f>
        <v>186729.26042053482</v>
      </c>
      <c r="U192" s="166">
        <f>IFERROR(VLOOKUP($M192,'1 b felosztások'!$A:$U,'1 b felosztások'!J$2,0)*-$AD192,0)</f>
        <v>332699.46854123997</v>
      </c>
      <c r="V192" s="166">
        <f>IFERROR(VLOOKUP($M192,'1 b felosztások'!$A:$U,'1 b felosztások'!K$2,0)*-$AD192,0)</f>
        <v>535506.95833891619</v>
      </c>
      <c r="W192" s="166">
        <f>IFERROR(VLOOKUP($M192,'1 b felosztások'!$A:$U,'1 b felosztások'!L$2,0)*-$AD192,0)</f>
        <v>319723.74028099456</v>
      </c>
      <c r="X192" s="166">
        <f>IFERROR(VLOOKUP($M192,'1 b felosztások'!$A:$U,'1 b felosztások'!M$2,0)*-$AD192,0)</f>
        <v>110711.24824952627</v>
      </c>
      <c r="Y192" s="166">
        <f>IFERROR(VLOOKUP($M192,'1 b felosztások'!$A:$U,'1 b felosztások'!N$2,0)*-$AD192,0)</f>
        <v>722519.08065578155</v>
      </c>
      <c r="Z192" s="166">
        <f>IFERROR(VLOOKUP($M192,'1 b felosztások'!$A:$U,'1 b felosztások'!O$2,0)*-$AD192,0)</f>
        <v>138988.45813984648</v>
      </c>
      <c r="AA192" s="166">
        <f>IFERROR(VLOOKUP($M192,'1 b felosztások'!$A:$U,'1 b felosztások'!P$2,0)*-$AD192,0)</f>
        <v>0</v>
      </c>
      <c r="AB192" s="166">
        <f>IFERROR(VLOOKUP($M192,'1 b felosztások'!$A:$U,'1 b felosztások'!Q$2,0)*-$AD192,0)</f>
        <v>0</v>
      </c>
      <c r="AC192" s="166">
        <f>IFERROR(VLOOKUP($M192,'1 b felosztások'!$A:$U,'1 b felosztások'!R$2,0)*-$AD192,0)</f>
        <v>0</v>
      </c>
      <c r="AD192" s="166">
        <f>+-5530000+691762+146951</f>
        <v>-4691287</v>
      </c>
      <c r="AE192" s="166">
        <f>IFERROR(VLOOKUP($M192,'1 b felosztások'!$A:$U,'1 b felosztások'!T$2,0)*-$AD192,0)</f>
        <v>0</v>
      </c>
      <c r="AF192" s="166"/>
      <c r="AG192" s="166"/>
      <c r="AH192" s="166"/>
      <c r="AI192" s="166"/>
      <c r="AJ192" s="166"/>
      <c r="AK192" s="166"/>
      <c r="AL192" s="166"/>
      <c r="AM192" s="166"/>
      <c r="AN192" s="166"/>
      <c r="AO192" s="166"/>
      <c r="AP192" s="166"/>
      <c r="AQ192" s="166"/>
      <c r="AR192" s="166"/>
      <c r="AS192" s="166"/>
      <c r="AT192" s="166"/>
      <c r="AU192" s="166"/>
      <c r="AV192" s="166"/>
      <c r="AW192" s="166"/>
      <c r="AX192" s="166"/>
      <c r="AY192" s="166"/>
      <c r="AZ192" s="186"/>
      <c r="BA192" s="186"/>
      <c r="BB192" s="186"/>
      <c r="BC192" s="186"/>
      <c r="BD192" s="186"/>
      <c r="BE192" s="186"/>
      <c r="BF192" s="186"/>
      <c r="BG192" s="186"/>
      <c r="BH192" s="186"/>
      <c r="BI192" s="183">
        <f>+SUM(N192:AA192)</f>
        <v>4691286.9999999991</v>
      </c>
      <c r="BJ192" s="183">
        <f>+AB192</f>
        <v>0</v>
      </c>
      <c r="BK192" s="183">
        <f>+SUM(AC192:AM192)</f>
        <v>-4691287</v>
      </c>
      <c r="BL192" s="183">
        <f>+SUM(AN192:BH192)</f>
        <v>0</v>
      </c>
    </row>
    <row r="193" spans="1:64" s="187" customFormat="1" hidden="1" outlineLevel="1" x14ac:dyDescent="0.3">
      <c r="A193" s="185"/>
      <c r="B193" s="185"/>
      <c r="C193" s="185"/>
      <c r="D193" s="185"/>
      <c r="E193" s="180" t="s">
        <v>2756</v>
      </c>
      <c r="F193" s="185"/>
      <c r="G193" s="185"/>
      <c r="H193" s="180" t="s">
        <v>2707</v>
      </c>
      <c r="I193" s="181">
        <f>SUM(I194:I198)</f>
        <v>0</v>
      </c>
      <c r="J193" s="181">
        <f t="shared" si="103"/>
        <v>-7.4505805969238281E-9</v>
      </c>
      <c r="K193" s="166">
        <f t="shared" si="102"/>
        <v>7.4505805969238281E-9</v>
      </c>
      <c r="L193" s="166">
        <f t="shared" si="104"/>
        <v>-7.4505805969238281E-9</v>
      </c>
      <c r="M193" s="182"/>
      <c r="N193" s="166">
        <f t="shared" ref="N193:AD193" si="113">SUM(N194:N198)</f>
        <v>-13377045.071229957</v>
      </c>
      <c r="O193" s="166">
        <f t="shared" si="113"/>
        <v>208939.44223723753</v>
      </c>
      <c r="P193" s="166">
        <f t="shared" si="113"/>
        <v>50612.381371667012</v>
      </c>
      <c r="Q193" s="166">
        <f t="shared" si="113"/>
        <v>239377.34399632487</v>
      </c>
      <c r="R193" s="166">
        <f t="shared" si="113"/>
        <v>90961.340596826369</v>
      </c>
      <c r="S193" s="166">
        <f t="shared" si="113"/>
        <v>178350.98466014586</v>
      </c>
      <c r="T193" s="166">
        <f t="shared" si="113"/>
        <v>-4627254.209846721</v>
      </c>
      <c r="U193" s="166">
        <f t="shared" si="113"/>
        <v>237365.66200256496</v>
      </c>
      <c r="V193" s="166">
        <f t="shared" si="113"/>
        <v>382059.41305055219</v>
      </c>
      <c r="W193" s="166">
        <f t="shared" si="113"/>
        <v>-9292845.696924841</v>
      </c>
      <c r="X193" s="166">
        <f t="shared" si="113"/>
        <v>-9441966.4296852108</v>
      </c>
      <c r="Y193" s="166">
        <f t="shared" si="113"/>
        <v>-4244992.9879337372</v>
      </c>
      <c r="Z193" s="166">
        <f t="shared" si="113"/>
        <v>99161.827705147094</v>
      </c>
      <c r="AA193" s="166">
        <f t="shared" si="113"/>
        <v>0</v>
      </c>
      <c r="AB193" s="166">
        <f t="shared" si="113"/>
        <v>691762</v>
      </c>
      <c r="AC193" s="166">
        <f t="shared" si="113"/>
        <v>146951</v>
      </c>
      <c r="AD193" s="166">
        <f t="shared" si="113"/>
        <v>-838713</v>
      </c>
      <c r="AE193" s="166">
        <f t="shared" ref="AE193:AM193" si="114">SUM(AE194:AE198)</f>
        <v>0</v>
      </c>
      <c r="AF193" s="166">
        <f t="shared" si="114"/>
        <v>0</v>
      </c>
      <c r="AG193" s="166">
        <f t="shared" si="114"/>
        <v>42844292</v>
      </c>
      <c r="AH193" s="166">
        <f t="shared" si="114"/>
        <v>0</v>
      </c>
      <c r="AI193" s="166">
        <f t="shared" si="114"/>
        <v>0</v>
      </c>
      <c r="AJ193" s="166">
        <f t="shared" si="114"/>
        <v>0</v>
      </c>
      <c r="AK193" s="166">
        <f t="shared" si="114"/>
        <v>0</v>
      </c>
      <c r="AL193" s="166">
        <f t="shared" si="114"/>
        <v>0</v>
      </c>
      <c r="AM193" s="166">
        <f t="shared" si="114"/>
        <v>-3347016</v>
      </c>
      <c r="AN193" s="166"/>
      <c r="AO193" s="166"/>
      <c r="AP193" s="166"/>
      <c r="AQ193" s="166"/>
      <c r="AR193" s="166"/>
      <c r="AS193" s="166"/>
      <c r="AT193" s="166"/>
      <c r="AU193" s="166"/>
      <c r="AV193" s="166"/>
      <c r="AW193" s="166"/>
      <c r="AX193" s="166"/>
      <c r="AY193" s="166"/>
      <c r="AZ193" s="186"/>
      <c r="BA193" s="186"/>
      <c r="BB193" s="186"/>
      <c r="BC193" s="186"/>
      <c r="BD193" s="186"/>
      <c r="BE193" s="186"/>
      <c r="BF193" s="186"/>
      <c r="BG193" s="186"/>
      <c r="BH193" s="186"/>
      <c r="BI193" s="183">
        <f t="shared" si="109"/>
        <v>-39497276.000000007</v>
      </c>
      <c r="BJ193" s="183">
        <f t="shared" si="110"/>
        <v>691762</v>
      </c>
      <c r="BK193" s="183">
        <f t="shared" si="111"/>
        <v>38805514</v>
      </c>
      <c r="BL193" s="183">
        <f t="shared" si="112"/>
        <v>0</v>
      </c>
    </row>
    <row r="194" spans="1:64" s="187" customFormat="1" hidden="1" outlineLevel="1" x14ac:dyDescent="0.3">
      <c r="A194" s="185"/>
      <c r="B194" s="185"/>
      <c r="C194" s="185"/>
      <c r="D194" s="185"/>
      <c r="E194" s="885" t="s">
        <v>4270</v>
      </c>
      <c r="F194" s="185" t="s">
        <v>82</v>
      </c>
      <c r="G194" s="185">
        <v>344</v>
      </c>
      <c r="H194" s="185" t="str">
        <f>IFERROR(VLOOKUP(G194,'2022. tervsor'!C:D,2,0)," ")</f>
        <v>T Belső működésre átadás</v>
      </c>
      <c r="I194" s="166">
        <v>0</v>
      </c>
      <c r="J194" s="181">
        <f>SUM(N194:AM194)</f>
        <v>0</v>
      </c>
      <c r="K194" s="166">
        <f t="shared" si="102"/>
        <v>0</v>
      </c>
      <c r="L194" s="166">
        <f>SUM(N194:BH194)</f>
        <v>0</v>
      </c>
      <c r="M194" s="193"/>
      <c r="N194" s="166">
        <f>IFERROR(VLOOKUP($M194,'1 b felosztások'!$A:$U,'1 b felosztások'!C$2,0)*-$AB194,0)</f>
        <v>0</v>
      </c>
      <c r="O194" s="166">
        <f>IFERROR(VLOOKUP($M194,'1 b felosztások'!$A:$U,'1 b felosztások'!D$2,0)*-$AB194,0)</f>
        <v>0</v>
      </c>
      <c r="P194" s="166">
        <f>IFERROR(VLOOKUP($M194,'1 b felosztások'!$A:$U,'1 b felosztások'!E$2,0)*-$AB194,0)</f>
        <v>0</v>
      </c>
      <c r="Q194" s="166">
        <f>IFERROR(VLOOKUP($M194,'1 b felosztások'!$A:$U,'1 b felosztások'!F$2,0)*-$AB194,0)</f>
        <v>0</v>
      </c>
      <c r="R194" s="166">
        <f>IFERROR(VLOOKUP($M194,'1 b felosztások'!$A:$U,'1 b felosztások'!G$2,0)*-$AB194,0)</f>
        <v>0</v>
      </c>
      <c r="S194" s="166">
        <f>IFERROR(VLOOKUP($M194,'1 b felosztások'!$A:$U,'1 b felosztások'!H$2,0)*-$AB194,0)</f>
        <v>0</v>
      </c>
      <c r="T194" s="166">
        <f>IFERROR(VLOOKUP($M194,'1 b felosztások'!$A:$U,'1 b felosztások'!I$2,0)*-$AB194,0)</f>
        <v>0</v>
      </c>
      <c r="U194" s="166">
        <f>IFERROR(VLOOKUP($M194,'1 b felosztások'!$A:$U,'1 b felosztások'!J$2,0)*-$AB194,0)</f>
        <v>0</v>
      </c>
      <c r="V194" s="166">
        <f>IFERROR(VLOOKUP($M194,'1 b felosztások'!$A:$U,'1 b felosztások'!K$2,0)*-$AB194,0)</f>
        <v>0</v>
      </c>
      <c r="W194" s="166">
        <f>IFERROR(VLOOKUP($M194,'1 b felosztások'!$A:$U,'1 b felosztások'!L$2,0)*-$AB194,0)</f>
        <v>0</v>
      </c>
      <c r="X194" s="166">
        <f>IFERROR(VLOOKUP($M194,'1 b felosztások'!$A:$U,'1 b felosztások'!M$2,0)*-$AB194,0)</f>
        <v>0</v>
      </c>
      <c r="Y194" s="166">
        <f>IFERROR(VLOOKUP($M194,'1 b felosztások'!$A:$U,'1 b felosztások'!N$2,0)*-$AB194,0)</f>
        <v>0</v>
      </c>
      <c r="Z194" s="166">
        <f>IFERROR(VLOOKUP($M194,'1 b felosztások'!$A:$U,'1 b felosztások'!O$2,0)*-$AB194,0)</f>
        <v>0</v>
      </c>
      <c r="AA194" s="166">
        <f>IFERROR(VLOOKUP($M194,'1 b felosztások'!$A:$U,'1 b felosztások'!P$2,0)*-$AB194,0)</f>
        <v>0</v>
      </c>
      <c r="AB194" s="166">
        <v>691762</v>
      </c>
      <c r="AC194" s="166">
        <v>146951</v>
      </c>
      <c r="AD194" s="166">
        <f>+-691762-146951</f>
        <v>-838713</v>
      </c>
      <c r="AE194" s="166">
        <f>IFERROR(VLOOKUP($M194,'1 b felosztások'!$A:$U,'1 b felosztások'!T$2,0)*-$AB194,0)</f>
        <v>0</v>
      </c>
      <c r="AF194" s="166"/>
      <c r="AG194" s="166"/>
      <c r="AH194" s="166"/>
      <c r="AI194" s="166"/>
      <c r="AJ194" s="166"/>
      <c r="AK194" s="166"/>
      <c r="AL194" s="166"/>
      <c r="AM194" s="166"/>
      <c r="AN194" s="166"/>
      <c r="AO194" s="166"/>
      <c r="AP194" s="166"/>
      <c r="AQ194" s="166"/>
      <c r="AR194" s="166"/>
      <c r="AS194" s="166"/>
      <c r="AT194" s="166"/>
      <c r="AU194" s="166"/>
      <c r="AV194" s="166"/>
      <c r="AW194" s="166"/>
      <c r="AX194" s="166"/>
      <c r="AY194" s="166"/>
      <c r="AZ194" s="186"/>
      <c r="BA194" s="186"/>
      <c r="BB194" s="186"/>
      <c r="BC194" s="186"/>
      <c r="BD194" s="186"/>
      <c r="BE194" s="186"/>
      <c r="BF194" s="186"/>
      <c r="BG194" s="186"/>
      <c r="BH194" s="186"/>
      <c r="BI194" s="183"/>
      <c r="BJ194" s="183"/>
      <c r="BK194" s="183"/>
      <c r="BL194" s="183"/>
    </row>
    <row r="195" spans="1:64" s="187" customFormat="1" hidden="1" outlineLevel="1" x14ac:dyDescent="0.3">
      <c r="A195" s="185"/>
      <c r="B195" s="185"/>
      <c r="C195" s="185"/>
      <c r="D195" s="185"/>
      <c r="E195" s="885" t="s">
        <v>4272</v>
      </c>
      <c r="F195" s="185" t="s">
        <v>82</v>
      </c>
      <c r="G195" s="185">
        <v>344</v>
      </c>
      <c r="H195" s="185" t="s">
        <v>718</v>
      </c>
      <c r="I195" s="166">
        <v>0</v>
      </c>
      <c r="J195" s="181">
        <v>0</v>
      </c>
      <c r="K195" s="166">
        <f t="shared" ref="K195:K196" si="115">+I195-J195</f>
        <v>0</v>
      </c>
      <c r="L195" s="166">
        <f t="shared" ref="L195:L196" si="116">SUM(N195:BH195)</f>
        <v>0</v>
      </c>
      <c r="M195" s="193">
        <v>4</v>
      </c>
      <c r="N195" s="166">
        <f>IFERROR(VLOOKUP($M195,'1 b felosztások'!$A:$U,'1 b felosztások'!C$2,0)*-$AG195,0)</f>
        <v>-14281430.666666666</v>
      </c>
      <c r="O195" s="166">
        <f>IFERROR(VLOOKUP($M195,'1 b felosztások'!$A:$U,'1 b felosztások'!D$2,0)*-$AG195,0)</f>
        <v>0</v>
      </c>
      <c r="P195" s="166">
        <f>IFERROR(VLOOKUP($M195,'1 b felosztások'!$A:$U,'1 b felosztások'!E$2,0)*-$AG195,0)</f>
        <v>0</v>
      </c>
      <c r="Q195" s="166">
        <f>IFERROR(VLOOKUP($M195,'1 b felosztások'!$A:$U,'1 b felosztások'!F$2,0)*-$AG195,0)</f>
        <v>0</v>
      </c>
      <c r="R195" s="166">
        <f>IFERROR(VLOOKUP($M195,'1 b felosztások'!$A:$U,'1 b felosztások'!G$2,0)*-$AG195,0)</f>
        <v>0</v>
      </c>
      <c r="S195" s="166">
        <f>IFERROR(VLOOKUP($M195,'1 b felosztások'!$A:$U,'1 b felosztások'!H$2,0)*-$AG195,0)</f>
        <v>0</v>
      </c>
      <c r="T195" s="166">
        <f>IFERROR(VLOOKUP($M195,'1 b felosztások'!$A:$U,'1 b felosztások'!I$2,0)*-$AG195,0)</f>
        <v>-4760476.888888889</v>
      </c>
      <c r="U195" s="166">
        <f>IFERROR(VLOOKUP($M195,'1 b felosztások'!$A:$U,'1 b felosztások'!J$2,0)*-$AG195,0)</f>
        <v>0</v>
      </c>
      <c r="V195" s="166">
        <f>IFERROR(VLOOKUP($M195,'1 b felosztások'!$A:$U,'1 b felosztások'!K$2,0)*-$AG195,0)</f>
        <v>0</v>
      </c>
      <c r="W195" s="166">
        <f>IFERROR(VLOOKUP($M195,'1 b felosztások'!$A:$U,'1 b felosztások'!L$2,0)*-$AG195,0)</f>
        <v>-9520953.777777778</v>
      </c>
      <c r="X195" s="166">
        <f>IFERROR(VLOOKUP($M195,'1 b felosztások'!$A:$U,'1 b felosztások'!M$2,0)*-$AG195,0)</f>
        <v>-9520953.777777778</v>
      </c>
      <c r="Y195" s="166">
        <f>IFERROR(VLOOKUP($M195,'1 b felosztások'!$A:$U,'1 b felosztások'!N$2,0)*-$AG195,0)</f>
        <v>-4760476.888888889</v>
      </c>
      <c r="Z195" s="166">
        <f>IFERROR(VLOOKUP($M195,'1 b felosztások'!$A:$U,'1 b felosztások'!O$2,0)*-$AG195,0)</f>
        <v>0</v>
      </c>
      <c r="AA195" s="166">
        <f>IFERROR(VLOOKUP($M195,'1 b felosztások'!$A:$U,'1 b felosztások'!P$2,0)*-$AG195,0)</f>
        <v>0</v>
      </c>
      <c r="AB195" s="166">
        <f>IFERROR(VLOOKUP($M195,'1 b felosztások'!$A:$U,'1 b felosztások'!Q$2,0)*-$AG195,0)</f>
        <v>0</v>
      </c>
      <c r="AC195" s="166">
        <f>IFERROR(VLOOKUP($M195,'1 b felosztások'!$A:$U,'1 b felosztások'!R$2,0)*-$AG195,0)</f>
        <v>0</v>
      </c>
      <c r="AD195" s="166">
        <f>IFERROR(VLOOKUP($M195,'1 b felosztások'!$A:$U,'1 b felosztások'!S$2,0)*-$AG195,0)</f>
        <v>0</v>
      </c>
      <c r="AE195" s="166"/>
      <c r="AF195" s="166"/>
      <c r="AG195" s="166">
        <v>42844292</v>
      </c>
      <c r="AH195" s="166"/>
      <c r="AI195" s="166"/>
      <c r="AJ195" s="166"/>
      <c r="AK195" s="166"/>
      <c r="AL195" s="166"/>
      <c r="AM195" s="166"/>
      <c r="AN195" s="166"/>
      <c r="AO195" s="166"/>
      <c r="AP195" s="166"/>
      <c r="AQ195" s="166"/>
      <c r="AR195" s="166"/>
      <c r="AS195" s="166"/>
      <c r="AT195" s="166"/>
      <c r="AU195" s="166"/>
      <c r="AV195" s="166"/>
      <c r="AW195" s="166"/>
      <c r="AX195" s="166"/>
      <c r="AY195" s="166"/>
      <c r="AZ195" s="186"/>
      <c r="BA195" s="186"/>
      <c r="BB195" s="186"/>
      <c r="BC195" s="186"/>
      <c r="BD195" s="186"/>
      <c r="BE195" s="186"/>
      <c r="BF195" s="186"/>
      <c r="BG195" s="186"/>
      <c r="BH195" s="186"/>
      <c r="BI195" s="183">
        <v>0</v>
      </c>
      <c r="BJ195" s="183">
        <v>0</v>
      </c>
      <c r="BK195" s="183">
        <v>0</v>
      </c>
      <c r="BL195" s="183">
        <v>0</v>
      </c>
    </row>
    <row r="196" spans="1:64" s="187" customFormat="1" hidden="1" outlineLevel="1" x14ac:dyDescent="0.3">
      <c r="A196" s="185"/>
      <c r="B196" s="185"/>
      <c r="C196" s="185"/>
      <c r="D196" s="185"/>
      <c r="E196" s="885" t="s">
        <v>4269</v>
      </c>
      <c r="F196" s="185" t="s">
        <v>82</v>
      </c>
      <c r="G196" s="185">
        <v>344</v>
      </c>
      <c r="H196" s="185" t="str">
        <f>IFERROR(VLOOKUP(G196,'2022. tervsor'!C:D,2,0)," ")</f>
        <v>T Belső működésre átadás</v>
      </c>
      <c r="I196" s="166">
        <v>0</v>
      </c>
      <c r="J196" s="181">
        <v>0</v>
      </c>
      <c r="K196" s="166">
        <f t="shared" si="115"/>
        <v>0</v>
      </c>
      <c r="L196" s="166">
        <f t="shared" si="116"/>
        <v>0</v>
      </c>
      <c r="M196" s="193">
        <v>7</v>
      </c>
      <c r="N196" s="166">
        <f>IFERROR(VLOOKUP($M196,'1 b felosztások'!$A:$U,'1 b felosztások'!C$2,0)*-$AM196,0)</f>
        <v>904385.59543670912</v>
      </c>
      <c r="O196" s="166">
        <f>IFERROR(VLOOKUP($M196,'1 b felosztások'!$A:$U,'1 b felosztások'!D$2,0)*-$AM196,0)</f>
        <v>208939.44223723753</v>
      </c>
      <c r="P196" s="166">
        <f>IFERROR(VLOOKUP($M196,'1 b felosztások'!$A:$U,'1 b felosztások'!E$2,0)*-$AM196,0)</f>
        <v>50612.381371667012</v>
      </c>
      <c r="Q196" s="166">
        <f>IFERROR(VLOOKUP($M196,'1 b felosztások'!$A:$U,'1 b felosztások'!F$2,0)*-$AM196,0)</f>
        <v>239377.34399632487</v>
      </c>
      <c r="R196" s="166">
        <f>IFERROR(VLOOKUP($M196,'1 b felosztások'!$A:$U,'1 b felosztások'!G$2,0)*-$AM196,0)</f>
        <v>90961.340596826369</v>
      </c>
      <c r="S196" s="166">
        <f>IFERROR(VLOOKUP($M196,'1 b felosztások'!$A:$U,'1 b felosztások'!H$2,0)*-$AM196,0)</f>
        <v>178350.98466014586</v>
      </c>
      <c r="T196" s="166">
        <f>IFERROR(VLOOKUP($M196,'1 b felosztások'!$A:$U,'1 b felosztások'!I$2,0)*-$AM196,0)</f>
        <v>133222.67904216834</v>
      </c>
      <c r="U196" s="166">
        <f>IFERROR(VLOOKUP($M196,'1 b felosztások'!$A:$U,'1 b felosztások'!J$2,0)*-$AM196,0)</f>
        <v>237365.66200256496</v>
      </c>
      <c r="V196" s="166">
        <f>IFERROR(VLOOKUP($M196,'1 b felosztások'!$A:$U,'1 b felosztások'!K$2,0)*-$AM196,0)</f>
        <v>382059.41305055219</v>
      </c>
      <c r="W196" s="166">
        <f>IFERROR(VLOOKUP($M196,'1 b felosztások'!$A:$U,'1 b felosztások'!L$2,0)*-$AM196,0)</f>
        <v>228108.08085293724</v>
      </c>
      <c r="X196" s="166">
        <f>IFERROR(VLOOKUP($M196,'1 b felosztások'!$A:$U,'1 b felosztások'!M$2,0)*-$AM196,0)</f>
        <v>78987.348092567438</v>
      </c>
      <c r="Y196" s="166">
        <f>IFERROR(VLOOKUP($M196,'1 b felosztások'!$A:$U,'1 b felosztások'!N$2,0)*-$AM196,0)</f>
        <v>515483.90095515182</v>
      </c>
      <c r="Z196" s="166">
        <f>IFERROR(VLOOKUP($M196,'1 b felosztások'!$A:$U,'1 b felosztások'!O$2,0)*-$AM196,0)</f>
        <v>99161.827705147094</v>
      </c>
      <c r="AA196" s="166">
        <f>IFERROR(VLOOKUP($M196,'1 b felosztások'!$A:$U,'1 b felosztások'!P$2,0)*-$AM196,0)</f>
        <v>0</v>
      </c>
      <c r="AB196" s="166">
        <f>IFERROR(VLOOKUP($M196,'1 b felosztások'!$A:$U,'1 b felosztások'!Q$2,0)*-$AM196,0)</f>
        <v>0</v>
      </c>
      <c r="AC196" s="166">
        <f>IFERROR(VLOOKUP($M196,'1 b felosztások'!$A:$U,'1 b felosztások'!R$2,0)*-$AM196,0)</f>
        <v>0</v>
      </c>
      <c r="AD196" s="166">
        <f>IFERROR(VLOOKUP($M196,'1 b felosztások'!$A:$U,'1 b felosztások'!S$2,0)*-$AM196,0)</f>
        <v>0</v>
      </c>
      <c r="AE196" s="166"/>
      <c r="AF196" s="166"/>
      <c r="AG196" s="166"/>
      <c r="AH196" s="166"/>
      <c r="AI196" s="166"/>
      <c r="AJ196" s="166"/>
      <c r="AK196" s="166"/>
      <c r="AL196" s="166"/>
      <c r="AM196" s="166">
        <v>-3347016</v>
      </c>
      <c r="AN196" s="166"/>
      <c r="AO196" s="166"/>
      <c r="AP196" s="166"/>
      <c r="AQ196" s="166"/>
      <c r="AR196" s="166"/>
      <c r="AS196" s="166"/>
      <c r="AT196" s="166"/>
      <c r="AU196" s="166"/>
      <c r="AV196" s="166"/>
      <c r="AW196" s="166"/>
      <c r="AX196" s="166"/>
      <c r="AY196" s="166"/>
      <c r="AZ196" s="186"/>
      <c r="BA196" s="186"/>
      <c r="BB196" s="186"/>
      <c r="BC196" s="186"/>
      <c r="BD196" s="186"/>
      <c r="BE196" s="186"/>
      <c r="BF196" s="186"/>
      <c r="BG196" s="186"/>
      <c r="BH196" s="186"/>
      <c r="BI196" s="183">
        <v>4236729</v>
      </c>
      <c r="BJ196" s="183">
        <v>0</v>
      </c>
      <c r="BK196" s="183">
        <v>-4236729</v>
      </c>
      <c r="BL196" s="183">
        <v>0</v>
      </c>
    </row>
    <row r="197" spans="1:64" s="187" customFormat="1" hidden="1" outlineLevel="1" x14ac:dyDescent="0.3">
      <c r="A197" s="185"/>
      <c r="B197" s="185"/>
      <c r="C197" s="185"/>
      <c r="D197" s="185"/>
      <c r="E197" s="185" t="s">
        <v>4271</v>
      </c>
      <c r="F197" s="185" t="s">
        <v>82</v>
      </c>
      <c r="G197" s="185">
        <v>344</v>
      </c>
      <c r="H197" s="185" t="str">
        <f>IFERROR(VLOOKUP(G197,'2022. tervsor'!C:D,2,0)," ")</f>
        <v>T Belső működésre átadás</v>
      </c>
      <c r="I197" s="166">
        <v>0</v>
      </c>
      <c r="J197" s="181">
        <f>SUM(N197:AM197)</f>
        <v>0</v>
      </c>
      <c r="K197" s="166">
        <f t="shared" si="102"/>
        <v>0</v>
      </c>
      <c r="L197" s="166">
        <f>SUM(N197:BH197)</f>
        <v>0</v>
      </c>
      <c r="M197" s="182"/>
      <c r="N197" s="166"/>
      <c r="O197" s="166"/>
      <c r="P197" s="166"/>
      <c r="Q197" s="166"/>
      <c r="R197" s="166"/>
      <c r="S197" s="166"/>
      <c r="T197" s="166"/>
      <c r="U197" s="166"/>
      <c r="V197" s="166"/>
      <c r="W197" s="166"/>
      <c r="X197" s="166"/>
      <c r="Y197" s="166"/>
      <c r="Z197" s="166"/>
      <c r="AA197" s="166"/>
      <c r="AB197" s="166"/>
      <c r="AC197" s="166"/>
      <c r="AD197" s="166"/>
      <c r="AE197" s="166"/>
      <c r="AF197" s="166"/>
      <c r="AG197" s="166"/>
      <c r="AH197" s="166"/>
      <c r="AI197" s="166"/>
      <c r="AJ197" s="166"/>
      <c r="AK197" s="166"/>
      <c r="AL197" s="166"/>
      <c r="AM197" s="166"/>
      <c r="AN197" s="166"/>
      <c r="AO197" s="166"/>
      <c r="AP197" s="166"/>
      <c r="AQ197" s="166"/>
      <c r="AR197" s="166"/>
      <c r="AS197" s="166"/>
      <c r="AT197" s="166"/>
      <c r="AU197" s="166"/>
      <c r="AV197" s="166"/>
      <c r="AW197" s="166"/>
      <c r="AX197" s="166"/>
      <c r="AY197" s="166"/>
      <c r="AZ197" s="186"/>
      <c r="BA197" s="186"/>
      <c r="BB197" s="186"/>
      <c r="BC197" s="186"/>
      <c r="BD197" s="186"/>
      <c r="BE197" s="186"/>
      <c r="BF197" s="186"/>
      <c r="BG197" s="186"/>
      <c r="BH197" s="186"/>
      <c r="BI197" s="183"/>
      <c r="BJ197" s="183"/>
      <c r="BK197" s="183"/>
      <c r="BL197" s="183"/>
    </row>
    <row r="198" spans="1:64" s="187" customFormat="1" hidden="1" outlineLevel="1" collapsed="1" x14ac:dyDescent="0.3">
      <c r="A198" s="185"/>
      <c r="B198" s="185"/>
      <c r="C198" s="185"/>
      <c r="D198" s="185"/>
      <c r="E198" s="185" t="s">
        <v>3475</v>
      </c>
      <c r="F198" s="185" t="s">
        <v>82</v>
      </c>
      <c r="G198" s="185">
        <v>344</v>
      </c>
      <c r="H198" s="185" t="str">
        <f>IFERROR(VLOOKUP(G198,'2022. tervsor'!C:D,2,0)," ")</f>
        <v>T Belső működésre átadás</v>
      </c>
      <c r="I198" s="166">
        <v>0</v>
      </c>
      <c r="J198" s="181">
        <f t="shared" si="103"/>
        <v>0</v>
      </c>
      <c r="K198" s="166">
        <f t="shared" si="102"/>
        <v>0</v>
      </c>
      <c r="L198" s="166">
        <f t="shared" si="104"/>
        <v>0</v>
      </c>
      <c r="M198" s="182"/>
      <c r="N198" s="166"/>
      <c r="O198" s="166"/>
      <c r="P198" s="166"/>
      <c r="Q198" s="166"/>
      <c r="R198" s="166"/>
      <c r="S198" s="166"/>
      <c r="T198" s="166"/>
      <c r="U198" s="166"/>
      <c r="V198" s="166"/>
      <c r="W198" s="166"/>
      <c r="X198" s="166"/>
      <c r="Y198" s="166"/>
      <c r="Z198" s="166"/>
      <c r="AA198" s="166"/>
      <c r="AB198" s="166"/>
      <c r="AC198" s="166"/>
      <c r="AD198" s="166"/>
      <c r="AE198" s="166"/>
      <c r="AF198" s="166"/>
      <c r="AG198" s="166"/>
      <c r="AH198" s="166"/>
      <c r="AI198" s="166"/>
      <c r="AJ198" s="166"/>
      <c r="AK198" s="166"/>
      <c r="AL198" s="166"/>
      <c r="AM198" s="166"/>
      <c r="AN198" s="166"/>
      <c r="AO198" s="166"/>
      <c r="AP198" s="166"/>
      <c r="AQ198" s="166"/>
      <c r="AR198" s="166"/>
      <c r="AS198" s="166"/>
      <c r="AT198" s="166"/>
      <c r="AU198" s="166"/>
      <c r="AV198" s="166"/>
      <c r="AW198" s="166"/>
      <c r="AX198" s="166"/>
      <c r="AY198" s="166"/>
      <c r="AZ198" s="186"/>
      <c r="BA198" s="186"/>
      <c r="BB198" s="186"/>
      <c r="BC198" s="186"/>
      <c r="BD198" s="186"/>
      <c r="BE198" s="186"/>
      <c r="BF198" s="186"/>
      <c r="BG198" s="186"/>
      <c r="BH198" s="186"/>
      <c r="BI198" s="183">
        <f t="shared" si="109"/>
        <v>0</v>
      </c>
      <c r="BJ198" s="183">
        <f t="shared" si="110"/>
        <v>0</v>
      </c>
      <c r="BK198" s="183">
        <f t="shared" si="111"/>
        <v>0</v>
      </c>
      <c r="BL198" s="183">
        <f t="shared" si="112"/>
        <v>0</v>
      </c>
    </row>
    <row r="199" spans="1:64" s="184" customFormat="1" hidden="1" outlineLevel="2" x14ac:dyDescent="0.3">
      <c r="A199" s="180" t="s">
        <v>55</v>
      </c>
      <c r="B199" s="180" t="s">
        <v>2831</v>
      </c>
      <c r="C199" s="180" t="s">
        <v>83</v>
      </c>
      <c r="D199" s="180" t="s">
        <v>2944</v>
      </c>
      <c r="E199" s="180" t="s">
        <v>2680</v>
      </c>
      <c r="F199" s="180" t="s">
        <v>2790</v>
      </c>
      <c r="G199" s="185"/>
      <c r="H199" s="180" t="s">
        <v>2707</v>
      </c>
      <c r="I199" s="181">
        <f>IFERROR(VLOOKUP($A199,'Kiadások 2a SZH 2022'!$A:$M,MATCH($I$1,'Kiadások 2a SZH 2022'!$A$1:$M$1,0),0), )+IFERROR(VLOOKUP($B200,'Kiadások 2a SZH 2022'!$B:$M,MATCH($I$1,'Kiadások 2a SZH 2022'!$B$1:$M$1,0),0), )</f>
        <v>602601582.73384047</v>
      </c>
      <c r="J199" s="181">
        <f t="shared" si="103"/>
        <v>602601583</v>
      </c>
      <c r="K199" s="166">
        <f t="shared" ref="K199:K227" si="117">+I199-J199</f>
        <v>-0.2661595344543457</v>
      </c>
      <c r="L199" s="166">
        <f t="shared" si="104"/>
        <v>602601583</v>
      </c>
      <c r="M199" s="182"/>
      <c r="N199" s="181">
        <f>+N201+N202</f>
        <v>64048618</v>
      </c>
      <c r="O199" s="181">
        <f t="shared" ref="O199:AM199" si="118">+O201+O202</f>
        <v>66312188</v>
      </c>
      <c r="P199" s="181">
        <f t="shared" si="118"/>
        <v>11424372</v>
      </c>
      <c r="Q199" s="181">
        <f t="shared" si="118"/>
        <v>62545655</v>
      </c>
      <c r="R199" s="181">
        <f t="shared" si="118"/>
        <v>22534466</v>
      </c>
      <c r="S199" s="181">
        <f t="shared" si="118"/>
        <v>38091950</v>
      </c>
      <c r="T199" s="181">
        <f t="shared" si="118"/>
        <v>14153513</v>
      </c>
      <c r="U199" s="181">
        <f t="shared" si="118"/>
        <v>38788200</v>
      </c>
      <c r="V199" s="181">
        <f t="shared" si="118"/>
        <v>45171534</v>
      </c>
      <c r="W199" s="181">
        <f t="shared" si="118"/>
        <v>29873452</v>
      </c>
      <c r="X199" s="181">
        <f t="shared" si="118"/>
        <v>13299408</v>
      </c>
      <c r="Y199" s="181">
        <f t="shared" si="118"/>
        <v>46624187</v>
      </c>
      <c r="Z199" s="181">
        <f t="shared" si="118"/>
        <v>33706634</v>
      </c>
      <c r="AA199" s="181">
        <f t="shared" si="118"/>
        <v>61300554</v>
      </c>
      <c r="AB199" s="181">
        <f t="shared" si="118"/>
        <v>11496440</v>
      </c>
      <c r="AC199" s="181">
        <f t="shared" si="118"/>
        <v>386120</v>
      </c>
      <c r="AD199" s="181">
        <f t="shared" si="118"/>
        <v>0</v>
      </c>
      <c r="AE199" s="181">
        <f t="shared" si="118"/>
        <v>0</v>
      </c>
      <c r="AF199" s="181">
        <f t="shared" si="118"/>
        <v>0</v>
      </c>
      <c r="AG199" s="181">
        <f t="shared" si="118"/>
        <v>42844292</v>
      </c>
      <c r="AH199" s="181">
        <f t="shared" si="118"/>
        <v>0</v>
      </c>
      <c r="AI199" s="181">
        <f t="shared" si="118"/>
        <v>0</v>
      </c>
      <c r="AJ199" s="181">
        <f t="shared" si="118"/>
        <v>0</v>
      </c>
      <c r="AK199" s="181">
        <f t="shared" si="118"/>
        <v>0</v>
      </c>
      <c r="AL199" s="181">
        <f t="shared" si="118"/>
        <v>0</v>
      </c>
      <c r="AM199" s="181">
        <f t="shared" si="118"/>
        <v>0</v>
      </c>
      <c r="AN199" s="181"/>
      <c r="AO199" s="181"/>
      <c r="AP199" s="181"/>
      <c r="AQ199" s="181"/>
      <c r="AR199" s="181"/>
      <c r="AS199" s="181"/>
      <c r="AT199" s="181"/>
      <c r="AU199" s="181"/>
      <c r="AV199" s="181"/>
      <c r="AW199" s="181"/>
      <c r="AX199" s="181"/>
      <c r="AY199" s="181"/>
      <c r="AZ199" s="183"/>
      <c r="BA199" s="183"/>
      <c r="BB199" s="183"/>
      <c r="BC199" s="183"/>
      <c r="BD199" s="183"/>
      <c r="BE199" s="183"/>
      <c r="BF199" s="183"/>
      <c r="BG199" s="183"/>
      <c r="BH199" s="183"/>
      <c r="BI199" s="183">
        <f t="shared" si="109"/>
        <v>547874731</v>
      </c>
      <c r="BJ199" s="183">
        <f t="shared" si="110"/>
        <v>11496440</v>
      </c>
      <c r="BK199" s="183">
        <f t="shared" si="111"/>
        <v>43230412</v>
      </c>
      <c r="BL199" s="183">
        <f t="shared" si="112"/>
        <v>0</v>
      </c>
    </row>
    <row r="200" spans="1:64" s="187" customFormat="1" ht="15.75" hidden="1" customHeight="1" outlineLevel="3" x14ac:dyDescent="0.3">
      <c r="A200" s="413"/>
      <c r="B200" s="350" t="s">
        <v>3435</v>
      </c>
      <c r="C200" s="350" t="s">
        <v>83</v>
      </c>
      <c r="D200" s="350"/>
      <c r="E200" s="350" t="s">
        <v>3983</v>
      </c>
      <c r="F200" s="350"/>
      <c r="G200" s="350"/>
      <c r="H200" s="350" t="s">
        <v>3982</v>
      </c>
      <c r="I200" s="419">
        <f>IFERROR(VLOOKUP($B200,'Kiadások 2a SZH 2022'!$B:$M,MATCH($I$1,'Kiadások 2a SZH 2022'!$B$1:$M$1,0),0), )</f>
        <v>117331891.11000001</v>
      </c>
      <c r="J200" s="181">
        <f t="shared" si="103"/>
        <v>0</v>
      </c>
      <c r="K200" s="166">
        <f>+I200-J200</f>
        <v>117331891.11000001</v>
      </c>
      <c r="L200" s="166">
        <f t="shared" si="104"/>
        <v>0</v>
      </c>
      <c r="M200" s="182"/>
      <c r="N200" s="166"/>
      <c r="O200" s="166"/>
      <c r="P200" s="166"/>
      <c r="Q200" s="166"/>
      <c r="R200" s="166"/>
      <c r="S200" s="166"/>
      <c r="T200" s="166"/>
      <c r="U200" s="166"/>
      <c r="V200" s="166"/>
      <c r="W200" s="166"/>
      <c r="X200" s="166"/>
      <c r="Y200" s="166"/>
      <c r="Z200" s="166"/>
      <c r="AA200" s="166"/>
      <c r="AB200" s="166"/>
      <c r="AC200" s="166"/>
      <c r="AD200" s="166"/>
      <c r="AE200" s="166"/>
      <c r="AF200" s="166"/>
      <c r="AG200" s="166"/>
      <c r="AH200" s="166"/>
      <c r="AI200" s="166"/>
      <c r="AJ200" s="166"/>
      <c r="AK200" s="166"/>
      <c r="AL200" s="166"/>
      <c r="AM200" s="166"/>
      <c r="AN200" s="166"/>
      <c r="AO200" s="166"/>
      <c r="AP200" s="166"/>
      <c r="AQ200" s="166"/>
      <c r="AR200" s="166"/>
      <c r="AS200" s="166"/>
      <c r="AT200" s="166"/>
      <c r="AU200" s="166"/>
      <c r="AV200" s="166"/>
      <c r="AW200" s="166"/>
      <c r="AX200" s="166"/>
      <c r="AY200" s="166"/>
      <c r="AZ200" s="186"/>
      <c r="BA200" s="186"/>
      <c r="BB200" s="186"/>
      <c r="BC200" s="186"/>
      <c r="BD200" s="186"/>
      <c r="BE200" s="186"/>
      <c r="BF200" s="186"/>
      <c r="BG200" s="186"/>
      <c r="BH200" s="186"/>
      <c r="BI200" s="183">
        <f t="shared" si="109"/>
        <v>0</v>
      </c>
      <c r="BJ200" s="183">
        <f t="shared" si="110"/>
        <v>0</v>
      </c>
      <c r="BK200" s="183">
        <f t="shared" si="111"/>
        <v>0</v>
      </c>
      <c r="BL200" s="183">
        <f t="shared" si="112"/>
        <v>0</v>
      </c>
    </row>
    <row r="201" spans="1:64" s="184" customFormat="1" ht="15.75" hidden="1" customHeight="1" outlineLevel="3" x14ac:dyDescent="0.3">
      <c r="A201" s="180"/>
      <c r="B201" s="180"/>
      <c r="C201" s="180"/>
      <c r="D201" s="180"/>
      <c r="E201" s="180" t="s">
        <v>2747</v>
      </c>
      <c r="F201" s="180" t="s">
        <v>86</v>
      </c>
      <c r="G201" s="185"/>
      <c r="H201" s="180" t="s">
        <v>2679</v>
      </c>
      <c r="I201" s="196">
        <f>+J201</f>
        <v>64507460</v>
      </c>
      <c r="J201" s="181">
        <f t="shared" si="103"/>
        <v>64507460</v>
      </c>
      <c r="K201" s="166">
        <f t="shared" si="117"/>
        <v>0</v>
      </c>
      <c r="L201" s="166">
        <f t="shared" si="104"/>
        <v>64507460</v>
      </c>
      <c r="M201" s="182"/>
      <c r="N201" s="181">
        <v>4887249</v>
      </c>
      <c r="O201" s="181">
        <v>3610158</v>
      </c>
      <c r="P201" s="181">
        <v>4428615</v>
      </c>
      <c r="Q201" s="181">
        <v>4563152</v>
      </c>
      <c r="R201" s="181">
        <v>1966437</v>
      </c>
      <c r="S201" s="181">
        <v>151721</v>
      </c>
      <c r="T201" s="181">
        <v>183408</v>
      </c>
      <c r="U201" s="181">
        <v>4260359</v>
      </c>
      <c r="V201" s="181">
        <f>18179-7227</f>
        <v>10952</v>
      </c>
      <c r="W201" s="181">
        <v>471654</v>
      </c>
      <c r="X201" s="181">
        <v>677121</v>
      </c>
      <c r="Y201" s="181"/>
      <c r="Z201" s="181">
        <f>1276574-2059-452535</f>
        <v>821980</v>
      </c>
      <c r="AA201" s="181">
        <f>40129120-13517119</f>
        <v>26612001</v>
      </c>
      <c r="AB201" s="181">
        <v>11496440</v>
      </c>
      <c r="AC201" s="181">
        <f>386120-19907</f>
        <v>366213</v>
      </c>
      <c r="AD201" s="181"/>
      <c r="AE201" s="181"/>
      <c r="AF201" s="181"/>
      <c r="AG201" s="181"/>
      <c r="AH201" s="181"/>
      <c r="AI201" s="181"/>
      <c r="AJ201" s="181"/>
      <c r="AK201" s="181"/>
      <c r="AL201" s="181"/>
      <c r="AM201" s="181"/>
      <c r="AN201" s="181"/>
      <c r="AO201" s="181"/>
      <c r="AP201" s="181"/>
      <c r="AQ201" s="181"/>
      <c r="AR201" s="181"/>
      <c r="AS201" s="181"/>
      <c r="AT201" s="181"/>
      <c r="AU201" s="181"/>
      <c r="AV201" s="181"/>
      <c r="AW201" s="181"/>
      <c r="AX201" s="181"/>
      <c r="AY201" s="181"/>
      <c r="AZ201" s="183"/>
      <c r="BA201" s="183"/>
      <c r="BB201" s="183"/>
      <c r="BC201" s="183"/>
      <c r="BD201" s="183"/>
      <c r="BE201" s="183"/>
      <c r="BF201" s="183"/>
      <c r="BG201" s="183"/>
      <c r="BH201" s="183"/>
      <c r="BI201" s="183">
        <f t="shared" si="109"/>
        <v>52644807</v>
      </c>
      <c r="BJ201" s="183">
        <f t="shared" si="110"/>
        <v>11496440</v>
      </c>
      <c r="BK201" s="183">
        <f t="shared" si="111"/>
        <v>366213</v>
      </c>
      <c r="BL201" s="183">
        <f t="shared" si="112"/>
        <v>0</v>
      </c>
    </row>
    <row r="202" spans="1:64" s="184" customFormat="1" ht="15.75" hidden="1" customHeight="1" outlineLevel="3" x14ac:dyDescent="0.3">
      <c r="A202" s="180"/>
      <c r="B202" s="180"/>
      <c r="C202" s="180"/>
      <c r="D202" s="180"/>
      <c r="E202" s="180" t="s">
        <v>2748</v>
      </c>
      <c r="F202" s="180" t="s">
        <v>83</v>
      </c>
      <c r="G202" s="185"/>
      <c r="H202" s="180" t="s">
        <v>2710</v>
      </c>
      <c r="I202" s="196">
        <f>+J202</f>
        <v>538094123</v>
      </c>
      <c r="J202" s="181">
        <f t="shared" si="103"/>
        <v>538094123</v>
      </c>
      <c r="K202" s="166">
        <f t="shared" si="117"/>
        <v>0</v>
      </c>
      <c r="L202" s="166">
        <f t="shared" si="104"/>
        <v>538094123</v>
      </c>
      <c r="M202" s="182"/>
      <c r="N202" s="181">
        <v>59161369</v>
      </c>
      <c r="O202" s="181">
        <v>62702030</v>
      </c>
      <c r="P202" s="181">
        <v>6995757</v>
      </c>
      <c r="Q202" s="181">
        <v>57982503</v>
      </c>
      <c r="R202" s="181">
        <v>20568029</v>
      </c>
      <c r="S202" s="181">
        <v>37940229</v>
      </c>
      <c r="T202" s="181">
        <v>13970105</v>
      </c>
      <c r="U202" s="181">
        <v>34527841</v>
      </c>
      <c r="V202" s="181">
        <f>45153355+7227</f>
        <v>45160582</v>
      </c>
      <c r="W202" s="181">
        <v>29401798</v>
      </c>
      <c r="X202" s="181">
        <v>12622287</v>
      </c>
      <c r="Y202" s="181">
        <v>46624187</v>
      </c>
      <c r="Z202" s="181">
        <f>32430060+2059+452535</f>
        <v>32884654</v>
      </c>
      <c r="AA202" s="181">
        <f>61300554-40129120+13517119</f>
        <v>34688553</v>
      </c>
      <c r="AB202" s="181"/>
      <c r="AC202" s="181">
        <v>19907</v>
      </c>
      <c r="AD202" s="181"/>
      <c r="AE202" s="181"/>
      <c r="AF202" s="181"/>
      <c r="AG202" s="181">
        <v>42844292</v>
      </c>
      <c r="AH202" s="181"/>
      <c r="AI202" s="181"/>
      <c r="AJ202" s="181"/>
      <c r="AK202" s="181"/>
      <c r="AL202" s="181"/>
      <c r="AM202" s="181"/>
      <c r="AN202" s="181"/>
      <c r="AO202" s="181"/>
      <c r="AP202" s="181"/>
      <c r="AQ202" s="181"/>
      <c r="AR202" s="181"/>
      <c r="AS202" s="181"/>
      <c r="AT202" s="181"/>
      <c r="AU202" s="181"/>
      <c r="AV202" s="181"/>
      <c r="AW202" s="181"/>
      <c r="AX202" s="181"/>
      <c r="AY202" s="181"/>
      <c r="AZ202" s="183"/>
      <c r="BA202" s="183"/>
      <c r="BB202" s="183"/>
      <c r="BC202" s="183"/>
      <c r="BD202" s="183"/>
      <c r="BE202" s="183"/>
      <c r="BF202" s="183"/>
      <c r="BG202" s="183"/>
      <c r="BH202" s="183"/>
      <c r="BI202" s="183">
        <f t="shared" si="109"/>
        <v>495229924</v>
      </c>
      <c r="BJ202" s="183">
        <f t="shared" si="110"/>
        <v>0</v>
      </c>
      <c r="BK202" s="183">
        <f t="shared" si="111"/>
        <v>42864199</v>
      </c>
      <c r="BL202" s="183">
        <f t="shared" si="112"/>
        <v>0</v>
      </c>
    </row>
    <row r="203" spans="1:64" s="187" customFormat="1" ht="15.75" hidden="1" customHeight="1" outlineLevel="3" x14ac:dyDescent="0.3">
      <c r="A203" s="185"/>
      <c r="B203" s="185"/>
      <c r="C203" s="185"/>
      <c r="D203" s="185"/>
      <c r="E203" s="185" t="s">
        <v>2680</v>
      </c>
      <c r="F203" s="185" t="s">
        <v>83</v>
      </c>
      <c r="G203" s="185">
        <v>14</v>
      </c>
      <c r="H203" s="185" t="str">
        <f>IFERROR(VLOOKUP(G203,'2022. tervsor'!C:D,2,0)," ")</f>
        <v>Oktatók alapilletményei</v>
      </c>
      <c r="I203" s="181">
        <f>+J203</f>
        <v>0</v>
      </c>
      <c r="J203" s="181">
        <f t="shared" si="103"/>
        <v>0</v>
      </c>
      <c r="K203" s="166">
        <f t="shared" si="117"/>
        <v>0</v>
      </c>
      <c r="L203" s="166">
        <f t="shared" si="104"/>
        <v>0</v>
      </c>
      <c r="M203" s="182"/>
      <c r="N203" s="166"/>
      <c r="O203" s="166"/>
      <c r="P203" s="166"/>
      <c r="Q203" s="166"/>
      <c r="R203" s="166"/>
      <c r="S203" s="166"/>
      <c r="T203" s="166"/>
      <c r="U203" s="166"/>
      <c r="V203" s="166"/>
      <c r="W203" s="166"/>
      <c r="X203" s="166"/>
      <c r="Y203" s="166"/>
      <c r="Z203" s="166"/>
      <c r="AA203" s="166"/>
      <c r="AB203" s="166"/>
      <c r="AC203" s="166"/>
      <c r="AD203" s="166"/>
      <c r="AE203" s="166"/>
      <c r="AF203" s="166"/>
      <c r="AG203" s="166"/>
      <c r="AH203" s="166"/>
      <c r="AI203" s="166"/>
      <c r="AJ203" s="166"/>
      <c r="AK203" s="166"/>
      <c r="AL203" s="166"/>
      <c r="AM203" s="166"/>
      <c r="AN203" s="166"/>
      <c r="AO203" s="166"/>
      <c r="AP203" s="166"/>
      <c r="AQ203" s="166"/>
      <c r="AR203" s="166"/>
      <c r="AS203" s="166"/>
      <c r="AT203" s="166"/>
      <c r="AU203" s="166"/>
      <c r="AV203" s="166"/>
      <c r="AW203" s="166"/>
      <c r="AX203" s="166"/>
      <c r="AY203" s="166"/>
      <c r="AZ203" s="186"/>
      <c r="BA203" s="186"/>
      <c r="BB203" s="186"/>
      <c r="BC203" s="186"/>
      <c r="BD203" s="186"/>
      <c r="BE203" s="186"/>
      <c r="BF203" s="186"/>
      <c r="BG203" s="186"/>
      <c r="BH203" s="186"/>
      <c r="BI203" s="183">
        <f t="shared" si="109"/>
        <v>0</v>
      </c>
      <c r="BJ203" s="183">
        <f t="shared" si="110"/>
        <v>0</v>
      </c>
      <c r="BK203" s="183">
        <f t="shared" si="111"/>
        <v>0</v>
      </c>
      <c r="BL203" s="183">
        <f t="shared" si="112"/>
        <v>0</v>
      </c>
    </row>
    <row r="204" spans="1:64" s="187" customFormat="1" ht="15.75" hidden="1" customHeight="1" outlineLevel="3" x14ac:dyDescent="0.3">
      <c r="A204" s="185"/>
      <c r="B204" s="185"/>
      <c r="C204" s="185"/>
      <c r="D204" s="185"/>
      <c r="E204" s="185" t="s">
        <v>2680</v>
      </c>
      <c r="F204" s="185" t="s">
        <v>83</v>
      </c>
      <c r="G204" s="185">
        <v>15</v>
      </c>
      <c r="H204" s="185" t="str">
        <f>IFERROR(VLOOKUP(G204,'2022. tervsor'!C:D,2,0)," ")</f>
        <v>Kutatók alapilletményei</v>
      </c>
      <c r="I204" s="181">
        <f t="shared" ref="I204:I255" si="119">+J204</f>
        <v>0</v>
      </c>
      <c r="J204" s="181">
        <f t="shared" si="103"/>
        <v>0</v>
      </c>
      <c r="K204" s="166">
        <f t="shared" si="117"/>
        <v>0</v>
      </c>
      <c r="L204" s="166">
        <f t="shared" si="104"/>
        <v>0</v>
      </c>
      <c r="M204" s="182"/>
      <c r="N204" s="166"/>
      <c r="O204" s="166"/>
      <c r="P204" s="166"/>
      <c r="Q204" s="166"/>
      <c r="R204" s="166"/>
      <c r="S204" s="166"/>
      <c r="T204" s="166"/>
      <c r="U204" s="166"/>
      <c r="V204" s="166"/>
      <c r="W204" s="166"/>
      <c r="X204" s="166"/>
      <c r="Y204" s="166"/>
      <c r="Z204" s="166"/>
      <c r="AA204" s="166"/>
      <c r="AB204" s="166"/>
      <c r="AC204" s="166"/>
      <c r="AD204" s="166"/>
      <c r="AE204" s="166"/>
      <c r="AF204" s="166"/>
      <c r="AG204" s="166"/>
      <c r="AH204" s="166"/>
      <c r="AI204" s="166"/>
      <c r="AJ204" s="166"/>
      <c r="AK204" s="166"/>
      <c r="AL204" s="166"/>
      <c r="AM204" s="166"/>
      <c r="AN204" s="166"/>
      <c r="AO204" s="166"/>
      <c r="AP204" s="166"/>
      <c r="AQ204" s="166"/>
      <c r="AR204" s="166"/>
      <c r="AS204" s="166"/>
      <c r="AT204" s="166"/>
      <c r="AU204" s="166"/>
      <c r="AV204" s="166"/>
      <c r="AW204" s="166"/>
      <c r="AX204" s="166"/>
      <c r="AY204" s="166"/>
      <c r="AZ204" s="186"/>
      <c r="BA204" s="186"/>
      <c r="BB204" s="186"/>
      <c r="BC204" s="186"/>
      <c r="BD204" s="186"/>
      <c r="BE204" s="186"/>
      <c r="BF204" s="186"/>
      <c r="BG204" s="186"/>
      <c r="BH204" s="186"/>
      <c r="BI204" s="183">
        <f t="shared" si="109"/>
        <v>0</v>
      </c>
      <c r="BJ204" s="183">
        <f t="shared" si="110"/>
        <v>0</v>
      </c>
      <c r="BK204" s="183">
        <f t="shared" si="111"/>
        <v>0</v>
      </c>
      <c r="BL204" s="183">
        <f t="shared" si="112"/>
        <v>0</v>
      </c>
    </row>
    <row r="205" spans="1:64" s="187" customFormat="1" ht="15.75" hidden="1" customHeight="1" outlineLevel="3" x14ac:dyDescent="0.3">
      <c r="A205" s="185"/>
      <c r="B205" s="185"/>
      <c r="C205" s="185"/>
      <c r="D205" s="185"/>
      <c r="E205" s="185" t="s">
        <v>2680</v>
      </c>
      <c r="F205" s="185" t="s">
        <v>83</v>
      </c>
      <c r="G205" s="185">
        <v>16</v>
      </c>
      <c r="H205" s="185" t="str">
        <f>IFERROR(VLOOKUP(G205,'2022. tervsor'!C:D,2,0)," ")</f>
        <v>Működést támogató közalkalmazottak alapilletményei</v>
      </c>
      <c r="I205" s="181">
        <f t="shared" si="119"/>
        <v>0</v>
      </c>
      <c r="J205" s="181">
        <f t="shared" si="103"/>
        <v>0</v>
      </c>
      <c r="K205" s="166">
        <f t="shared" si="117"/>
        <v>0</v>
      </c>
      <c r="L205" s="166">
        <f t="shared" si="104"/>
        <v>0</v>
      </c>
      <c r="M205" s="182"/>
      <c r="N205" s="166"/>
      <c r="O205" s="166"/>
      <c r="P205" s="166"/>
      <c r="Q205" s="166"/>
      <c r="R205" s="166"/>
      <c r="S205" s="166"/>
      <c r="T205" s="166"/>
      <c r="U205" s="166"/>
      <c r="V205" s="166"/>
      <c r="W205" s="166"/>
      <c r="X205" s="166"/>
      <c r="Y205" s="166"/>
      <c r="Z205" s="166"/>
      <c r="AA205" s="166"/>
      <c r="AB205" s="166"/>
      <c r="AC205" s="166"/>
      <c r="AD205" s="166"/>
      <c r="AE205" s="166"/>
      <c r="AF205" s="166"/>
      <c r="AG205" s="166"/>
      <c r="AH205" s="166"/>
      <c r="AI205" s="166"/>
      <c r="AJ205" s="166"/>
      <c r="AK205" s="166"/>
      <c r="AL205" s="166"/>
      <c r="AM205" s="166"/>
      <c r="AN205" s="166"/>
      <c r="AO205" s="166"/>
      <c r="AP205" s="166"/>
      <c r="AQ205" s="166"/>
      <c r="AR205" s="166"/>
      <c r="AS205" s="166"/>
      <c r="AT205" s="166"/>
      <c r="AU205" s="166"/>
      <c r="AV205" s="166"/>
      <c r="AW205" s="166"/>
      <c r="AX205" s="166"/>
      <c r="AY205" s="166"/>
      <c r="AZ205" s="186"/>
      <c r="BA205" s="186"/>
      <c r="BB205" s="186"/>
      <c r="BC205" s="186"/>
      <c r="BD205" s="186"/>
      <c r="BE205" s="186"/>
      <c r="BF205" s="186"/>
      <c r="BG205" s="186"/>
      <c r="BH205" s="186"/>
      <c r="BI205" s="183">
        <f t="shared" si="109"/>
        <v>0</v>
      </c>
      <c r="BJ205" s="183">
        <f t="shared" si="110"/>
        <v>0</v>
      </c>
      <c r="BK205" s="183">
        <f t="shared" si="111"/>
        <v>0</v>
      </c>
      <c r="BL205" s="183">
        <f t="shared" si="112"/>
        <v>0</v>
      </c>
    </row>
    <row r="206" spans="1:64" s="187" customFormat="1" ht="15.75" hidden="1" customHeight="1" outlineLevel="3" x14ac:dyDescent="0.3">
      <c r="A206" s="185"/>
      <c r="B206" s="185"/>
      <c r="C206" s="185"/>
      <c r="D206" s="185"/>
      <c r="E206" s="185" t="s">
        <v>2680</v>
      </c>
      <c r="F206" s="185" t="s">
        <v>83</v>
      </c>
      <c r="G206" s="185">
        <v>17</v>
      </c>
      <c r="H206" s="185" t="str">
        <f>IFERROR(VLOOKUP(G206,'2022. tervsor'!C:D,2,0)," ")</f>
        <v>ALAPILLETMÉNY ÖSSZESEN</v>
      </c>
      <c r="I206" s="181">
        <f t="shared" si="119"/>
        <v>0</v>
      </c>
      <c r="J206" s="181">
        <f t="shared" si="103"/>
        <v>0</v>
      </c>
      <c r="K206" s="166">
        <f t="shared" si="117"/>
        <v>0</v>
      </c>
      <c r="L206" s="166">
        <f t="shared" si="104"/>
        <v>0</v>
      </c>
      <c r="M206" s="182"/>
      <c r="N206" s="166"/>
      <c r="O206" s="166"/>
      <c r="P206" s="166"/>
      <c r="Q206" s="166"/>
      <c r="R206" s="166"/>
      <c r="S206" s="166"/>
      <c r="T206" s="166"/>
      <c r="U206" s="166"/>
      <c r="V206" s="166"/>
      <c r="W206" s="166"/>
      <c r="X206" s="166"/>
      <c r="Y206" s="166"/>
      <c r="Z206" s="166"/>
      <c r="AA206" s="166"/>
      <c r="AB206" s="166"/>
      <c r="AC206" s="166"/>
      <c r="AD206" s="166"/>
      <c r="AE206" s="166"/>
      <c r="AF206" s="166"/>
      <c r="AG206" s="166"/>
      <c r="AH206" s="166"/>
      <c r="AI206" s="166"/>
      <c r="AJ206" s="166"/>
      <c r="AK206" s="166"/>
      <c r="AL206" s="166"/>
      <c r="AM206" s="166"/>
      <c r="AN206" s="166"/>
      <c r="AO206" s="166"/>
      <c r="AP206" s="166"/>
      <c r="AQ206" s="166"/>
      <c r="AR206" s="166"/>
      <c r="AS206" s="166"/>
      <c r="AT206" s="166"/>
      <c r="AU206" s="166"/>
      <c r="AV206" s="166"/>
      <c r="AW206" s="166"/>
      <c r="AX206" s="166"/>
      <c r="AY206" s="166"/>
      <c r="AZ206" s="186"/>
      <c r="BA206" s="186"/>
      <c r="BB206" s="186"/>
      <c r="BC206" s="186"/>
      <c r="BD206" s="186"/>
      <c r="BE206" s="186"/>
      <c r="BF206" s="186"/>
      <c r="BG206" s="186"/>
      <c r="BH206" s="186"/>
      <c r="BI206" s="183">
        <f t="shared" si="109"/>
        <v>0</v>
      </c>
      <c r="BJ206" s="183">
        <f t="shared" si="110"/>
        <v>0</v>
      </c>
      <c r="BK206" s="183">
        <f t="shared" si="111"/>
        <v>0</v>
      </c>
      <c r="BL206" s="183">
        <f t="shared" si="112"/>
        <v>0</v>
      </c>
    </row>
    <row r="207" spans="1:64" s="187" customFormat="1" ht="15.75" hidden="1" customHeight="1" outlineLevel="3" x14ac:dyDescent="0.3">
      <c r="A207" s="185"/>
      <c r="B207" s="185"/>
      <c r="C207" s="185"/>
      <c r="D207" s="185"/>
      <c r="E207" s="185" t="s">
        <v>2680</v>
      </c>
      <c r="F207" s="185" t="s">
        <v>83</v>
      </c>
      <c r="G207" s="185">
        <v>18</v>
      </c>
      <c r="H207" s="185" t="str">
        <f>IFERROR(VLOOKUP(G207,'2022. tervsor'!C:D,2,0)," ")</f>
        <v>Illetménykiegészítés</v>
      </c>
      <c r="I207" s="181">
        <f t="shared" si="119"/>
        <v>0</v>
      </c>
      <c r="J207" s="181">
        <f t="shared" si="103"/>
        <v>0</v>
      </c>
      <c r="K207" s="166">
        <f t="shared" si="117"/>
        <v>0</v>
      </c>
      <c r="L207" s="166">
        <f t="shared" si="104"/>
        <v>0</v>
      </c>
      <c r="M207" s="182"/>
      <c r="N207" s="166"/>
      <c r="O207" s="166"/>
      <c r="P207" s="166"/>
      <c r="Q207" s="166"/>
      <c r="R207" s="166"/>
      <c r="S207" s="166"/>
      <c r="T207" s="166"/>
      <c r="U207" s="166"/>
      <c r="V207" s="166"/>
      <c r="W207" s="166"/>
      <c r="X207" s="166"/>
      <c r="Y207" s="166"/>
      <c r="Z207" s="166"/>
      <c r="AA207" s="166"/>
      <c r="AB207" s="166"/>
      <c r="AC207" s="166"/>
      <c r="AD207" s="166"/>
      <c r="AE207" s="166"/>
      <c r="AF207" s="166"/>
      <c r="AG207" s="166"/>
      <c r="AH207" s="166"/>
      <c r="AI207" s="166"/>
      <c r="AJ207" s="166"/>
      <c r="AK207" s="166"/>
      <c r="AL207" s="166"/>
      <c r="AM207" s="166"/>
      <c r="AN207" s="166"/>
      <c r="AO207" s="166"/>
      <c r="AP207" s="166"/>
      <c r="AQ207" s="166"/>
      <c r="AR207" s="166"/>
      <c r="AS207" s="166"/>
      <c r="AT207" s="166"/>
      <c r="AU207" s="166"/>
      <c r="AV207" s="166"/>
      <c r="AW207" s="166"/>
      <c r="AX207" s="166"/>
      <c r="AY207" s="166"/>
      <c r="AZ207" s="186"/>
      <c r="BA207" s="186"/>
      <c r="BB207" s="186"/>
      <c r="BC207" s="186"/>
      <c r="BD207" s="186"/>
      <c r="BE207" s="186"/>
      <c r="BF207" s="186"/>
      <c r="BG207" s="186"/>
      <c r="BH207" s="186"/>
      <c r="BI207" s="183">
        <f t="shared" si="109"/>
        <v>0</v>
      </c>
      <c r="BJ207" s="183">
        <f t="shared" si="110"/>
        <v>0</v>
      </c>
      <c r="BK207" s="183">
        <f t="shared" si="111"/>
        <v>0</v>
      </c>
      <c r="BL207" s="183">
        <f t="shared" si="112"/>
        <v>0</v>
      </c>
    </row>
    <row r="208" spans="1:64" s="187" customFormat="1" ht="15.75" hidden="1" customHeight="1" outlineLevel="3" x14ac:dyDescent="0.3">
      <c r="A208" s="185"/>
      <c r="B208" s="185"/>
      <c r="C208" s="185"/>
      <c r="D208" s="185"/>
      <c r="E208" s="185" t="s">
        <v>2680</v>
      </c>
      <c r="F208" s="185" t="s">
        <v>83</v>
      </c>
      <c r="G208" s="185">
        <v>19</v>
      </c>
      <c r="H208" s="185" t="str">
        <f>IFERROR(VLOOKUP(G208,'2022. tervsor'!C:D,2,0)," ")</f>
        <v>Nyelvpótlék</v>
      </c>
      <c r="I208" s="181">
        <f t="shared" si="119"/>
        <v>0</v>
      </c>
      <c r="J208" s="181">
        <f t="shared" si="103"/>
        <v>0</v>
      </c>
      <c r="K208" s="166">
        <f t="shared" si="117"/>
        <v>0</v>
      </c>
      <c r="L208" s="166">
        <f t="shared" si="104"/>
        <v>0</v>
      </c>
      <c r="M208" s="182"/>
      <c r="N208" s="166"/>
      <c r="O208" s="166"/>
      <c r="P208" s="166"/>
      <c r="Q208" s="166"/>
      <c r="R208" s="166"/>
      <c r="S208" s="166"/>
      <c r="T208" s="166"/>
      <c r="U208" s="166"/>
      <c r="V208" s="166"/>
      <c r="W208" s="166"/>
      <c r="X208" s="166"/>
      <c r="Y208" s="166"/>
      <c r="Z208" s="166"/>
      <c r="AA208" s="166"/>
      <c r="AB208" s="166"/>
      <c r="AC208" s="166"/>
      <c r="AD208" s="166"/>
      <c r="AE208" s="166"/>
      <c r="AF208" s="166"/>
      <c r="AG208" s="166"/>
      <c r="AH208" s="166"/>
      <c r="AI208" s="166"/>
      <c r="AJ208" s="166"/>
      <c r="AK208" s="166"/>
      <c r="AL208" s="166"/>
      <c r="AM208" s="166"/>
      <c r="AN208" s="166"/>
      <c r="AO208" s="166"/>
      <c r="AP208" s="166"/>
      <c r="AQ208" s="166"/>
      <c r="AR208" s="166"/>
      <c r="AS208" s="166"/>
      <c r="AT208" s="166"/>
      <c r="AU208" s="166"/>
      <c r="AV208" s="166"/>
      <c r="AW208" s="166"/>
      <c r="AX208" s="166"/>
      <c r="AY208" s="166"/>
      <c r="AZ208" s="186"/>
      <c r="BA208" s="186"/>
      <c r="BB208" s="186"/>
      <c r="BC208" s="186"/>
      <c r="BD208" s="186"/>
      <c r="BE208" s="186"/>
      <c r="BF208" s="186"/>
      <c r="BG208" s="186"/>
      <c r="BH208" s="186"/>
      <c r="BI208" s="183">
        <f t="shared" si="109"/>
        <v>0</v>
      </c>
      <c r="BJ208" s="183">
        <f t="shared" si="110"/>
        <v>0</v>
      </c>
      <c r="BK208" s="183">
        <f t="shared" si="111"/>
        <v>0</v>
      </c>
      <c r="BL208" s="183">
        <f t="shared" si="112"/>
        <v>0</v>
      </c>
    </row>
    <row r="209" spans="1:64" s="187" customFormat="1" ht="15.75" hidden="1" customHeight="1" outlineLevel="3" x14ac:dyDescent="0.3">
      <c r="A209" s="185"/>
      <c r="B209" s="185"/>
      <c r="C209" s="185"/>
      <c r="D209" s="185"/>
      <c r="E209" s="185" t="s">
        <v>2680</v>
      </c>
      <c r="F209" s="185" t="s">
        <v>83</v>
      </c>
      <c r="G209" s="185">
        <v>20</v>
      </c>
      <c r="H209" s="185" t="str">
        <f>IFERROR(VLOOKUP(G209,'2022. tervsor'!C:D,2,0)," ")</f>
        <v>Egyéb kötelező illetménypótlékok</v>
      </c>
      <c r="I209" s="181">
        <f t="shared" si="119"/>
        <v>0</v>
      </c>
      <c r="J209" s="181">
        <f t="shared" si="103"/>
        <v>0</v>
      </c>
      <c r="K209" s="166">
        <f t="shared" si="117"/>
        <v>0</v>
      </c>
      <c r="L209" s="166">
        <f t="shared" si="104"/>
        <v>0</v>
      </c>
      <c r="M209" s="182"/>
      <c r="N209" s="166"/>
      <c r="O209" s="166"/>
      <c r="P209" s="166"/>
      <c r="Q209" s="166"/>
      <c r="R209" s="166"/>
      <c r="S209" s="166"/>
      <c r="T209" s="166"/>
      <c r="U209" s="166"/>
      <c r="V209" s="166"/>
      <c r="W209" s="166"/>
      <c r="X209" s="166"/>
      <c r="Y209" s="166"/>
      <c r="Z209" s="166"/>
      <c r="AA209" s="166"/>
      <c r="AB209" s="166"/>
      <c r="AC209" s="166"/>
      <c r="AD209" s="166"/>
      <c r="AE209" s="166"/>
      <c r="AF209" s="166"/>
      <c r="AG209" s="166"/>
      <c r="AH209" s="166"/>
      <c r="AI209" s="166"/>
      <c r="AJ209" s="166"/>
      <c r="AK209" s="166"/>
      <c r="AL209" s="166"/>
      <c r="AM209" s="166"/>
      <c r="AN209" s="166"/>
      <c r="AO209" s="166"/>
      <c r="AP209" s="166"/>
      <c r="AQ209" s="166"/>
      <c r="AR209" s="166"/>
      <c r="AS209" s="166"/>
      <c r="AT209" s="166"/>
      <c r="AU209" s="166"/>
      <c r="AV209" s="166"/>
      <c r="AW209" s="166"/>
      <c r="AX209" s="166"/>
      <c r="AY209" s="166"/>
      <c r="AZ209" s="186"/>
      <c r="BA209" s="186"/>
      <c r="BB209" s="186"/>
      <c r="BC209" s="186"/>
      <c r="BD209" s="186"/>
      <c r="BE209" s="186"/>
      <c r="BF209" s="186"/>
      <c r="BG209" s="186"/>
      <c r="BH209" s="186"/>
      <c r="BI209" s="183">
        <f t="shared" si="109"/>
        <v>0</v>
      </c>
      <c r="BJ209" s="183">
        <f t="shared" si="110"/>
        <v>0</v>
      </c>
      <c r="BK209" s="183">
        <f t="shared" si="111"/>
        <v>0</v>
      </c>
      <c r="BL209" s="183">
        <f t="shared" si="112"/>
        <v>0</v>
      </c>
    </row>
    <row r="210" spans="1:64" s="187" customFormat="1" ht="15.75" hidden="1" customHeight="1" outlineLevel="3" x14ac:dyDescent="0.3">
      <c r="A210" s="185"/>
      <c r="B210" s="185"/>
      <c r="C210" s="185"/>
      <c r="D210" s="185"/>
      <c r="E210" s="185" t="s">
        <v>2680</v>
      </c>
      <c r="F210" s="185" t="s">
        <v>83</v>
      </c>
      <c r="G210" s="185">
        <v>21</v>
      </c>
      <c r="H210" s="185" t="str">
        <f>IFERROR(VLOOKUP(G210,'2022. tervsor'!C:D,2,0)," ")</f>
        <v>Egyéb feltételtől függő pótlékok és juttatások</v>
      </c>
      <c r="I210" s="181">
        <f t="shared" si="119"/>
        <v>0</v>
      </c>
      <c r="J210" s="181">
        <f t="shared" si="103"/>
        <v>0</v>
      </c>
      <c r="K210" s="166">
        <f t="shared" si="117"/>
        <v>0</v>
      </c>
      <c r="L210" s="166">
        <f t="shared" si="104"/>
        <v>0</v>
      </c>
      <c r="M210" s="182"/>
      <c r="N210" s="166"/>
      <c r="O210" s="166"/>
      <c r="P210" s="166"/>
      <c r="Q210" s="166"/>
      <c r="R210" s="166"/>
      <c r="S210" s="166"/>
      <c r="T210" s="166"/>
      <c r="U210" s="166"/>
      <c r="V210" s="166"/>
      <c r="W210" s="166"/>
      <c r="X210" s="166"/>
      <c r="Y210" s="166"/>
      <c r="Z210" s="166"/>
      <c r="AA210" s="166"/>
      <c r="AB210" s="166"/>
      <c r="AC210" s="166"/>
      <c r="AD210" s="166"/>
      <c r="AE210" s="166"/>
      <c r="AF210" s="166"/>
      <c r="AG210" s="166"/>
      <c r="AH210" s="166"/>
      <c r="AI210" s="166"/>
      <c r="AJ210" s="166"/>
      <c r="AK210" s="166"/>
      <c r="AL210" s="166"/>
      <c r="AM210" s="166"/>
      <c r="AN210" s="166"/>
      <c r="AO210" s="166"/>
      <c r="AP210" s="166"/>
      <c r="AQ210" s="166"/>
      <c r="AR210" s="166"/>
      <c r="AS210" s="166"/>
      <c r="AT210" s="166"/>
      <c r="AU210" s="166"/>
      <c r="AV210" s="166"/>
      <c r="AW210" s="166"/>
      <c r="AX210" s="166"/>
      <c r="AY210" s="166"/>
      <c r="AZ210" s="186"/>
      <c r="BA210" s="186"/>
      <c r="BB210" s="186"/>
      <c r="BC210" s="186"/>
      <c r="BD210" s="186"/>
      <c r="BE210" s="186"/>
      <c r="BF210" s="186"/>
      <c r="BG210" s="186"/>
      <c r="BH210" s="186"/>
      <c r="BI210" s="183">
        <f t="shared" si="109"/>
        <v>0</v>
      </c>
      <c r="BJ210" s="183">
        <f t="shared" si="110"/>
        <v>0</v>
      </c>
      <c r="BK210" s="183">
        <f t="shared" si="111"/>
        <v>0</v>
      </c>
      <c r="BL210" s="183">
        <f t="shared" si="112"/>
        <v>0</v>
      </c>
    </row>
    <row r="211" spans="1:64" s="187" customFormat="1" ht="15.75" hidden="1" customHeight="1" outlineLevel="3" x14ac:dyDescent="0.3">
      <c r="A211" s="185"/>
      <c r="B211" s="185"/>
      <c r="C211" s="185"/>
      <c r="D211" s="185"/>
      <c r="E211" s="185" t="s">
        <v>2680</v>
      </c>
      <c r="F211" s="185" t="s">
        <v>83</v>
      </c>
      <c r="G211" s="185">
        <v>22</v>
      </c>
      <c r="H211" s="185" t="str">
        <f>IFERROR(VLOOKUP(G211,'2022. tervsor'!C:D,2,0)," ")</f>
        <v>Rendszeres keresetkiegészítés</v>
      </c>
      <c r="I211" s="181">
        <f t="shared" si="119"/>
        <v>0</v>
      </c>
      <c r="J211" s="181">
        <f t="shared" si="103"/>
        <v>0</v>
      </c>
      <c r="K211" s="166">
        <f t="shared" si="117"/>
        <v>0</v>
      </c>
      <c r="L211" s="166">
        <f t="shared" si="104"/>
        <v>0</v>
      </c>
      <c r="M211" s="182"/>
      <c r="N211" s="166"/>
      <c r="O211" s="166"/>
      <c r="P211" s="166"/>
      <c r="Q211" s="166"/>
      <c r="R211" s="166"/>
      <c r="S211" s="166"/>
      <c r="T211" s="166"/>
      <c r="U211" s="166"/>
      <c r="V211" s="166"/>
      <c r="W211" s="166"/>
      <c r="X211" s="166"/>
      <c r="Y211" s="166"/>
      <c r="Z211" s="166"/>
      <c r="AA211" s="166"/>
      <c r="AB211" s="166"/>
      <c r="AC211" s="166"/>
      <c r="AD211" s="166"/>
      <c r="AE211" s="166"/>
      <c r="AF211" s="166"/>
      <c r="AG211" s="166"/>
      <c r="AH211" s="166"/>
      <c r="AI211" s="166"/>
      <c r="AJ211" s="166"/>
      <c r="AK211" s="166"/>
      <c r="AL211" s="166"/>
      <c r="AM211" s="166"/>
      <c r="AN211" s="166"/>
      <c r="AO211" s="166"/>
      <c r="AP211" s="166"/>
      <c r="AQ211" s="166"/>
      <c r="AR211" s="166"/>
      <c r="AS211" s="166"/>
      <c r="AT211" s="166"/>
      <c r="AU211" s="166"/>
      <c r="AV211" s="166"/>
      <c r="AW211" s="166"/>
      <c r="AX211" s="166"/>
      <c r="AY211" s="166"/>
      <c r="AZ211" s="186"/>
      <c r="BA211" s="186"/>
      <c r="BB211" s="186"/>
      <c r="BC211" s="186"/>
      <c r="BD211" s="186"/>
      <c r="BE211" s="186"/>
      <c r="BF211" s="186"/>
      <c r="BG211" s="186"/>
      <c r="BH211" s="186"/>
      <c r="BI211" s="183">
        <f t="shared" si="109"/>
        <v>0</v>
      </c>
      <c r="BJ211" s="183">
        <f t="shared" si="110"/>
        <v>0</v>
      </c>
      <c r="BK211" s="183">
        <f t="shared" si="111"/>
        <v>0</v>
      </c>
      <c r="BL211" s="183">
        <f t="shared" si="112"/>
        <v>0</v>
      </c>
    </row>
    <row r="212" spans="1:64" s="187" customFormat="1" ht="15.75" hidden="1" customHeight="1" outlineLevel="3" x14ac:dyDescent="0.3">
      <c r="A212" s="185"/>
      <c r="B212" s="185"/>
      <c r="C212" s="185"/>
      <c r="D212" s="185"/>
      <c r="E212" s="185" t="s">
        <v>2680</v>
      </c>
      <c r="F212" s="185" t="s">
        <v>83</v>
      </c>
      <c r="G212" s="185">
        <v>23</v>
      </c>
      <c r="H212" s="185" t="str">
        <f>IFERROR(VLOOKUP(G212,'2022. tervsor'!C:D,2,0)," ")</f>
        <v>Eseti keresetkiegészítés</v>
      </c>
      <c r="I212" s="181">
        <f t="shared" si="119"/>
        <v>0</v>
      </c>
      <c r="J212" s="181">
        <f t="shared" si="103"/>
        <v>0</v>
      </c>
      <c r="K212" s="166">
        <f t="shared" si="117"/>
        <v>0</v>
      </c>
      <c r="L212" s="166">
        <f t="shared" si="104"/>
        <v>0</v>
      </c>
      <c r="M212" s="182"/>
      <c r="N212" s="166"/>
      <c r="O212" s="166"/>
      <c r="P212" s="166"/>
      <c r="Q212" s="166"/>
      <c r="R212" s="166"/>
      <c r="S212" s="166"/>
      <c r="T212" s="166"/>
      <c r="U212" s="166"/>
      <c r="V212" s="166"/>
      <c r="W212" s="166"/>
      <c r="X212" s="166"/>
      <c r="Y212" s="166"/>
      <c r="Z212" s="166"/>
      <c r="AA212" s="166"/>
      <c r="AB212" s="166"/>
      <c r="AC212" s="166"/>
      <c r="AD212" s="166"/>
      <c r="AE212" s="166"/>
      <c r="AF212" s="166"/>
      <c r="AG212" s="166"/>
      <c r="AH212" s="166"/>
      <c r="AI212" s="166"/>
      <c r="AJ212" s="166"/>
      <c r="AK212" s="166"/>
      <c r="AL212" s="166"/>
      <c r="AM212" s="166"/>
      <c r="AN212" s="166"/>
      <c r="AO212" s="166"/>
      <c r="AP212" s="166"/>
      <c r="AQ212" s="166"/>
      <c r="AR212" s="166"/>
      <c r="AS212" s="166"/>
      <c r="AT212" s="166"/>
      <c r="AU212" s="166"/>
      <c r="AV212" s="166"/>
      <c r="AW212" s="166"/>
      <c r="AX212" s="166"/>
      <c r="AY212" s="166"/>
      <c r="AZ212" s="186"/>
      <c r="BA212" s="186"/>
      <c r="BB212" s="186"/>
      <c r="BC212" s="186"/>
      <c r="BD212" s="186"/>
      <c r="BE212" s="186"/>
      <c r="BF212" s="186"/>
      <c r="BG212" s="186"/>
      <c r="BH212" s="186"/>
      <c r="BI212" s="183">
        <f t="shared" si="109"/>
        <v>0</v>
      </c>
      <c r="BJ212" s="183">
        <f t="shared" si="110"/>
        <v>0</v>
      </c>
      <c r="BK212" s="183">
        <f t="shared" si="111"/>
        <v>0</v>
      </c>
      <c r="BL212" s="183">
        <f t="shared" si="112"/>
        <v>0</v>
      </c>
    </row>
    <row r="213" spans="1:64" s="187" customFormat="1" ht="15.75" hidden="1" customHeight="1" outlineLevel="3" x14ac:dyDescent="0.3">
      <c r="A213" s="185"/>
      <c r="B213" s="185"/>
      <c r="C213" s="185"/>
      <c r="D213" s="185"/>
      <c r="E213" s="185" t="s">
        <v>2680</v>
      </c>
      <c r="F213" s="185" t="s">
        <v>83</v>
      </c>
      <c r="G213" s="185">
        <v>24</v>
      </c>
      <c r="H213" s="185" t="str">
        <f>IFERROR(VLOOKUP(G213,'2022. tervsor'!C:D,2,0)," ")</f>
        <v>Egyéb juttatások kiadásai</v>
      </c>
      <c r="I213" s="181">
        <f t="shared" si="119"/>
        <v>0</v>
      </c>
      <c r="J213" s="181">
        <f t="shared" si="103"/>
        <v>0</v>
      </c>
      <c r="K213" s="166">
        <f t="shared" si="117"/>
        <v>0</v>
      </c>
      <c r="L213" s="166">
        <f t="shared" si="104"/>
        <v>0</v>
      </c>
      <c r="M213" s="182"/>
      <c r="N213" s="166"/>
      <c r="O213" s="166"/>
      <c r="P213" s="166"/>
      <c r="Q213" s="166"/>
      <c r="R213" s="166"/>
      <c r="S213" s="166"/>
      <c r="T213" s="166"/>
      <c r="U213" s="166"/>
      <c r="V213" s="166"/>
      <c r="W213" s="166"/>
      <c r="X213" s="166"/>
      <c r="Y213" s="166"/>
      <c r="Z213" s="166"/>
      <c r="AA213" s="166"/>
      <c r="AB213" s="166"/>
      <c r="AC213" s="166"/>
      <c r="AD213" s="166"/>
      <c r="AE213" s="166"/>
      <c r="AF213" s="166"/>
      <c r="AG213" s="166"/>
      <c r="AH213" s="166"/>
      <c r="AI213" s="166"/>
      <c r="AJ213" s="166"/>
      <c r="AK213" s="166"/>
      <c r="AL213" s="166"/>
      <c r="AM213" s="166"/>
      <c r="AN213" s="166"/>
      <c r="AO213" s="166"/>
      <c r="AP213" s="166"/>
      <c r="AQ213" s="166"/>
      <c r="AR213" s="166"/>
      <c r="AS213" s="166"/>
      <c r="AT213" s="166"/>
      <c r="AU213" s="166"/>
      <c r="AV213" s="166"/>
      <c r="AW213" s="166"/>
      <c r="AX213" s="166"/>
      <c r="AY213" s="166"/>
      <c r="AZ213" s="186"/>
      <c r="BA213" s="186"/>
      <c r="BB213" s="186"/>
      <c r="BC213" s="186"/>
      <c r="BD213" s="186"/>
      <c r="BE213" s="186"/>
      <c r="BF213" s="186"/>
      <c r="BG213" s="186"/>
      <c r="BH213" s="186"/>
      <c r="BI213" s="183">
        <f t="shared" si="109"/>
        <v>0</v>
      </c>
      <c r="BJ213" s="183">
        <f t="shared" si="110"/>
        <v>0</v>
      </c>
      <c r="BK213" s="183">
        <f t="shared" si="111"/>
        <v>0</v>
      </c>
      <c r="BL213" s="183">
        <f t="shared" si="112"/>
        <v>0</v>
      </c>
    </row>
    <row r="214" spans="1:64" s="187" customFormat="1" ht="15.75" hidden="1" customHeight="1" outlineLevel="3" x14ac:dyDescent="0.3">
      <c r="A214" s="185"/>
      <c r="B214" s="185"/>
      <c r="C214" s="185"/>
      <c r="D214" s="185"/>
      <c r="E214" s="185" t="s">
        <v>2680</v>
      </c>
      <c r="F214" s="185" t="s">
        <v>83</v>
      </c>
      <c r="G214" s="185">
        <v>25</v>
      </c>
      <c r="H214" s="185" t="str">
        <f>IFERROR(VLOOKUP(G214,'2022. tervsor'!C:D,2,0)," ")</f>
        <v>Hallgatói munkadíjak</v>
      </c>
      <c r="I214" s="181">
        <f t="shared" si="119"/>
        <v>0</v>
      </c>
      <c r="J214" s="181">
        <f t="shared" si="103"/>
        <v>0</v>
      </c>
      <c r="K214" s="166">
        <f t="shared" si="117"/>
        <v>0</v>
      </c>
      <c r="L214" s="166">
        <f t="shared" si="104"/>
        <v>0</v>
      </c>
      <c r="M214" s="182"/>
      <c r="N214" s="166"/>
      <c r="O214" s="166"/>
      <c r="P214" s="166"/>
      <c r="Q214" s="166"/>
      <c r="R214" s="166"/>
      <c r="S214" s="166"/>
      <c r="T214" s="166"/>
      <c r="U214" s="166"/>
      <c r="V214" s="166"/>
      <c r="W214" s="166"/>
      <c r="X214" s="166"/>
      <c r="Y214" s="166"/>
      <c r="Z214" s="166"/>
      <c r="AA214" s="166"/>
      <c r="AB214" s="166"/>
      <c r="AC214" s="166"/>
      <c r="AD214" s="166"/>
      <c r="AE214" s="166"/>
      <c r="AF214" s="166"/>
      <c r="AG214" s="166"/>
      <c r="AH214" s="166"/>
      <c r="AI214" s="166"/>
      <c r="AJ214" s="166"/>
      <c r="AK214" s="166"/>
      <c r="AL214" s="166"/>
      <c r="AM214" s="166"/>
      <c r="AN214" s="166"/>
      <c r="AO214" s="166"/>
      <c r="AP214" s="166"/>
      <c r="AQ214" s="166"/>
      <c r="AR214" s="166"/>
      <c r="AS214" s="166"/>
      <c r="AT214" s="166"/>
      <c r="AU214" s="166"/>
      <c r="AV214" s="166"/>
      <c r="AW214" s="166"/>
      <c r="AX214" s="166"/>
      <c r="AY214" s="166"/>
      <c r="AZ214" s="186"/>
      <c r="BA214" s="186"/>
      <c r="BB214" s="186"/>
      <c r="BC214" s="186"/>
      <c r="BD214" s="186"/>
      <c r="BE214" s="186"/>
      <c r="BF214" s="186"/>
      <c r="BG214" s="186"/>
      <c r="BH214" s="186"/>
      <c r="BI214" s="183">
        <f t="shared" si="109"/>
        <v>0</v>
      </c>
      <c r="BJ214" s="183">
        <f t="shared" si="110"/>
        <v>0</v>
      </c>
      <c r="BK214" s="183">
        <f t="shared" si="111"/>
        <v>0</v>
      </c>
      <c r="BL214" s="183">
        <f t="shared" si="112"/>
        <v>0</v>
      </c>
    </row>
    <row r="215" spans="1:64" s="187" customFormat="1" ht="15.75" hidden="1" customHeight="1" outlineLevel="3" x14ac:dyDescent="0.3">
      <c r="A215" s="185"/>
      <c r="B215" s="185"/>
      <c r="C215" s="185"/>
      <c r="D215" s="185"/>
      <c r="E215" s="185" t="s">
        <v>2680</v>
      </c>
      <c r="F215" s="185" t="s">
        <v>83</v>
      </c>
      <c r="G215" s="185">
        <v>26</v>
      </c>
      <c r="H215" s="185" t="str">
        <f>IFERROR(VLOOKUP(G215,'2022. tervsor'!C:D,2,0)," ")</f>
        <v>Üres álláshelyekre tervezett illetmény (okt+kut+egyéb+hallg)</v>
      </c>
      <c r="I215" s="181">
        <f t="shared" si="119"/>
        <v>0</v>
      </c>
      <c r="J215" s="181">
        <f t="shared" si="103"/>
        <v>0</v>
      </c>
      <c r="K215" s="166">
        <f t="shared" si="117"/>
        <v>0</v>
      </c>
      <c r="L215" s="166">
        <f t="shared" si="104"/>
        <v>0</v>
      </c>
      <c r="M215" s="182"/>
      <c r="N215" s="166"/>
      <c r="O215" s="166"/>
      <c r="P215" s="166"/>
      <c r="Q215" s="166"/>
      <c r="R215" s="166"/>
      <c r="S215" s="166"/>
      <c r="T215" s="166"/>
      <c r="U215" s="166"/>
      <c r="V215" s="166"/>
      <c r="W215" s="166"/>
      <c r="X215" s="166"/>
      <c r="Y215" s="166"/>
      <c r="Z215" s="166"/>
      <c r="AA215" s="166"/>
      <c r="AB215" s="166"/>
      <c r="AC215" s="166"/>
      <c r="AD215" s="166"/>
      <c r="AE215" s="166"/>
      <c r="AF215" s="166"/>
      <c r="AG215" s="166"/>
      <c r="AH215" s="166"/>
      <c r="AI215" s="166"/>
      <c r="AJ215" s="166"/>
      <c r="AK215" s="166"/>
      <c r="AL215" s="166"/>
      <c r="AM215" s="166"/>
      <c r="AN215" s="166"/>
      <c r="AO215" s="166"/>
      <c r="AP215" s="166"/>
      <c r="AQ215" s="166"/>
      <c r="AR215" s="166"/>
      <c r="AS215" s="166"/>
      <c r="AT215" s="166"/>
      <c r="AU215" s="166"/>
      <c r="AV215" s="166"/>
      <c r="AW215" s="166"/>
      <c r="AX215" s="166"/>
      <c r="AY215" s="166"/>
      <c r="AZ215" s="186"/>
      <c r="BA215" s="186"/>
      <c r="BB215" s="186"/>
      <c r="BC215" s="186"/>
      <c r="BD215" s="186"/>
      <c r="BE215" s="186"/>
      <c r="BF215" s="186"/>
      <c r="BG215" s="186"/>
      <c r="BH215" s="186"/>
      <c r="BI215" s="183">
        <f t="shared" si="109"/>
        <v>0</v>
      </c>
      <c r="BJ215" s="183">
        <f t="shared" si="110"/>
        <v>0</v>
      </c>
      <c r="BK215" s="183">
        <f t="shared" si="111"/>
        <v>0</v>
      </c>
      <c r="BL215" s="183">
        <f t="shared" si="112"/>
        <v>0</v>
      </c>
    </row>
    <row r="216" spans="1:64" s="187" customFormat="1" ht="15.75" hidden="1" customHeight="1" outlineLevel="3" x14ac:dyDescent="0.3">
      <c r="A216" s="185"/>
      <c r="B216" s="185"/>
      <c r="C216" s="185"/>
      <c r="D216" s="185"/>
      <c r="E216" s="185" t="s">
        <v>2680</v>
      </c>
      <c r="F216" s="185" t="s">
        <v>83</v>
      </c>
      <c r="G216" s="185">
        <v>27</v>
      </c>
      <c r="H216" s="185" t="str">
        <f>IFERROR(VLOOKUP(G216,'2022. tervsor'!C:D,2,0)," ")</f>
        <v>Üres</v>
      </c>
      <c r="I216" s="181">
        <f t="shared" si="119"/>
        <v>0</v>
      </c>
      <c r="J216" s="181">
        <f t="shared" si="103"/>
        <v>0</v>
      </c>
      <c r="K216" s="166">
        <f t="shared" si="117"/>
        <v>0</v>
      </c>
      <c r="L216" s="166">
        <f t="shared" si="104"/>
        <v>0</v>
      </c>
      <c r="M216" s="182"/>
      <c r="N216" s="166"/>
      <c r="O216" s="166"/>
      <c r="P216" s="166"/>
      <c r="Q216" s="166"/>
      <c r="R216" s="166"/>
      <c r="S216" s="166"/>
      <c r="T216" s="166"/>
      <c r="U216" s="166"/>
      <c r="V216" s="166"/>
      <c r="W216" s="166"/>
      <c r="X216" s="166"/>
      <c r="Y216" s="166"/>
      <c r="Z216" s="166"/>
      <c r="AA216" s="166"/>
      <c r="AB216" s="166"/>
      <c r="AC216" s="166"/>
      <c r="AD216" s="166"/>
      <c r="AE216" s="166"/>
      <c r="AF216" s="166"/>
      <c r="AG216" s="166"/>
      <c r="AH216" s="166"/>
      <c r="AI216" s="166"/>
      <c r="AJ216" s="166"/>
      <c r="AK216" s="166"/>
      <c r="AL216" s="166"/>
      <c r="AM216" s="166"/>
      <c r="AN216" s="166"/>
      <c r="AO216" s="166"/>
      <c r="AP216" s="166"/>
      <c r="AQ216" s="166"/>
      <c r="AR216" s="166"/>
      <c r="AS216" s="166"/>
      <c r="AT216" s="166"/>
      <c r="AU216" s="166"/>
      <c r="AV216" s="166"/>
      <c r="AW216" s="166"/>
      <c r="AX216" s="166"/>
      <c r="AY216" s="166"/>
      <c r="AZ216" s="186"/>
      <c r="BA216" s="186"/>
      <c r="BB216" s="186"/>
      <c r="BC216" s="186"/>
      <c r="BD216" s="186"/>
      <c r="BE216" s="186"/>
      <c r="BF216" s="186"/>
      <c r="BG216" s="186"/>
      <c r="BH216" s="186"/>
      <c r="BI216" s="183">
        <f t="shared" si="109"/>
        <v>0</v>
      </c>
      <c r="BJ216" s="183">
        <f t="shared" si="110"/>
        <v>0</v>
      </c>
      <c r="BK216" s="183">
        <f t="shared" si="111"/>
        <v>0</v>
      </c>
      <c r="BL216" s="183">
        <f t="shared" si="112"/>
        <v>0</v>
      </c>
    </row>
    <row r="217" spans="1:64" s="187" customFormat="1" ht="15.75" hidden="1" customHeight="1" outlineLevel="3" x14ac:dyDescent="0.3">
      <c r="A217" s="185"/>
      <c r="B217" s="185"/>
      <c r="C217" s="185"/>
      <c r="D217" s="185"/>
      <c r="E217" s="185" t="s">
        <v>2680</v>
      </c>
      <c r="F217" s="185" t="s">
        <v>83</v>
      </c>
      <c r="G217" s="185">
        <v>28</v>
      </c>
      <c r="H217" s="185" t="str">
        <f>IFERROR(VLOOKUP(G217,'2022. tervsor'!C:D,2,0)," ")</f>
        <v>Üres</v>
      </c>
      <c r="I217" s="181">
        <f t="shared" si="119"/>
        <v>0</v>
      </c>
      <c r="J217" s="181">
        <f t="shared" ref="J217:J248" si="120">SUM(N217:AM217)</f>
        <v>0</v>
      </c>
      <c r="K217" s="166">
        <f t="shared" si="117"/>
        <v>0</v>
      </c>
      <c r="L217" s="166">
        <f t="shared" ref="L217:L248" si="121">SUM(N217:BH217)</f>
        <v>0</v>
      </c>
      <c r="M217" s="182"/>
      <c r="N217" s="166"/>
      <c r="O217" s="166"/>
      <c r="P217" s="166"/>
      <c r="Q217" s="166"/>
      <c r="R217" s="166"/>
      <c r="S217" s="166"/>
      <c r="T217" s="166"/>
      <c r="U217" s="166"/>
      <c r="V217" s="166"/>
      <c r="W217" s="166"/>
      <c r="X217" s="166"/>
      <c r="Y217" s="166"/>
      <c r="Z217" s="166"/>
      <c r="AA217" s="166"/>
      <c r="AB217" s="166"/>
      <c r="AC217" s="166"/>
      <c r="AD217" s="166"/>
      <c r="AE217" s="166"/>
      <c r="AF217" s="166"/>
      <c r="AG217" s="166"/>
      <c r="AH217" s="166"/>
      <c r="AI217" s="166"/>
      <c r="AJ217" s="166"/>
      <c r="AK217" s="166"/>
      <c r="AL217" s="166"/>
      <c r="AM217" s="166"/>
      <c r="AN217" s="166"/>
      <c r="AO217" s="166"/>
      <c r="AP217" s="166"/>
      <c r="AQ217" s="166"/>
      <c r="AR217" s="166"/>
      <c r="AS217" s="166"/>
      <c r="AT217" s="166"/>
      <c r="AU217" s="166"/>
      <c r="AV217" s="166"/>
      <c r="AW217" s="166"/>
      <c r="AX217" s="166"/>
      <c r="AY217" s="166"/>
      <c r="AZ217" s="186"/>
      <c r="BA217" s="186"/>
      <c r="BB217" s="186"/>
      <c r="BC217" s="186"/>
      <c r="BD217" s="186"/>
      <c r="BE217" s="186"/>
      <c r="BF217" s="186"/>
      <c r="BG217" s="186"/>
      <c r="BH217" s="186"/>
      <c r="BI217" s="183">
        <f t="shared" si="109"/>
        <v>0</v>
      </c>
      <c r="BJ217" s="183">
        <f t="shared" si="110"/>
        <v>0</v>
      </c>
      <c r="BK217" s="183">
        <f t="shared" si="111"/>
        <v>0</v>
      </c>
      <c r="BL217" s="183">
        <f t="shared" si="112"/>
        <v>0</v>
      </c>
    </row>
    <row r="218" spans="1:64" s="187" customFormat="1" ht="15.75" hidden="1" customHeight="1" outlineLevel="3" x14ac:dyDescent="0.3">
      <c r="A218" s="185"/>
      <c r="B218" s="185"/>
      <c r="C218" s="185"/>
      <c r="D218" s="185"/>
      <c r="E218" s="185" t="s">
        <v>2680</v>
      </c>
      <c r="F218" s="185" t="s">
        <v>83</v>
      </c>
      <c r="G218" s="185">
        <v>29</v>
      </c>
      <c r="H218" s="185" t="str">
        <f>IFERROR(VLOOKUP(G218,'2022. tervsor'!C:D,2,0)," ")</f>
        <v>TÖRVÉNY SZERINTI ILLETMÉNYEK</v>
      </c>
      <c r="I218" s="181">
        <f t="shared" si="119"/>
        <v>0</v>
      </c>
      <c r="J218" s="181">
        <f t="shared" si="120"/>
        <v>0</v>
      </c>
      <c r="K218" s="166">
        <f t="shared" si="117"/>
        <v>0</v>
      </c>
      <c r="L218" s="166">
        <f t="shared" si="121"/>
        <v>0</v>
      </c>
      <c r="M218" s="182"/>
      <c r="N218" s="166"/>
      <c r="O218" s="166"/>
      <c r="P218" s="166"/>
      <c r="Q218" s="166"/>
      <c r="R218" s="166"/>
      <c r="S218" s="166"/>
      <c r="T218" s="166"/>
      <c r="U218" s="166"/>
      <c r="V218" s="166"/>
      <c r="W218" s="166"/>
      <c r="X218" s="166"/>
      <c r="Y218" s="166"/>
      <c r="Z218" s="166"/>
      <c r="AA218" s="166"/>
      <c r="AB218" s="166"/>
      <c r="AC218" s="166"/>
      <c r="AD218" s="166"/>
      <c r="AE218" s="166"/>
      <c r="AF218" s="166"/>
      <c r="AG218" s="166"/>
      <c r="AH218" s="166"/>
      <c r="AI218" s="166"/>
      <c r="AJ218" s="166"/>
      <c r="AK218" s="166"/>
      <c r="AL218" s="166"/>
      <c r="AM218" s="166"/>
      <c r="AN218" s="166"/>
      <c r="AO218" s="166"/>
      <c r="AP218" s="166"/>
      <c r="AQ218" s="166"/>
      <c r="AR218" s="166"/>
      <c r="AS218" s="166"/>
      <c r="AT218" s="166"/>
      <c r="AU218" s="166"/>
      <c r="AV218" s="166"/>
      <c r="AW218" s="166"/>
      <c r="AX218" s="166"/>
      <c r="AY218" s="166"/>
      <c r="AZ218" s="186"/>
      <c r="BA218" s="186"/>
      <c r="BB218" s="186"/>
      <c r="BC218" s="186"/>
      <c r="BD218" s="186"/>
      <c r="BE218" s="186"/>
      <c r="BF218" s="186"/>
      <c r="BG218" s="186"/>
      <c r="BH218" s="186"/>
      <c r="BI218" s="183">
        <f t="shared" si="109"/>
        <v>0</v>
      </c>
      <c r="BJ218" s="183">
        <f t="shared" si="110"/>
        <v>0</v>
      </c>
      <c r="BK218" s="183">
        <f t="shared" si="111"/>
        <v>0</v>
      </c>
      <c r="BL218" s="183">
        <f t="shared" si="112"/>
        <v>0</v>
      </c>
    </row>
    <row r="219" spans="1:64" s="187" customFormat="1" ht="15.75" hidden="1" customHeight="1" outlineLevel="3" x14ac:dyDescent="0.3">
      <c r="A219" s="185"/>
      <c r="B219" s="185"/>
      <c r="C219" s="185"/>
      <c r="D219" s="185"/>
      <c r="E219" s="185" t="s">
        <v>2680</v>
      </c>
      <c r="F219" s="185" t="s">
        <v>83</v>
      </c>
      <c r="G219" s="185">
        <v>30</v>
      </c>
      <c r="H219" s="185" t="str">
        <f>IFERROR(VLOOKUP(G219,'2022. tervsor'!C:D,2,0)," ")</f>
        <v>Céljuttatás, projektprémium</v>
      </c>
      <c r="I219" s="181">
        <f t="shared" si="119"/>
        <v>0</v>
      </c>
      <c r="J219" s="181">
        <f t="shared" si="120"/>
        <v>0</v>
      </c>
      <c r="K219" s="166">
        <f t="shared" si="117"/>
        <v>0</v>
      </c>
      <c r="L219" s="166">
        <f t="shared" si="121"/>
        <v>0</v>
      </c>
      <c r="M219" s="182"/>
      <c r="N219" s="166"/>
      <c r="O219" s="166"/>
      <c r="P219" s="166"/>
      <c r="Q219" s="166"/>
      <c r="R219" s="166"/>
      <c r="S219" s="166"/>
      <c r="T219" s="166"/>
      <c r="U219" s="166"/>
      <c r="V219" s="166"/>
      <c r="W219" s="166"/>
      <c r="X219" s="166"/>
      <c r="Y219" s="166"/>
      <c r="Z219" s="166"/>
      <c r="AA219" s="166"/>
      <c r="AB219" s="166"/>
      <c r="AC219" s="166"/>
      <c r="AD219" s="166"/>
      <c r="AE219" s="166"/>
      <c r="AF219" s="166"/>
      <c r="AG219" s="166"/>
      <c r="AH219" s="166"/>
      <c r="AI219" s="166"/>
      <c r="AJ219" s="166"/>
      <c r="AK219" s="166"/>
      <c r="AL219" s="166"/>
      <c r="AM219" s="166"/>
      <c r="AN219" s="166"/>
      <c r="AO219" s="166"/>
      <c r="AP219" s="166"/>
      <c r="AQ219" s="166"/>
      <c r="AR219" s="166"/>
      <c r="AS219" s="166"/>
      <c r="AT219" s="166"/>
      <c r="AU219" s="166"/>
      <c r="AV219" s="166"/>
      <c r="AW219" s="166"/>
      <c r="AX219" s="166"/>
      <c r="AY219" s="166"/>
      <c r="AZ219" s="186"/>
      <c r="BA219" s="186"/>
      <c r="BB219" s="186"/>
      <c r="BC219" s="186"/>
      <c r="BD219" s="186"/>
      <c r="BE219" s="186"/>
      <c r="BF219" s="186"/>
      <c r="BG219" s="186"/>
      <c r="BH219" s="186"/>
      <c r="BI219" s="183">
        <f t="shared" si="109"/>
        <v>0</v>
      </c>
      <c r="BJ219" s="183">
        <f t="shared" si="110"/>
        <v>0</v>
      </c>
      <c r="BK219" s="183">
        <f t="shared" si="111"/>
        <v>0</v>
      </c>
      <c r="BL219" s="183">
        <f t="shared" si="112"/>
        <v>0</v>
      </c>
    </row>
    <row r="220" spans="1:64" s="187" customFormat="1" ht="15.75" hidden="1" customHeight="1" outlineLevel="3" x14ac:dyDescent="0.3">
      <c r="A220" s="185"/>
      <c r="B220" s="185"/>
      <c r="C220" s="185"/>
      <c r="D220" s="185"/>
      <c r="E220" s="185" t="s">
        <v>2680</v>
      </c>
      <c r="F220" s="185" t="s">
        <v>83</v>
      </c>
      <c r="G220" s="185">
        <v>31</v>
      </c>
      <c r="H220" s="185" t="str">
        <f>IFERROR(VLOOKUP(G220,'2022. tervsor'!C:D,2,0)," ")</f>
        <v>Készenlét. ügyelet. helyettesítési díj, túlóra</v>
      </c>
      <c r="I220" s="181">
        <f t="shared" si="119"/>
        <v>0</v>
      </c>
      <c r="J220" s="181">
        <f t="shared" si="120"/>
        <v>0</v>
      </c>
      <c r="K220" s="166">
        <f t="shared" si="117"/>
        <v>0</v>
      </c>
      <c r="L220" s="166">
        <f t="shared" si="121"/>
        <v>0</v>
      </c>
      <c r="M220" s="182"/>
      <c r="N220" s="166"/>
      <c r="O220" s="166"/>
      <c r="P220" s="166"/>
      <c r="Q220" s="166"/>
      <c r="R220" s="166"/>
      <c r="S220" s="166"/>
      <c r="T220" s="166"/>
      <c r="U220" s="166"/>
      <c r="V220" s="166"/>
      <c r="W220" s="166"/>
      <c r="X220" s="166"/>
      <c r="Y220" s="166"/>
      <c r="Z220" s="166"/>
      <c r="AA220" s="166"/>
      <c r="AB220" s="166"/>
      <c r="AC220" s="166"/>
      <c r="AD220" s="166"/>
      <c r="AE220" s="166"/>
      <c r="AF220" s="166"/>
      <c r="AG220" s="166"/>
      <c r="AH220" s="166"/>
      <c r="AI220" s="166"/>
      <c r="AJ220" s="166"/>
      <c r="AK220" s="166"/>
      <c r="AL220" s="166"/>
      <c r="AM220" s="166"/>
      <c r="AN220" s="166"/>
      <c r="AO220" s="166"/>
      <c r="AP220" s="166"/>
      <c r="AQ220" s="166"/>
      <c r="AR220" s="166"/>
      <c r="AS220" s="166"/>
      <c r="AT220" s="166"/>
      <c r="AU220" s="166"/>
      <c r="AV220" s="166"/>
      <c r="AW220" s="166"/>
      <c r="AX220" s="166"/>
      <c r="AY220" s="166"/>
      <c r="AZ220" s="186"/>
      <c r="BA220" s="186"/>
      <c r="BB220" s="186"/>
      <c r="BC220" s="186"/>
      <c r="BD220" s="186"/>
      <c r="BE220" s="186"/>
      <c r="BF220" s="186"/>
      <c r="BG220" s="186"/>
      <c r="BH220" s="186"/>
      <c r="BI220" s="183">
        <f t="shared" si="109"/>
        <v>0</v>
      </c>
      <c r="BJ220" s="183">
        <f t="shared" si="110"/>
        <v>0</v>
      </c>
      <c r="BK220" s="183">
        <f t="shared" si="111"/>
        <v>0</v>
      </c>
      <c r="BL220" s="183">
        <f t="shared" si="112"/>
        <v>0</v>
      </c>
    </row>
    <row r="221" spans="1:64" s="187" customFormat="1" ht="15.75" hidden="1" customHeight="1" outlineLevel="3" x14ac:dyDescent="0.3">
      <c r="A221" s="185"/>
      <c r="B221" s="185"/>
      <c r="C221" s="185"/>
      <c r="D221" s="185"/>
      <c r="E221" s="185" t="s">
        <v>2680</v>
      </c>
      <c r="F221" s="185" t="s">
        <v>83</v>
      </c>
      <c r="G221" s="185">
        <v>32</v>
      </c>
      <c r="H221" s="185" t="str">
        <f>IFERROR(VLOOKUP(G221,'2022. tervsor'!C:D,2,0)," ")</f>
        <v>Végkielégítés</v>
      </c>
      <c r="I221" s="181">
        <f t="shared" si="119"/>
        <v>0</v>
      </c>
      <c r="J221" s="181">
        <f t="shared" si="120"/>
        <v>0</v>
      </c>
      <c r="K221" s="166">
        <f t="shared" si="117"/>
        <v>0</v>
      </c>
      <c r="L221" s="166">
        <f t="shared" si="121"/>
        <v>0</v>
      </c>
      <c r="M221" s="182"/>
      <c r="N221" s="166"/>
      <c r="O221" s="166"/>
      <c r="P221" s="166"/>
      <c r="Q221" s="166"/>
      <c r="R221" s="166"/>
      <c r="S221" s="166"/>
      <c r="T221" s="166"/>
      <c r="U221" s="166"/>
      <c r="V221" s="166"/>
      <c r="W221" s="166"/>
      <c r="X221" s="166"/>
      <c r="Y221" s="166"/>
      <c r="Z221" s="166"/>
      <c r="AA221" s="166"/>
      <c r="AB221" s="166"/>
      <c r="AC221" s="166"/>
      <c r="AD221" s="166"/>
      <c r="AE221" s="166"/>
      <c r="AF221" s="166"/>
      <c r="AG221" s="166"/>
      <c r="AH221" s="166"/>
      <c r="AI221" s="166"/>
      <c r="AJ221" s="166"/>
      <c r="AK221" s="166"/>
      <c r="AL221" s="166"/>
      <c r="AM221" s="166"/>
      <c r="AN221" s="166"/>
      <c r="AO221" s="166"/>
      <c r="AP221" s="166"/>
      <c r="AQ221" s="166"/>
      <c r="AR221" s="166"/>
      <c r="AS221" s="166"/>
      <c r="AT221" s="166"/>
      <c r="AU221" s="166"/>
      <c r="AV221" s="166"/>
      <c r="AW221" s="166"/>
      <c r="AX221" s="166"/>
      <c r="AY221" s="166"/>
      <c r="AZ221" s="186"/>
      <c r="BA221" s="186"/>
      <c r="BB221" s="186"/>
      <c r="BC221" s="186"/>
      <c r="BD221" s="186"/>
      <c r="BE221" s="186"/>
      <c r="BF221" s="186"/>
      <c r="BG221" s="186"/>
      <c r="BH221" s="186"/>
      <c r="BI221" s="183">
        <f t="shared" si="109"/>
        <v>0</v>
      </c>
      <c r="BJ221" s="183">
        <f t="shared" si="110"/>
        <v>0</v>
      </c>
      <c r="BK221" s="183">
        <f t="shared" si="111"/>
        <v>0</v>
      </c>
      <c r="BL221" s="183">
        <f t="shared" si="112"/>
        <v>0</v>
      </c>
    </row>
    <row r="222" spans="1:64" s="187" customFormat="1" ht="15.75" hidden="1" customHeight="1" outlineLevel="3" x14ac:dyDescent="0.3">
      <c r="A222" s="185"/>
      <c r="B222" s="185"/>
      <c r="C222" s="185"/>
      <c r="D222" s="185"/>
      <c r="E222" s="185" t="s">
        <v>2680</v>
      </c>
      <c r="F222" s="185" t="s">
        <v>83</v>
      </c>
      <c r="G222" s="185">
        <v>33</v>
      </c>
      <c r="H222" s="185" t="str">
        <f>IFERROR(VLOOKUP(G222,'2022. tervsor'!C:D,2,0)," ")</f>
        <v>Jubileumi jutalom</v>
      </c>
      <c r="I222" s="181">
        <f t="shared" si="119"/>
        <v>0</v>
      </c>
      <c r="J222" s="181">
        <f t="shared" si="120"/>
        <v>0</v>
      </c>
      <c r="K222" s="166">
        <f t="shared" si="117"/>
        <v>0</v>
      </c>
      <c r="L222" s="166">
        <f t="shared" si="121"/>
        <v>0</v>
      </c>
      <c r="M222" s="182"/>
      <c r="N222" s="166"/>
      <c r="O222" s="166"/>
      <c r="P222" s="166"/>
      <c r="Q222" s="166"/>
      <c r="R222" s="166"/>
      <c r="S222" s="166"/>
      <c r="T222" s="166"/>
      <c r="U222" s="166"/>
      <c r="V222" s="166"/>
      <c r="W222" s="166"/>
      <c r="X222" s="166"/>
      <c r="Y222" s="166"/>
      <c r="Z222" s="166"/>
      <c r="AA222" s="166"/>
      <c r="AB222" s="166"/>
      <c r="AC222" s="166"/>
      <c r="AD222" s="166"/>
      <c r="AE222" s="166"/>
      <c r="AF222" s="166"/>
      <c r="AG222" s="166"/>
      <c r="AH222" s="166"/>
      <c r="AI222" s="166"/>
      <c r="AJ222" s="166"/>
      <c r="AK222" s="166"/>
      <c r="AL222" s="166"/>
      <c r="AM222" s="166"/>
      <c r="AN222" s="166"/>
      <c r="AO222" s="166"/>
      <c r="AP222" s="166"/>
      <c r="AQ222" s="166"/>
      <c r="AR222" s="166"/>
      <c r="AS222" s="166"/>
      <c r="AT222" s="166"/>
      <c r="AU222" s="166"/>
      <c r="AV222" s="166"/>
      <c r="AW222" s="166"/>
      <c r="AX222" s="166"/>
      <c r="AY222" s="166"/>
      <c r="AZ222" s="186"/>
      <c r="BA222" s="186"/>
      <c r="BB222" s="186"/>
      <c r="BC222" s="186"/>
      <c r="BD222" s="186"/>
      <c r="BE222" s="186"/>
      <c r="BF222" s="186"/>
      <c r="BG222" s="186"/>
      <c r="BH222" s="186"/>
      <c r="BI222" s="183">
        <f t="shared" si="109"/>
        <v>0</v>
      </c>
      <c r="BJ222" s="183">
        <f t="shared" si="110"/>
        <v>0</v>
      </c>
      <c r="BK222" s="183">
        <f t="shared" si="111"/>
        <v>0</v>
      </c>
      <c r="BL222" s="183">
        <f t="shared" si="112"/>
        <v>0</v>
      </c>
    </row>
    <row r="223" spans="1:64" s="187" customFormat="1" ht="15.75" hidden="1" customHeight="1" outlineLevel="3" x14ac:dyDescent="0.3">
      <c r="A223" s="185"/>
      <c r="B223" s="185"/>
      <c r="C223" s="185"/>
      <c r="D223" s="185"/>
      <c r="E223" s="185" t="s">
        <v>2680</v>
      </c>
      <c r="F223" s="185" t="s">
        <v>83</v>
      </c>
      <c r="G223" s="185">
        <v>34</v>
      </c>
      <c r="H223" s="185" t="str">
        <f>IFERROR(VLOOKUP(G223,'2022. tervsor'!C:D,2,0)," ")</f>
        <v>Iskolarendsz.képzés hozzájár.</v>
      </c>
      <c r="I223" s="181">
        <f t="shared" si="119"/>
        <v>0</v>
      </c>
      <c r="J223" s="181">
        <f t="shared" si="120"/>
        <v>0</v>
      </c>
      <c r="K223" s="166">
        <f t="shared" si="117"/>
        <v>0</v>
      </c>
      <c r="L223" s="166">
        <f t="shared" si="121"/>
        <v>0</v>
      </c>
      <c r="M223" s="182"/>
      <c r="N223" s="166"/>
      <c r="O223" s="166"/>
      <c r="P223" s="166"/>
      <c r="Q223" s="166"/>
      <c r="R223" s="166"/>
      <c r="S223" s="166"/>
      <c r="T223" s="166"/>
      <c r="U223" s="166"/>
      <c r="V223" s="166"/>
      <c r="W223" s="166"/>
      <c r="X223" s="166"/>
      <c r="Y223" s="166"/>
      <c r="Z223" s="166"/>
      <c r="AA223" s="166"/>
      <c r="AB223" s="166"/>
      <c r="AC223" s="166"/>
      <c r="AD223" s="166"/>
      <c r="AE223" s="166"/>
      <c r="AF223" s="166"/>
      <c r="AG223" s="166"/>
      <c r="AH223" s="166"/>
      <c r="AI223" s="166"/>
      <c r="AJ223" s="166"/>
      <c r="AK223" s="166"/>
      <c r="AL223" s="166"/>
      <c r="AM223" s="166"/>
      <c r="AN223" s="166"/>
      <c r="AO223" s="166"/>
      <c r="AP223" s="166"/>
      <c r="AQ223" s="166"/>
      <c r="AR223" s="166"/>
      <c r="AS223" s="166"/>
      <c r="AT223" s="166"/>
      <c r="AU223" s="166"/>
      <c r="AV223" s="166"/>
      <c r="AW223" s="166"/>
      <c r="AX223" s="166"/>
      <c r="AY223" s="166"/>
      <c r="AZ223" s="186"/>
      <c r="BA223" s="186"/>
      <c r="BB223" s="186"/>
      <c r="BC223" s="186"/>
      <c r="BD223" s="186"/>
      <c r="BE223" s="186"/>
      <c r="BF223" s="186"/>
      <c r="BG223" s="186"/>
      <c r="BH223" s="186"/>
      <c r="BI223" s="183">
        <f t="shared" si="109"/>
        <v>0</v>
      </c>
      <c r="BJ223" s="183">
        <f t="shared" si="110"/>
        <v>0</v>
      </c>
      <c r="BK223" s="183">
        <f t="shared" si="111"/>
        <v>0</v>
      </c>
      <c r="BL223" s="183">
        <f t="shared" si="112"/>
        <v>0</v>
      </c>
    </row>
    <row r="224" spans="1:64" s="187" customFormat="1" ht="15.75" hidden="1" customHeight="1" outlineLevel="3" x14ac:dyDescent="0.3">
      <c r="A224" s="185"/>
      <c r="B224" s="185"/>
      <c r="C224" s="185"/>
      <c r="D224" s="185"/>
      <c r="E224" s="185" t="s">
        <v>2680</v>
      </c>
      <c r="F224" s="185" t="s">
        <v>83</v>
      </c>
      <c r="G224" s="185">
        <v>35</v>
      </c>
      <c r="H224" s="185" t="str">
        <f>IFERROR(VLOOKUP(G224,'2022. tervsor'!C:D,2,0)," ")</f>
        <v>Iskolakezdési támogatás teljesítése</v>
      </c>
      <c r="I224" s="181">
        <f t="shared" si="119"/>
        <v>0</v>
      </c>
      <c r="J224" s="181">
        <f t="shared" si="120"/>
        <v>0</v>
      </c>
      <c r="K224" s="166">
        <f t="shared" si="117"/>
        <v>0</v>
      </c>
      <c r="L224" s="166">
        <f t="shared" si="121"/>
        <v>0</v>
      </c>
      <c r="M224" s="182"/>
      <c r="N224" s="166"/>
      <c r="O224" s="166"/>
      <c r="P224" s="166"/>
      <c r="Q224" s="166"/>
      <c r="R224" s="166"/>
      <c r="S224" s="166"/>
      <c r="T224" s="166"/>
      <c r="U224" s="166"/>
      <c r="V224" s="166"/>
      <c r="W224" s="166"/>
      <c r="X224" s="166"/>
      <c r="Y224" s="166"/>
      <c r="Z224" s="166"/>
      <c r="AA224" s="166"/>
      <c r="AB224" s="166"/>
      <c r="AC224" s="166"/>
      <c r="AD224" s="166"/>
      <c r="AE224" s="166"/>
      <c r="AF224" s="166"/>
      <c r="AG224" s="166"/>
      <c r="AH224" s="166"/>
      <c r="AI224" s="166"/>
      <c r="AJ224" s="166"/>
      <c r="AK224" s="166"/>
      <c r="AL224" s="166"/>
      <c r="AM224" s="166"/>
      <c r="AN224" s="166"/>
      <c r="AO224" s="166"/>
      <c r="AP224" s="166"/>
      <c r="AQ224" s="166"/>
      <c r="AR224" s="166"/>
      <c r="AS224" s="166"/>
      <c r="AT224" s="166"/>
      <c r="AU224" s="166"/>
      <c r="AV224" s="166"/>
      <c r="AW224" s="166"/>
      <c r="AX224" s="166"/>
      <c r="AY224" s="166"/>
      <c r="AZ224" s="186"/>
      <c r="BA224" s="186"/>
      <c r="BB224" s="186"/>
      <c r="BC224" s="186"/>
      <c r="BD224" s="186"/>
      <c r="BE224" s="186"/>
      <c r="BF224" s="186"/>
      <c r="BG224" s="186"/>
      <c r="BH224" s="186"/>
      <c r="BI224" s="183">
        <f t="shared" si="109"/>
        <v>0</v>
      </c>
      <c r="BJ224" s="183">
        <f t="shared" si="110"/>
        <v>0</v>
      </c>
      <c r="BK224" s="183">
        <f t="shared" si="111"/>
        <v>0</v>
      </c>
      <c r="BL224" s="183">
        <f t="shared" si="112"/>
        <v>0</v>
      </c>
    </row>
    <row r="225" spans="1:64" s="187" customFormat="1" ht="15.75" hidden="1" customHeight="1" outlineLevel="3" x14ac:dyDescent="0.3">
      <c r="A225" s="185"/>
      <c r="B225" s="185"/>
      <c r="C225" s="185"/>
      <c r="D225" s="185"/>
      <c r="E225" s="185" t="s">
        <v>2680</v>
      </c>
      <c r="F225" s="185" t="s">
        <v>83</v>
      </c>
      <c r="G225" s="185">
        <v>36</v>
      </c>
      <c r="H225" s="185" t="str">
        <f>IFERROR(VLOOKUP(G225,'2022. tervsor'!C:D,2,0)," ")</f>
        <v>Egyéb béren kívüli juttatás teljesítése</v>
      </c>
      <c r="I225" s="181">
        <f t="shared" si="119"/>
        <v>0</v>
      </c>
      <c r="J225" s="181">
        <f t="shared" si="120"/>
        <v>0</v>
      </c>
      <c r="K225" s="166">
        <f t="shared" si="117"/>
        <v>0</v>
      </c>
      <c r="L225" s="166">
        <f t="shared" si="121"/>
        <v>0</v>
      </c>
      <c r="M225" s="182"/>
      <c r="N225" s="166"/>
      <c r="O225" s="166"/>
      <c r="P225" s="166"/>
      <c r="Q225" s="166"/>
      <c r="R225" s="166"/>
      <c r="S225" s="166"/>
      <c r="T225" s="166"/>
      <c r="U225" s="166"/>
      <c r="V225" s="166"/>
      <c r="W225" s="166"/>
      <c r="X225" s="166"/>
      <c r="Y225" s="166"/>
      <c r="Z225" s="166"/>
      <c r="AA225" s="166"/>
      <c r="AB225" s="166"/>
      <c r="AC225" s="166"/>
      <c r="AD225" s="166"/>
      <c r="AE225" s="166"/>
      <c r="AF225" s="166"/>
      <c r="AG225" s="166"/>
      <c r="AH225" s="166"/>
      <c r="AI225" s="166"/>
      <c r="AJ225" s="166"/>
      <c r="AK225" s="166"/>
      <c r="AL225" s="166"/>
      <c r="AM225" s="166"/>
      <c r="AN225" s="166"/>
      <c r="AO225" s="166"/>
      <c r="AP225" s="166"/>
      <c r="AQ225" s="166"/>
      <c r="AR225" s="166"/>
      <c r="AS225" s="166"/>
      <c r="AT225" s="166"/>
      <c r="AU225" s="166"/>
      <c r="AV225" s="166"/>
      <c r="AW225" s="166"/>
      <c r="AX225" s="166"/>
      <c r="AY225" s="166"/>
      <c r="AZ225" s="186"/>
      <c r="BA225" s="186"/>
      <c r="BB225" s="186"/>
      <c r="BC225" s="186"/>
      <c r="BD225" s="186"/>
      <c r="BE225" s="186"/>
      <c r="BF225" s="186"/>
      <c r="BG225" s="186"/>
      <c r="BH225" s="186"/>
      <c r="BI225" s="183">
        <f t="shared" ref="BI225:BI255" si="122">+SUM(N225:AA225)</f>
        <v>0</v>
      </c>
      <c r="BJ225" s="183">
        <f t="shared" ref="BJ225:BJ255" si="123">+AB225</f>
        <v>0</v>
      </c>
      <c r="BK225" s="183">
        <f t="shared" ref="BK225:BK255" si="124">+SUM(AC225:AM225)</f>
        <v>0</v>
      </c>
      <c r="BL225" s="183">
        <f t="shared" ref="BL225:BL255" si="125">+SUM(AN225:BH225)</f>
        <v>0</v>
      </c>
    </row>
    <row r="226" spans="1:64" s="187" customFormat="1" ht="15.75" hidden="1" customHeight="1" outlineLevel="3" x14ac:dyDescent="0.3">
      <c r="A226" s="185"/>
      <c r="B226" s="185"/>
      <c r="C226" s="185"/>
      <c r="D226" s="185"/>
      <c r="E226" s="185" t="s">
        <v>2680</v>
      </c>
      <c r="F226" s="185" t="s">
        <v>83</v>
      </c>
      <c r="G226" s="185">
        <v>37</v>
      </c>
      <c r="H226" s="185" t="str">
        <f>IFERROR(VLOOKUP(G226,'2022. tervsor'!C:D,2,0)," ")</f>
        <v>Munkábajárás útiköltsége, bérlet</v>
      </c>
      <c r="I226" s="181">
        <f t="shared" si="119"/>
        <v>0</v>
      </c>
      <c r="J226" s="181">
        <f t="shared" si="120"/>
        <v>0</v>
      </c>
      <c r="K226" s="166">
        <f t="shared" si="117"/>
        <v>0</v>
      </c>
      <c r="L226" s="166">
        <f t="shared" si="121"/>
        <v>0</v>
      </c>
      <c r="M226" s="182"/>
      <c r="N226" s="166"/>
      <c r="O226" s="166"/>
      <c r="P226" s="166"/>
      <c r="Q226" s="166"/>
      <c r="R226" s="166"/>
      <c r="S226" s="166"/>
      <c r="T226" s="166"/>
      <c r="U226" s="166"/>
      <c r="V226" s="166"/>
      <c r="W226" s="166"/>
      <c r="X226" s="166"/>
      <c r="Y226" s="166"/>
      <c r="Z226" s="166"/>
      <c r="AA226" s="166"/>
      <c r="AB226" s="166"/>
      <c r="AC226" s="166"/>
      <c r="AD226" s="166"/>
      <c r="AE226" s="166"/>
      <c r="AF226" s="166"/>
      <c r="AG226" s="166"/>
      <c r="AH226" s="166"/>
      <c r="AI226" s="166"/>
      <c r="AJ226" s="166"/>
      <c r="AK226" s="166"/>
      <c r="AL226" s="166"/>
      <c r="AM226" s="166"/>
      <c r="AN226" s="166"/>
      <c r="AO226" s="166"/>
      <c r="AP226" s="166"/>
      <c r="AQ226" s="166"/>
      <c r="AR226" s="166"/>
      <c r="AS226" s="166"/>
      <c r="AT226" s="166"/>
      <c r="AU226" s="166"/>
      <c r="AV226" s="166"/>
      <c r="AW226" s="166"/>
      <c r="AX226" s="166"/>
      <c r="AY226" s="166"/>
      <c r="AZ226" s="186"/>
      <c r="BA226" s="186"/>
      <c r="BB226" s="186"/>
      <c r="BC226" s="186"/>
      <c r="BD226" s="186"/>
      <c r="BE226" s="186"/>
      <c r="BF226" s="186"/>
      <c r="BG226" s="186"/>
      <c r="BH226" s="186"/>
      <c r="BI226" s="183">
        <f t="shared" si="122"/>
        <v>0</v>
      </c>
      <c r="BJ226" s="183">
        <f t="shared" si="123"/>
        <v>0</v>
      </c>
      <c r="BK226" s="183">
        <f t="shared" si="124"/>
        <v>0</v>
      </c>
      <c r="BL226" s="183">
        <f t="shared" si="125"/>
        <v>0</v>
      </c>
    </row>
    <row r="227" spans="1:64" s="187" customFormat="1" ht="15.75" hidden="1" customHeight="1" outlineLevel="3" x14ac:dyDescent="0.3">
      <c r="A227" s="185"/>
      <c r="B227" s="185"/>
      <c r="C227" s="185"/>
      <c r="D227" s="185"/>
      <c r="E227" s="185" t="s">
        <v>2680</v>
      </c>
      <c r="F227" s="185" t="s">
        <v>83</v>
      </c>
      <c r="G227" s="185">
        <v>38</v>
      </c>
      <c r="H227" s="185" t="str">
        <f>IFERROR(VLOOKUP(G227,'2022. tervsor'!C:D,2,0)," ")</f>
        <v>Munkábajárás útiköltsége - saját gk. (9 Ft/km)</v>
      </c>
      <c r="I227" s="181">
        <f t="shared" si="119"/>
        <v>0</v>
      </c>
      <c r="J227" s="181">
        <f t="shared" si="120"/>
        <v>0</v>
      </c>
      <c r="K227" s="166">
        <f t="shared" si="117"/>
        <v>0</v>
      </c>
      <c r="L227" s="166">
        <f t="shared" si="121"/>
        <v>0</v>
      </c>
      <c r="M227" s="182"/>
      <c r="N227" s="166"/>
      <c r="O227" s="166"/>
      <c r="P227" s="166"/>
      <c r="Q227" s="166"/>
      <c r="R227" s="166"/>
      <c r="S227" s="166"/>
      <c r="T227" s="166"/>
      <c r="U227" s="166"/>
      <c r="V227" s="166"/>
      <c r="W227" s="166"/>
      <c r="X227" s="166"/>
      <c r="Y227" s="166"/>
      <c r="Z227" s="166"/>
      <c r="AA227" s="166"/>
      <c r="AB227" s="166"/>
      <c r="AC227" s="166"/>
      <c r="AD227" s="166"/>
      <c r="AE227" s="166"/>
      <c r="AF227" s="166"/>
      <c r="AG227" s="166"/>
      <c r="AH227" s="166"/>
      <c r="AI227" s="166"/>
      <c r="AJ227" s="166"/>
      <c r="AK227" s="166"/>
      <c r="AL227" s="166"/>
      <c r="AM227" s="166"/>
      <c r="AN227" s="166"/>
      <c r="AO227" s="166"/>
      <c r="AP227" s="166"/>
      <c r="AQ227" s="166"/>
      <c r="AR227" s="166"/>
      <c r="AS227" s="166"/>
      <c r="AT227" s="166"/>
      <c r="AU227" s="166"/>
      <c r="AV227" s="166"/>
      <c r="AW227" s="166"/>
      <c r="AX227" s="166"/>
      <c r="AY227" s="166"/>
      <c r="AZ227" s="186"/>
      <c r="BA227" s="186"/>
      <c r="BB227" s="186"/>
      <c r="BC227" s="186"/>
      <c r="BD227" s="186"/>
      <c r="BE227" s="186"/>
      <c r="BF227" s="186"/>
      <c r="BG227" s="186"/>
      <c r="BH227" s="186"/>
      <c r="BI227" s="183">
        <f t="shared" si="122"/>
        <v>0</v>
      </c>
      <c r="BJ227" s="183">
        <f t="shared" si="123"/>
        <v>0</v>
      </c>
      <c r="BK227" s="183">
        <f t="shared" si="124"/>
        <v>0</v>
      </c>
      <c r="BL227" s="183">
        <f t="shared" si="125"/>
        <v>0</v>
      </c>
    </row>
    <row r="228" spans="1:64" s="187" customFormat="1" ht="15.75" hidden="1" customHeight="1" outlineLevel="3" x14ac:dyDescent="0.3">
      <c r="A228" s="185"/>
      <c r="B228" s="185"/>
      <c r="C228" s="185"/>
      <c r="D228" s="185"/>
      <c r="E228" s="185" t="s">
        <v>2680</v>
      </c>
      <c r="F228" s="185" t="s">
        <v>83</v>
      </c>
      <c r="G228" s="185">
        <v>39</v>
      </c>
      <c r="H228" s="185" t="str">
        <f>IFERROR(VLOOKUP(G228,'2022. tervsor'!C:D,2,0)," ")</f>
        <v>Egyéb költségtérítések (bankköltség)</v>
      </c>
      <c r="I228" s="181">
        <f t="shared" si="119"/>
        <v>0</v>
      </c>
      <c r="J228" s="181">
        <f t="shared" si="120"/>
        <v>0</v>
      </c>
      <c r="K228" s="166">
        <f t="shared" ref="K228:K255" si="126">+I228-J228</f>
        <v>0</v>
      </c>
      <c r="L228" s="166">
        <f t="shared" si="121"/>
        <v>0</v>
      </c>
      <c r="M228" s="182"/>
      <c r="N228" s="166"/>
      <c r="O228" s="166"/>
      <c r="P228" s="166"/>
      <c r="Q228" s="166"/>
      <c r="R228" s="166"/>
      <c r="S228" s="166"/>
      <c r="T228" s="166"/>
      <c r="U228" s="166"/>
      <c r="V228" s="166"/>
      <c r="W228" s="166"/>
      <c r="X228" s="166"/>
      <c r="Y228" s="166"/>
      <c r="Z228" s="166"/>
      <c r="AA228" s="166"/>
      <c r="AB228" s="166"/>
      <c r="AC228" s="166"/>
      <c r="AD228" s="166"/>
      <c r="AE228" s="166"/>
      <c r="AF228" s="166"/>
      <c r="AG228" s="166"/>
      <c r="AH228" s="166"/>
      <c r="AI228" s="166"/>
      <c r="AJ228" s="166"/>
      <c r="AK228" s="166"/>
      <c r="AL228" s="166"/>
      <c r="AM228" s="166"/>
      <c r="AN228" s="166"/>
      <c r="AO228" s="166"/>
      <c r="AP228" s="166"/>
      <c r="AQ228" s="166"/>
      <c r="AR228" s="166"/>
      <c r="AS228" s="166"/>
      <c r="AT228" s="166"/>
      <c r="AU228" s="166"/>
      <c r="AV228" s="166"/>
      <c r="AW228" s="166"/>
      <c r="AX228" s="166"/>
      <c r="AY228" s="166"/>
      <c r="AZ228" s="186"/>
      <c r="BA228" s="186"/>
      <c r="BB228" s="186"/>
      <c r="BC228" s="186"/>
      <c r="BD228" s="186"/>
      <c r="BE228" s="186"/>
      <c r="BF228" s="186"/>
      <c r="BG228" s="186"/>
      <c r="BH228" s="186"/>
      <c r="BI228" s="183">
        <f t="shared" si="122"/>
        <v>0</v>
      </c>
      <c r="BJ228" s="183">
        <f t="shared" si="123"/>
        <v>0</v>
      </c>
      <c r="BK228" s="183">
        <f t="shared" si="124"/>
        <v>0</v>
      </c>
      <c r="BL228" s="183">
        <f t="shared" si="125"/>
        <v>0</v>
      </c>
    </row>
    <row r="229" spans="1:64" s="187" customFormat="1" ht="15.75" hidden="1" customHeight="1" outlineLevel="3" x14ac:dyDescent="0.3">
      <c r="A229" s="185"/>
      <c r="B229" s="185"/>
      <c r="C229" s="185"/>
      <c r="D229" s="185"/>
      <c r="E229" s="185" t="s">
        <v>2680</v>
      </c>
      <c r="F229" s="185" t="s">
        <v>83</v>
      </c>
      <c r="G229" s="185">
        <v>40</v>
      </c>
      <c r="H229" s="185" t="str">
        <f>IFERROR(VLOOKUP(G229,'2022. tervsor'!C:D,2,0)," ")</f>
        <v>Lakhatási támogatás,albérleti hozzájárulás</v>
      </c>
      <c r="I229" s="181">
        <f t="shared" si="119"/>
        <v>0</v>
      </c>
      <c r="J229" s="181">
        <f t="shared" si="120"/>
        <v>0</v>
      </c>
      <c r="K229" s="166">
        <f t="shared" si="126"/>
        <v>0</v>
      </c>
      <c r="L229" s="166">
        <f t="shared" si="121"/>
        <v>0</v>
      </c>
      <c r="M229" s="182"/>
      <c r="N229" s="166"/>
      <c r="O229" s="166"/>
      <c r="P229" s="166"/>
      <c r="Q229" s="166"/>
      <c r="R229" s="166"/>
      <c r="S229" s="166"/>
      <c r="T229" s="166"/>
      <c r="U229" s="166"/>
      <c r="V229" s="166"/>
      <c r="W229" s="166"/>
      <c r="X229" s="166"/>
      <c r="Y229" s="166"/>
      <c r="Z229" s="166"/>
      <c r="AA229" s="166"/>
      <c r="AB229" s="166"/>
      <c r="AC229" s="166"/>
      <c r="AD229" s="166"/>
      <c r="AE229" s="166"/>
      <c r="AF229" s="166"/>
      <c r="AG229" s="166"/>
      <c r="AH229" s="166"/>
      <c r="AI229" s="166"/>
      <c r="AJ229" s="166"/>
      <c r="AK229" s="166"/>
      <c r="AL229" s="166"/>
      <c r="AM229" s="166"/>
      <c r="AN229" s="166"/>
      <c r="AO229" s="166"/>
      <c r="AP229" s="166"/>
      <c r="AQ229" s="166"/>
      <c r="AR229" s="166"/>
      <c r="AS229" s="166"/>
      <c r="AT229" s="166"/>
      <c r="AU229" s="166"/>
      <c r="AV229" s="166"/>
      <c r="AW229" s="166"/>
      <c r="AX229" s="166"/>
      <c r="AY229" s="166"/>
      <c r="AZ229" s="186"/>
      <c r="BA229" s="186"/>
      <c r="BB229" s="186"/>
      <c r="BC229" s="186"/>
      <c r="BD229" s="186"/>
      <c r="BE229" s="186"/>
      <c r="BF229" s="186"/>
      <c r="BG229" s="186"/>
      <c r="BH229" s="186"/>
      <c r="BI229" s="183">
        <f t="shared" si="122"/>
        <v>0</v>
      </c>
      <c r="BJ229" s="183">
        <f t="shared" si="123"/>
        <v>0</v>
      </c>
      <c r="BK229" s="183">
        <f t="shared" si="124"/>
        <v>0</v>
      </c>
      <c r="BL229" s="183">
        <f t="shared" si="125"/>
        <v>0</v>
      </c>
    </row>
    <row r="230" spans="1:64" s="187" customFormat="1" ht="15.75" hidden="1" customHeight="1" outlineLevel="3" x14ac:dyDescent="0.3">
      <c r="A230" s="185"/>
      <c r="B230" s="185"/>
      <c r="C230" s="185"/>
      <c r="D230" s="185"/>
      <c r="E230" s="185" t="s">
        <v>2680</v>
      </c>
      <c r="F230" s="185" t="s">
        <v>83</v>
      </c>
      <c r="G230" s="185">
        <v>41</v>
      </c>
      <c r="H230" s="185" t="str">
        <f>IFERROR(VLOOKUP(G230,'2022. tervsor'!C:D,2,0)," ")</f>
        <v>Szociális jellegű juttatások</v>
      </c>
      <c r="I230" s="181">
        <f t="shared" si="119"/>
        <v>0</v>
      </c>
      <c r="J230" s="181">
        <f t="shared" si="120"/>
        <v>0</v>
      </c>
      <c r="K230" s="166">
        <f t="shared" si="126"/>
        <v>0</v>
      </c>
      <c r="L230" s="166">
        <f t="shared" si="121"/>
        <v>0</v>
      </c>
      <c r="M230" s="182"/>
      <c r="N230" s="166"/>
      <c r="O230" s="166"/>
      <c r="P230" s="166"/>
      <c r="Q230" s="166"/>
      <c r="R230" s="166"/>
      <c r="S230" s="166"/>
      <c r="T230" s="166"/>
      <c r="U230" s="166"/>
      <c r="V230" s="166"/>
      <c r="W230" s="166"/>
      <c r="X230" s="166"/>
      <c r="Y230" s="166"/>
      <c r="Z230" s="166"/>
      <c r="AA230" s="166"/>
      <c r="AB230" s="166"/>
      <c r="AC230" s="166"/>
      <c r="AD230" s="166"/>
      <c r="AE230" s="166"/>
      <c r="AF230" s="166"/>
      <c r="AG230" s="166"/>
      <c r="AH230" s="166"/>
      <c r="AI230" s="166"/>
      <c r="AJ230" s="166"/>
      <c r="AK230" s="166"/>
      <c r="AL230" s="166"/>
      <c r="AM230" s="166"/>
      <c r="AN230" s="166"/>
      <c r="AO230" s="166"/>
      <c r="AP230" s="166"/>
      <c r="AQ230" s="166"/>
      <c r="AR230" s="166"/>
      <c r="AS230" s="166"/>
      <c r="AT230" s="166"/>
      <c r="AU230" s="166"/>
      <c r="AV230" s="166"/>
      <c r="AW230" s="166"/>
      <c r="AX230" s="166"/>
      <c r="AY230" s="166"/>
      <c r="AZ230" s="186"/>
      <c r="BA230" s="186"/>
      <c r="BB230" s="186"/>
      <c r="BC230" s="186"/>
      <c r="BD230" s="186"/>
      <c r="BE230" s="186"/>
      <c r="BF230" s="186"/>
      <c r="BG230" s="186"/>
      <c r="BH230" s="186"/>
      <c r="BI230" s="183">
        <f t="shared" si="122"/>
        <v>0</v>
      </c>
      <c r="BJ230" s="183">
        <f t="shared" si="123"/>
        <v>0</v>
      </c>
      <c r="BK230" s="183">
        <f t="shared" si="124"/>
        <v>0</v>
      </c>
      <c r="BL230" s="183">
        <f t="shared" si="125"/>
        <v>0</v>
      </c>
    </row>
    <row r="231" spans="1:64" s="187" customFormat="1" ht="15.75" hidden="1" customHeight="1" outlineLevel="3" x14ac:dyDescent="0.3">
      <c r="A231" s="185"/>
      <c r="B231" s="185"/>
      <c r="C231" s="185"/>
      <c r="D231" s="185"/>
      <c r="E231" s="185" t="s">
        <v>2680</v>
      </c>
      <c r="F231" s="185" t="s">
        <v>83</v>
      </c>
      <c r="G231" s="185">
        <v>42</v>
      </c>
      <c r="H231" s="185" t="str">
        <f>IFERROR(VLOOKUP(G231,'2022. tervsor'!C:D,2,0)," ")</f>
        <v>Foglalkoztatottak e.szem.jutt.  (Távolléti díj)</v>
      </c>
      <c r="I231" s="181">
        <f t="shared" si="119"/>
        <v>0</v>
      </c>
      <c r="J231" s="181">
        <f t="shared" si="120"/>
        <v>0</v>
      </c>
      <c r="K231" s="166">
        <f t="shared" si="126"/>
        <v>0</v>
      </c>
      <c r="L231" s="166">
        <f t="shared" si="121"/>
        <v>0</v>
      </c>
      <c r="M231" s="182"/>
      <c r="N231" s="166"/>
      <c r="O231" s="166"/>
      <c r="P231" s="166"/>
      <c r="Q231" s="166"/>
      <c r="R231" s="166"/>
      <c r="S231" s="166"/>
      <c r="T231" s="166"/>
      <c r="U231" s="166"/>
      <c r="V231" s="166"/>
      <c r="W231" s="166"/>
      <c r="X231" s="166"/>
      <c r="Y231" s="166"/>
      <c r="Z231" s="166"/>
      <c r="AA231" s="166"/>
      <c r="AB231" s="166"/>
      <c r="AC231" s="166"/>
      <c r="AD231" s="166"/>
      <c r="AE231" s="166"/>
      <c r="AF231" s="166"/>
      <c r="AG231" s="166"/>
      <c r="AH231" s="166"/>
      <c r="AI231" s="166"/>
      <c r="AJ231" s="166"/>
      <c r="AK231" s="166"/>
      <c r="AL231" s="166"/>
      <c r="AM231" s="166"/>
      <c r="AN231" s="166"/>
      <c r="AO231" s="166"/>
      <c r="AP231" s="166"/>
      <c r="AQ231" s="166"/>
      <c r="AR231" s="166"/>
      <c r="AS231" s="166"/>
      <c r="AT231" s="166"/>
      <c r="AU231" s="166"/>
      <c r="AV231" s="166"/>
      <c r="AW231" s="166"/>
      <c r="AX231" s="166"/>
      <c r="AY231" s="166"/>
      <c r="AZ231" s="186"/>
      <c r="BA231" s="186"/>
      <c r="BB231" s="186"/>
      <c r="BC231" s="186"/>
      <c r="BD231" s="186"/>
      <c r="BE231" s="186"/>
      <c r="BF231" s="186"/>
      <c r="BG231" s="186"/>
      <c r="BH231" s="186"/>
      <c r="BI231" s="183">
        <f t="shared" si="122"/>
        <v>0</v>
      </c>
      <c r="BJ231" s="183">
        <f t="shared" si="123"/>
        <v>0</v>
      </c>
      <c r="BK231" s="183">
        <f t="shared" si="124"/>
        <v>0</v>
      </c>
      <c r="BL231" s="183">
        <f t="shared" si="125"/>
        <v>0</v>
      </c>
    </row>
    <row r="232" spans="1:64" s="187" customFormat="1" ht="15.75" hidden="1" customHeight="1" outlineLevel="3" x14ac:dyDescent="0.3">
      <c r="A232" s="185"/>
      <c r="B232" s="185"/>
      <c r="C232" s="185"/>
      <c r="D232" s="185"/>
      <c r="E232" s="185" t="s">
        <v>2680</v>
      </c>
      <c r="F232" s="185" t="s">
        <v>83</v>
      </c>
      <c r="G232" s="185">
        <v>43</v>
      </c>
      <c r="H232" s="185" t="str">
        <f>IFERROR(VLOOKUP(G232,'2022. tervsor'!C:D,2,0)," ")</f>
        <v>Saját munkavállaló oktatási megbízási díj</v>
      </c>
      <c r="I232" s="181">
        <f t="shared" si="119"/>
        <v>0</v>
      </c>
      <c r="J232" s="181">
        <f t="shared" si="120"/>
        <v>0</v>
      </c>
      <c r="K232" s="166">
        <f t="shared" si="126"/>
        <v>0</v>
      </c>
      <c r="L232" s="166">
        <f t="shared" si="121"/>
        <v>0</v>
      </c>
      <c r="M232" s="182"/>
      <c r="N232" s="166"/>
      <c r="O232" s="166"/>
      <c r="P232" s="166"/>
      <c r="Q232" s="166"/>
      <c r="R232" s="166"/>
      <c r="S232" s="166"/>
      <c r="T232" s="166"/>
      <c r="U232" s="166"/>
      <c r="V232" s="166"/>
      <c r="W232" s="166"/>
      <c r="X232" s="166"/>
      <c r="Y232" s="166"/>
      <c r="Z232" s="166"/>
      <c r="AA232" s="166"/>
      <c r="AB232" s="166"/>
      <c r="AC232" s="166"/>
      <c r="AD232" s="166"/>
      <c r="AE232" s="166"/>
      <c r="AF232" s="166"/>
      <c r="AG232" s="166"/>
      <c r="AH232" s="166"/>
      <c r="AI232" s="166"/>
      <c r="AJ232" s="166"/>
      <c r="AK232" s="166"/>
      <c r="AL232" s="166"/>
      <c r="AM232" s="166"/>
      <c r="AN232" s="166"/>
      <c r="AO232" s="166"/>
      <c r="AP232" s="166"/>
      <c r="AQ232" s="166"/>
      <c r="AR232" s="166"/>
      <c r="AS232" s="166"/>
      <c r="AT232" s="166"/>
      <c r="AU232" s="166"/>
      <c r="AV232" s="166"/>
      <c r="AW232" s="166"/>
      <c r="AX232" s="166"/>
      <c r="AY232" s="166"/>
      <c r="AZ232" s="186"/>
      <c r="BA232" s="186"/>
      <c r="BB232" s="186"/>
      <c r="BC232" s="186"/>
      <c r="BD232" s="186"/>
      <c r="BE232" s="186"/>
      <c r="BF232" s="186"/>
      <c r="BG232" s="186"/>
      <c r="BH232" s="186"/>
      <c r="BI232" s="183">
        <f t="shared" si="122"/>
        <v>0</v>
      </c>
      <c r="BJ232" s="183">
        <f t="shared" si="123"/>
        <v>0</v>
      </c>
      <c r="BK232" s="183">
        <f t="shared" si="124"/>
        <v>0</v>
      </c>
      <c r="BL232" s="183">
        <f t="shared" si="125"/>
        <v>0</v>
      </c>
    </row>
    <row r="233" spans="1:64" s="187" customFormat="1" ht="15.75" hidden="1" customHeight="1" outlineLevel="3" x14ac:dyDescent="0.3">
      <c r="A233" s="185"/>
      <c r="B233" s="185"/>
      <c r="C233" s="185"/>
      <c r="D233" s="185"/>
      <c r="E233" s="185" t="s">
        <v>2680</v>
      </c>
      <c r="F233" s="185" t="s">
        <v>83</v>
      </c>
      <c r="G233" s="185">
        <v>44</v>
      </c>
      <c r="H233" s="185" t="str">
        <f>IFERROR(VLOOKUP(G233,'2022. tervsor'!C:D,2,0)," ")</f>
        <v>Külföldi napidíj teljesítése</v>
      </c>
      <c r="I233" s="181">
        <f t="shared" si="119"/>
        <v>0</v>
      </c>
      <c r="J233" s="181">
        <f t="shared" si="120"/>
        <v>0</v>
      </c>
      <c r="K233" s="166">
        <f t="shared" si="126"/>
        <v>0</v>
      </c>
      <c r="L233" s="166">
        <f t="shared" si="121"/>
        <v>0</v>
      </c>
      <c r="M233" s="182"/>
      <c r="N233" s="166"/>
      <c r="O233" s="166"/>
      <c r="P233" s="166"/>
      <c r="Q233" s="166"/>
      <c r="R233" s="166"/>
      <c r="S233" s="166"/>
      <c r="T233" s="166"/>
      <c r="U233" s="166"/>
      <c r="V233" s="166"/>
      <c r="W233" s="166"/>
      <c r="X233" s="166"/>
      <c r="Y233" s="166"/>
      <c r="Z233" s="166"/>
      <c r="AA233" s="166"/>
      <c r="AB233" s="166"/>
      <c r="AC233" s="166"/>
      <c r="AD233" s="166"/>
      <c r="AE233" s="166"/>
      <c r="AF233" s="166"/>
      <c r="AG233" s="166"/>
      <c r="AH233" s="166"/>
      <c r="AI233" s="166"/>
      <c r="AJ233" s="166"/>
      <c r="AK233" s="166"/>
      <c r="AL233" s="166"/>
      <c r="AM233" s="166"/>
      <c r="AN233" s="166"/>
      <c r="AO233" s="166"/>
      <c r="AP233" s="166"/>
      <c r="AQ233" s="166"/>
      <c r="AR233" s="166"/>
      <c r="AS233" s="166"/>
      <c r="AT233" s="166"/>
      <c r="AU233" s="166"/>
      <c r="AV233" s="166"/>
      <c r="AW233" s="166"/>
      <c r="AX233" s="166"/>
      <c r="AY233" s="166"/>
      <c r="AZ233" s="186"/>
      <c r="BA233" s="186"/>
      <c r="BB233" s="186"/>
      <c r="BC233" s="186"/>
      <c r="BD233" s="186"/>
      <c r="BE233" s="186"/>
      <c r="BF233" s="186"/>
      <c r="BG233" s="186"/>
      <c r="BH233" s="186"/>
      <c r="BI233" s="183">
        <f t="shared" si="122"/>
        <v>0</v>
      </c>
      <c r="BJ233" s="183">
        <f t="shared" si="123"/>
        <v>0</v>
      </c>
      <c r="BK233" s="183">
        <f t="shared" si="124"/>
        <v>0</v>
      </c>
      <c r="BL233" s="183">
        <f t="shared" si="125"/>
        <v>0</v>
      </c>
    </row>
    <row r="234" spans="1:64" s="187" customFormat="1" ht="15.75" hidden="1" customHeight="1" outlineLevel="3" x14ac:dyDescent="0.3">
      <c r="A234" s="185"/>
      <c r="B234" s="185"/>
      <c r="C234" s="185"/>
      <c r="D234" s="185"/>
      <c r="E234" s="185" t="s">
        <v>2680</v>
      </c>
      <c r="F234" s="185" t="s">
        <v>83</v>
      </c>
      <c r="G234" s="185">
        <v>45</v>
      </c>
      <c r="H234" s="185" t="str">
        <f>IFERROR(VLOOKUP(G234,'2022. tervsor'!C:D,2,0)," ")</f>
        <v>Bérkompenzáció (teljes és részmunkaidős foglalk.)</v>
      </c>
      <c r="I234" s="181">
        <f t="shared" si="119"/>
        <v>0</v>
      </c>
      <c r="J234" s="181">
        <f t="shared" si="120"/>
        <v>0</v>
      </c>
      <c r="K234" s="166">
        <f t="shared" si="126"/>
        <v>0</v>
      </c>
      <c r="L234" s="166">
        <f t="shared" si="121"/>
        <v>0</v>
      </c>
      <c r="M234" s="182"/>
      <c r="N234" s="166"/>
      <c r="O234" s="166"/>
      <c r="P234" s="166"/>
      <c r="Q234" s="166"/>
      <c r="R234" s="166"/>
      <c r="S234" s="166"/>
      <c r="T234" s="166"/>
      <c r="U234" s="166"/>
      <c r="V234" s="166"/>
      <c r="W234" s="166"/>
      <c r="X234" s="166"/>
      <c r="Y234" s="166"/>
      <c r="Z234" s="166"/>
      <c r="AA234" s="166"/>
      <c r="AB234" s="166"/>
      <c r="AC234" s="166"/>
      <c r="AD234" s="166"/>
      <c r="AE234" s="166"/>
      <c r="AF234" s="166"/>
      <c r="AG234" s="166"/>
      <c r="AH234" s="166"/>
      <c r="AI234" s="166"/>
      <c r="AJ234" s="166"/>
      <c r="AK234" s="166"/>
      <c r="AL234" s="166"/>
      <c r="AM234" s="166"/>
      <c r="AN234" s="166"/>
      <c r="AO234" s="166"/>
      <c r="AP234" s="166"/>
      <c r="AQ234" s="166"/>
      <c r="AR234" s="166"/>
      <c r="AS234" s="166"/>
      <c r="AT234" s="166"/>
      <c r="AU234" s="166"/>
      <c r="AV234" s="166"/>
      <c r="AW234" s="166"/>
      <c r="AX234" s="166"/>
      <c r="AY234" s="166"/>
      <c r="AZ234" s="186"/>
      <c r="BA234" s="186"/>
      <c r="BB234" s="186"/>
      <c r="BC234" s="186"/>
      <c r="BD234" s="186"/>
      <c r="BE234" s="186"/>
      <c r="BF234" s="186"/>
      <c r="BG234" s="186"/>
      <c r="BH234" s="186"/>
      <c r="BI234" s="183">
        <f t="shared" si="122"/>
        <v>0</v>
      </c>
      <c r="BJ234" s="183">
        <f t="shared" si="123"/>
        <v>0</v>
      </c>
      <c r="BK234" s="183">
        <f t="shared" si="124"/>
        <v>0</v>
      </c>
      <c r="BL234" s="183">
        <f t="shared" si="125"/>
        <v>0</v>
      </c>
    </row>
    <row r="235" spans="1:64" s="187" customFormat="1" ht="15.75" hidden="1" customHeight="1" outlineLevel="3" x14ac:dyDescent="0.3">
      <c r="A235" s="185"/>
      <c r="B235" s="185"/>
      <c r="C235" s="185"/>
      <c r="D235" s="185"/>
      <c r="E235" s="185" t="s">
        <v>2680</v>
      </c>
      <c r="F235" s="185" t="s">
        <v>83</v>
      </c>
      <c r="G235" s="185">
        <v>46</v>
      </c>
      <c r="H235" s="185" t="str">
        <f>IFERROR(VLOOKUP(G235,'2022. tervsor'!C:D,2,0)," ")</f>
        <v>FOGLALKOZTATOTTAK SZEM. JUTTAT.</v>
      </c>
      <c r="I235" s="181">
        <f t="shared" si="119"/>
        <v>0</v>
      </c>
      <c r="J235" s="181">
        <f t="shared" si="120"/>
        <v>0</v>
      </c>
      <c r="K235" s="166">
        <f t="shared" si="126"/>
        <v>0</v>
      </c>
      <c r="L235" s="166">
        <f t="shared" si="121"/>
        <v>0</v>
      </c>
      <c r="M235" s="182"/>
      <c r="N235" s="166"/>
      <c r="O235" s="166"/>
      <c r="P235" s="166"/>
      <c r="Q235" s="166"/>
      <c r="R235" s="166"/>
      <c r="S235" s="166"/>
      <c r="T235" s="166"/>
      <c r="U235" s="166"/>
      <c r="V235" s="166"/>
      <c r="W235" s="166"/>
      <c r="X235" s="166"/>
      <c r="Y235" s="166"/>
      <c r="Z235" s="166"/>
      <c r="AA235" s="166"/>
      <c r="AB235" s="166"/>
      <c r="AC235" s="166"/>
      <c r="AD235" s="166"/>
      <c r="AE235" s="166"/>
      <c r="AF235" s="166"/>
      <c r="AG235" s="166"/>
      <c r="AH235" s="166"/>
      <c r="AI235" s="166"/>
      <c r="AJ235" s="166"/>
      <c r="AK235" s="166"/>
      <c r="AL235" s="166"/>
      <c r="AM235" s="166"/>
      <c r="AN235" s="166"/>
      <c r="AO235" s="166"/>
      <c r="AP235" s="166"/>
      <c r="AQ235" s="166"/>
      <c r="AR235" s="166"/>
      <c r="AS235" s="166"/>
      <c r="AT235" s="166"/>
      <c r="AU235" s="166"/>
      <c r="AV235" s="166"/>
      <c r="AW235" s="166"/>
      <c r="AX235" s="166"/>
      <c r="AY235" s="166"/>
      <c r="AZ235" s="186"/>
      <c r="BA235" s="186"/>
      <c r="BB235" s="186"/>
      <c r="BC235" s="186"/>
      <c r="BD235" s="186"/>
      <c r="BE235" s="186"/>
      <c r="BF235" s="186"/>
      <c r="BG235" s="186"/>
      <c r="BH235" s="186"/>
      <c r="BI235" s="183">
        <f t="shared" si="122"/>
        <v>0</v>
      </c>
      <c r="BJ235" s="183">
        <f t="shared" si="123"/>
        <v>0</v>
      </c>
      <c r="BK235" s="183">
        <f t="shared" si="124"/>
        <v>0</v>
      </c>
      <c r="BL235" s="183">
        <f t="shared" si="125"/>
        <v>0</v>
      </c>
    </row>
    <row r="236" spans="1:64" s="187" customFormat="1" ht="15.75" hidden="1" customHeight="1" outlineLevel="3" x14ac:dyDescent="0.3">
      <c r="A236" s="185"/>
      <c r="B236" s="185"/>
      <c r="C236" s="185"/>
      <c r="D236" s="185"/>
      <c r="E236" s="185" t="s">
        <v>2680</v>
      </c>
      <c r="F236" s="185" t="s">
        <v>83</v>
      </c>
      <c r="G236" s="185">
        <v>47</v>
      </c>
      <c r="H236" s="185" t="str">
        <f>IFERROR(VLOOKUP(G236,'2022. tervsor'!C:D,2,0)," ")</f>
        <v>Külső megbízott megbízási díj teljesítése</v>
      </c>
      <c r="I236" s="181">
        <f t="shared" si="119"/>
        <v>0</v>
      </c>
      <c r="J236" s="181">
        <f t="shared" si="120"/>
        <v>0</v>
      </c>
      <c r="K236" s="166">
        <f t="shared" si="126"/>
        <v>0</v>
      </c>
      <c r="L236" s="166">
        <f t="shared" si="121"/>
        <v>0</v>
      </c>
      <c r="M236" s="182"/>
      <c r="N236" s="166"/>
      <c r="O236" s="166"/>
      <c r="P236" s="166"/>
      <c r="Q236" s="166"/>
      <c r="R236" s="166"/>
      <c r="S236" s="166"/>
      <c r="T236" s="166"/>
      <c r="U236" s="166"/>
      <c r="V236" s="166"/>
      <c r="W236" s="166"/>
      <c r="X236" s="166"/>
      <c r="Y236" s="166"/>
      <c r="Z236" s="166"/>
      <c r="AA236" s="166"/>
      <c r="AB236" s="166"/>
      <c r="AC236" s="166"/>
      <c r="AD236" s="166"/>
      <c r="AE236" s="166"/>
      <c r="AF236" s="166"/>
      <c r="AG236" s="166"/>
      <c r="AH236" s="166"/>
      <c r="AI236" s="166"/>
      <c r="AJ236" s="166"/>
      <c r="AK236" s="166"/>
      <c r="AL236" s="166"/>
      <c r="AM236" s="166"/>
      <c r="AN236" s="166"/>
      <c r="AO236" s="166"/>
      <c r="AP236" s="166"/>
      <c r="AQ236" s="166"/>
      <c r="AR236" s="166"/>
      <c r="AS236" s="166"/>
      <c r="AT236" s="166"/>
      <c r="AU236" s="166"/>
      <c r="AV236" s="166"/>
      <c r="AW236" s="166"/>
      <c r="AX236" s="166"/>
      <c r="AY236" s="166"/>
      <c r="AZ236" s="186"/>
      <c r="BA236" s="186"/>
      <c r="BB236" s="186"/>
      <c r="BC236" s="186"/>
      <c r="BD236" s="186"/>
      <c r="BE236" s="186"/>
      <c r="BF236" s="186"/>
      <c r="BG236" s="186"/>
      <c r="BH236" s="186"/>
      <c r="BI236" s="183">
        <f t="shared" si="122"/>
        <v>0</v>
      </c>
      <c r="BJ236" s="183">
        <f t="shared" si="123"/>
        <v>0</v>
      </c>
      <c r="BK236" s="183">
        <f t="shared" si="124"/>
        <v>0</v>
      </c>
      <c r="BL236" s="183">
        <f t="shared" si="125"/>
        <v>0</v>
      </c>
    </row>
    <row r="237" spans="1:64" s="187" customFormat="1" ht="15.75" hidden="1" customHeight="1" outlineLevel="3" x14ac:dyDescent="0.3">
      <c r="A237" s="185"/>
      <c r="B237" s="185"/>
      <c r="C237" s="185"/>
      <c r="D237" s="185"/>
      <c r="E237" s="185" t="s">
        <v>2680</v>
      </c>
      <c r="F237" s="185" t="s">
        <v>83</v>
      </c>
      <c r="G237" s="185">
        <v>48</v>
      </c>
      <c r="H237" s="185" t="str">
        <f>IFERROR(VLOOKUP(G237,'2022. tervsor'!C:D,2,0)," ")</f>
        <v>Külsős tiszteletdíj,szerzői díj,honoráriuma</v>
      </c>
      <c r="I237" s="181">
        <f t="shared" si="119"/>
        <v>0</v>
      </c>
      <c r="J237" s="181">
        <f t="shared" si="120"/>
        <v>0</v>
      </c>
      <c r="K237" s="166">
        <f t="shared" si="126"/>
        <v>0</v>
      </c>
      <c r="L237" s="166">
        <f t="shared" si="121"/>
        <v>0</v>
      </c>
      <c r="M237" s="182"/>
      <c r="N237" s="166"/>
      <c r="O237" s="166"/>
      <c r="P237" s="166"/>
      <c r="Q237" s="166"/>
      <c r="R237" s="166"/>
      <c r="S237" s="166"/>
      <c r="T237" s="166"/>
      <c r="U237" s="166"/>
      <c r="V237" s="166"/>
      <c r="W237" s="166"/>
      <c r="X237" s="166"/>
      <c r="Y237" s="166"/>
      <c r="Z237" s="166"/>
      <c r="AA237" s="166"/>
      <c r="AB237" s="166"/>
      <c r="AC237" s="166"/>
      <c r="AD237" s="166"/>
      <c r="AE237" s="166"/>
      <c r="AF237" s="166"/>
      <c r="AG237" s="166"/>
      <c r="AH237" s="166"/>
      <c r="AI237" s="166"/>
      <c r="AJ237" s="166"/>
      <c r="AK237" s="166"/>
      <c r="AL237" s="166"/>
      <c r="AM237" s="166"/>
      <c r="AN237" s="166"/>
      <c r="AO237" s="166"/>
      <c r="AP237" s="166"/>
      <c r="AQ237" s="166"/>
      <c r="AR237" s="166"/>
      <c r="AS237" s="166"/>
      <c r="AT237" s="166"/>
      <c r="AU237" s="166"/>
      <c r="AV237" s="166"/>
      <c r="AW237" s="166"/>
      <c r="AX237" s="166"/>
      <c r="AY237" s="166"/>
      <c r="AZ237" s="186"/>
      <c r="BA237" s="186"/>
      <c r="BB237" s="186"/>
      <c r="BC237" s="186"/>
      <c r="BD237" s="186"/>
      <c r="BE237" s="186"/>
      <c r="BF237" s="186"/>
      <c r="BG237" s="186"/>
      <c r="BH237" s="186"/>
      <c r="BI237" s="183">
        <f t="shared" si="122"/>
        <v>0</v>
      </c>
      <c r="BJ237" s="183">
        <f t="shared" si="123"/>
        <v>0</v>
      </c>
      <c r="BK237" s="183">
        <f t="shared" si="124"/>
        <v>0</v>
      </c>
      <c r="BL237" s="183">
        <f t="shared" si="125"/>
        <v>0</v>
      </c>
    </row>
    <row r="238" spans="1:64" s="187" customFormat="1" ht="15.75" hidden="1" customHeight="1" outlineLevel="3" x14ac:dyDescent="0.3">
      <c r="A238" s="185"/>
      <c r="B238" s="185"/>
      <c r="C238" s="185"/>
      <c r="D238" s="185"/>
      <c r="E238" s="185" t="s">
        <v>2680</v>
      </c>
      <c r="F238" s="185" t="s">
        <v>83</v>
      </c>
      <c r="G238" s="185">
        <v>49</v>
      </c>
      <c r="H238" s="185" t="str">
        <f>IFERROR(VLOOKUP(G238,'2022. tervsor'!C:D,2,0)," ")</f>
        <v>Külsős belföldi napidíj teljesítése</v>
      </c>
      <c r="I238" s="181">
        <f t="shared" si="119"/>
        <v>0</v>
      </c>
      <c r="J238" s="181">
        <f t="shared" si="120"/>
        <v>0</v>
      </c>
      <c r="K238" s="166">
        <f t="shared" si="126"/>
        <v>0</v>
      </c>
      <c r="L238" s="166">
        <f t="shared" si="121"/>
        <v>0</v>
      </c>
      <c r="M238" s="182"/>
      <c r="N238" s="166"/>
      <c r="O238" s="166"/>
      <c r="P238" s="166"/>
      <c r="Q238" s="166"/>
      <c r="R238" s="166"/>
      <c r="S238" s="166"/>
      <c r="T238" s="166"/>
      <c r="U238" s="166"/>
      <c r="V238" s="166"/>
      <c r="W238" s="166"/>
      <c r="X238" s="166"/>
      <c r="Y238" s="166"/>
      <c r="Z238" s="166"/>
      <c r="AA238" s="166"/>
      <c r="AB238" s="166"/>
      <c r="AC238" s="166"/>
      <c r="AD238" s="166"/>
      <c r="AE238" s="166"/>
      <c r="AF238" s="166"/>
      <c r="AG238" s="166"/>
      <c r="AH238" s="166"/>
      <c r="AI238" s="166"/>
      <c r="AJ238" s="166"/>
      <c r="AK238" s="166"/>
      <c r="AL238" s="166"/>
      <c r="AM238" s="166"/>
      <c r="AN238" s="166"/>
      <c r="AO238" s="166"/>
      <c r="AP238" s="166"/>
      <c r="AQ238" s="166"/>
      <c r="AR238" s="166"/>
      <c r="AS238" s="166"/>
      <c r="AT238" s="166"/>
      <c r="AU238" s="166"/>
      <c r="AV238" s="166"/>
      <c r="AW238" s="166"/>
      <c r="AX238" s="166"/>
      <c r="AY238" s="166"/>
      <c r="AZ238" s="186"/>
      <c r="BA238" s="186"/>
      <c r="BB238" s="186"/>
      <c r="BC238" s="186"/>
      <c r="BD238" s="186"/>
      <c r="BE238" s="186"/>
      <c r="BF238" s="186"/>
      <c r="BG238" s="186"/>
      <c r="BH238" s="186"/>
      <c r="BI238" s="183">
        <f t="shared" si="122"/>
        <v>0</v>
      </c>
      <c r="BJ238" s="183">
        <f t="shared" si="123"/>
        <v>0</v>
      </c>
      <c r="BK238" s="183">
        <f t="shared" si="124"/>
        <v>0</v>
      </c>
      <c r="BL238" s="183">
        <f t="shared" si="125"/>
        <v>0</v>
      </c>
    </row>
    <row r="239" spans="1:64" s="187" customFormat="1" ht="15.75" hidden="1" customHeight="1" outlineLevel="3" x14ac:dyDescent="0.3">
      <c r="A239" s="185"/>
      <c r="B239" s="185"/>
      <c r="C239" s="185"/>
      <c r="D239" s="185"/>
      <c r="E239" s="185" t="s">
        <v>2680</v>
      </c>
      <c r="F239" s="185" t="s">
        <v>83</v>
      </c>
      <c r="G239" s="185">
        <v>50</v>
      </c>
      <c r="H239" s="185" t="str">
        <f>IFERROR(VLOOKUP(G239,'2022. tervsor'!C:D,2,0)," ")</f>
        <v>Külsős külföldi napidíj teljesítése</v>
      </c>
      <c r="I239" s="181">
        <f t="shared" si="119"/>
        <v>0</v>
      </c>
      <c r="J239" s="181">
        <f t="shared" si="120"/>
        <v>0</v>
      </c>
      <c r="K239" s="166">
        <f t="shared" si="126"/>
        <v>0</v>
      </c>
      <c r="L239" s="166">
        <f t="shared" si="121"/>
        <v>0</v>
      </c>
      <c r="M239" s="182"/>
      <c r="N239" s="166"/>
      <c r="O239" s="166"/>
      <c r="P239" s="166"/>
      <c r="Q239" s="166"/>
      <c r="R239" s="166"/>
      <c r="S239" s="166"/>
      <c r="T239" s="166"/>
      <c r="U239" s="166"/>
      <c r="V239" s="166"/>
      <c r="W239" s="166"/>
      <c r="X239" s="166"/>
      <c r="Y239" s="166"/>
      <c r="Z239" s="166"/>
      <c r="AA239" s="166"/>
      <c r="AB239" s="166"/>
      <c r="AC239" s="166"/>
      <c r="AD239" s="166"/>
      <c r="AE239" s="166"/>
      <c r="AF239" s="166"/>
      <c r="AG239" s="166"/>
      <c r="AH239" s="166"/>
      <c r="AI239" s="166"/>
      <c r="AJ239" s="166"/>
      <c r="AK239" s="166"/>
      <c r="AL239" s="166"/>
      <c r="AM239" s="166"/>
      <c r="AN239" s="166"/>
      <c r="AO239" s="166"/>
      <c r="AP239" s="166"/>
      <c r="AQ239" s="166"/>
      <c r="AR239" s="166"/>
      <c r="AS239" s="166"/>
      <c r="AT239" s="166"/>
      <c r="AU239" s="166"/>
      <c r="AV239" s="166"/>
      <c r="AW239" s="166"/>
      <c r="AX239" s="166"/>
      <c r="AY239" s="166"/>
      <c r="AZ239" s="186"/>
      <c r="BA239" s="186"/>
      <c r="BB239" s="186"/>
      <c r="BC239" s="186"/>
      <c r="BD239" s="186"/>
      <c r="BE239" s="186"/>
      <c r="BF239" s="186"/>
      <c r="BG239" s="186"/>
      <c r="BH239" s="186"/>
      <c r="BI239" s="183">
        <f t="shared" si="122"/>
        <v>0</v>
      </c>
      <c r="BJ239" s="183">
        <f t="shared" si="123"/>
        <v>0</v>
      </c>
      <c r="BK239" s="183">
        <f t="shared" si="124"/>
        <v>0</v>
      </c>
      <c r="BL239" s="183">
        <f t="shared" si="125"/>
        <v>0</v>
      </c>
    </row>
    <row r="240" spans="1:64" s="187" customFormat="1" ht="15.75" hidden="1" customHeight="1" outlineLevel="3" x14ac:dyDescent="0.3">
      <c r="A240" s="185"/>
      <c r="B240" s="185"/>
      <c r="C240" s="185"/>
      <c r="D240" s="185"/>
      <c r="E240" s="185" t="s">
        <v>2680</v>
      </c>
      <c r="F240" s="185" t="s">
        <v>83</v>
      </c>
      <c r="G240" s="185">
        <v>51</v>
      </c>
      <c r="H240" s="185" t="str">
        <f>IFERROR(VLOOKUP(G240,'2022. tervsor'!C:D,2,0)," ")</f>
        <v>MVÉGZÉSRE IR. E. JOGVISZONYBAN FIZETETT JUTTATÁSOK</v>
      </c>
      <c r="I240" s="181">
        <f t="shared" si="119"/>
        <v>0</v>
      </c>
      <c r="J240" s="181">
        <f t="shared" si="120"/>
        <v>0</v>
      </c>
      <c r="K240" s="166">
        <f t="shared" si="126"/>
        <v>0</v>
      </c>
      <c r="L240" s="166">
        <f t="shared" si="121"/>
        <v>0</v>
      </c>
      <c r="M240" s="182"/>
      <c r="N240" s="166"/>
      <c r="O240" s="166"/>
      <c r="P240" s="166"/>
      <c r="Q240" s="166"/>
      <c r="R240" s="166"/>
      <c r="S240" s="166"/>
      <c r="T240" s="166"/>
      <c r="U240" s="166"/>
      <c r="V240" s="166"/>
      <c r="W240" s="166"/>
      <c r="X240" s="166"/>
      <c r="Y240" s="166"/>
      <c r="Z240" s="166"/>
      <c r="AA240" s="166"/>
      <c r="AB240" s="166"/>
      <c r="AC240" s="166"/>
      <c r="AD240" s="166"/>
      <c r="AE240" s="166"/>
      <c r="AF240" s="166"/>
      <c r="AG240" s="166"/>
      <c r="AH240" s="166"/>
      <c r="AI240" s="166"/>
      <c r="AJ240" s="166"/>
      <c r="AK240" s="166"/>
      <c r="AL240" s="166"/>
      <c r="AM240" s="166"/>
      <c r="AN240" s="166"/>
      <c r="AO240" s="166"/>
      <c r="AP240" s="166"/>
      <c r="AQ240" s="166"/>
      <c r="AR240" s="166"/>
      <c r="AS240" s="166"/>
      <c r="AT240" s="166"/>
      <c r="AU240" s="166"/>
      <c r="AV240" s="166"/>
      <c r="AW240" s="166"/>
      <c r="AX240" s="166"/>
      <c r="AY240" s="166"/>
      <c r="AZ240" s="186"/>
      <c r="BA240" s="186"/>
      <c r="BB240" s="186"/>
      <c r="BC240" s="186"/>
      <c r="BD240" s="186"/>
      <c r="BE240" s="186"/>
      <c r="BF240" s="186"/>
      <c r="BG240" s="186"/>
      <c r="BH240" s="186"/>
      <c r="BI240" s="183">
        <f t="shared" si="122"/>
        <v>0</v>
      </c>
      <c r="BJ240" s="183">
        <f t="shared" si="123"/>
        <v>0</v>
      </c>
      <c r="BK240" s="183">
        <f t="shared" si="124"/>
        <v>0</v>
      </c>
      <c r="BL240" s="183">
        <f t="shared" si="125"/>
        <v>0</v>
      </c>
    </row>
    <row r="241" spans="1:64" s="187" customFormat="1" ht="15.75" hidden="1" customHeight="1" outlineLevel="3" x14ac:dyDescent="0.3">
      <c r="A241" s="185"/>
      <c r="B241" s="185"/>
      <c r="C241" s="185"/>
      <c r="D241" s="185"/>
      <c r="E241" s="185" t="s">
        <v>2680</v>
      </c>
      <c r="F241" s="185" t="s">
        <v>83</v>
      </c>
      <c r="G241" s="185">
        <v>52</v>
      </c>
      <c r="H241" s="185" t="str">
        <f>IFERROR(VLOOKUP(G241,'2022. tervsor'!C:D,2,0)," ")</f>
        <v>Felmentési bér teljesítése</v>
      </c>
      <c r="I241" s="181">
        <f t="shared" si="119"/>
        <v>0</v>
      </c>
      <c r="J241" s="181">
        <f t="shared" si="120"/>
        <v>0</v>
      </c>
      <c r="K241" s="166">
        <f t="shared" si="126"/>
        <v>0</v>
      </c>
      <c r="L241" s="166">
        <f t="shared" si="121"/>
        <v>0</v>
      </c>
      <c r="M241" s="182"/>
      <c r="N241" s="166"/>
      <c r="O241" s="166"/>
      <c r="P241" s="166"/>
      <c r="Q241" s="166"/>
      <c r="R241" s="166"/>
      <c r="S241" s="166"/>
      <c r="T241" s="166"/>
      <c r="U241" s="166"/>
      <c r="V241" s="166"/>
      <c r="W241" s="166"/>
      <c r="X241" s="166"/>
      <c r="Y241" s="166"/>
      <c r="Z241" s="166"/>
      <c r="AA241" s="166"/>
      <c r="AB241" s="166"/>
      <c r="AC241" s="166"/>
      <c r="AD241" s="166"/>
      <c r="AE241" s="166"/>
      <c r="AF241" s="166"/>
      <c r="AG241" s="166"/>
      <c r="AH241" s="166"/>
      <c r="AI241" s="166"/>
      <c r="AJ241" s="166"/>
      <c r="AK241" s="166"/>
      <c r="AL241" s="166"/>
      <c r="AM241" s="166"/>
      <c r="AN241" s="166"/>
      <c r="AO241" s="166"/>
      <c r="AP241" s="166"/>
      <c r="AQ241" s="166"/>
      <c r="AR241" s="166"/>
      <c r="AS241" s="166"/>
      <c r="AT241" s="166"/>
      <c r="AU241" s="166"/>
      <c r="AV241" s="166"/>
      <c r="AW241" s="166"/>
      <c r="AX241" s="166"/>
      <c r="AY241" s="166"/>
      <c r="AZ241" s="186"/>
      <c r="BA241" s="186"/>
      <c r="BB241" s="186"/>
      <c r="BC241" s="186"/>
      <c r="BD241" s="186"/>
      <c r="BE241" s="186"/>
      <c r="BF241" s="186"/>
      <c r="BG241" s="186"/>
      <c r="BH241" s="186"/>
      <c r="BI241" s="183">
        <f t="shared" si="122"/>
        <v>0</v>
      </c>
      <c r="BJ241" s="183">
        <f t="shared" si="123"/>
        <v>0</v>
      </c>
      <c r="BK241" s="183">
        <f t="shared" si="124"/>
        <v>0</v>
      </c>
      <c r="BL241" s="183">
        <f t="shared" si="125"/>
        <v>0</v>
      </c>
    </row>
    <row r="242" spans="1:64" s="187" customFormat="1" ht="15.75" hidden="1" customHeight="1" outlineLevel="3" x14ac:dyDescent="0.3">
      <c r="A242" s="185"/>
      <c r="B242" s="185"/>
      <c r="C242" s="185"/>
      <c r="D242" s="185"/>
      <c r="E242" s="185" t="s">
        <v>2680</v>
      </c>
      <c r="F242" s="185" t="s">
        <v>83</v>
      </c>
      <c r="G242" s="185">
        <v>53</v>
      </c>
      <c r="H242" s="185" t="str">
        <f>IFERROR(VLOOKUP(G242,'2022. tervsor'!C:D,2,0)," ")</f>
        <v>Munkaviszonyban nem állók költségtérítése</v>
      </c>
      <c r="I242" s="181">
        <f t="shared" si="119"/>
        <v>0</v>
      </c>
      <c r="J242" s="181">
        <f t="shared" si="120"/>
        <v>0</v>
      </c>
      <c r="K242" s="166">
        <f t="shared" si="126"/>
        <v>0</v>
      </c>
      <c r="L242" s="166">
        <f t="shared" si="121"/>
        <v>0</v>
      </c>
      <c r="M242" s="182"/>
      <c r="N242" s="166"/>
      <c r="O242" s="166"/>
      <c r="P242" s="166"/>
      <c r="Q242" s="166"/>
      <c r="R242" s="166"/>
      <c r="S242" s="166"/>
      <c r="T242" s="166"/>
      <c r="U242" s="166"/>
      <c r="V242" s="166"/>
      <c r="W242" s="166"/>
      <c r="X242" s="166"/>
      <c r="Y242" s="166"/>
      <c r="Z242" s="166"/>
      <c r="AA242" s="166"/>
      <c r="AB242" s="166"/>
      <c r="AC242" s="166"/>
      <c r="AD242" s="166"/>
      <c r="AE242" s="166"/>
      <c r="AF242" s="166"/>
      <c r="AG242" s="166"/>
      <c r="AH242" s="166"/>
      <c r="AI242" s="166"/>
      <c r="AJ242" s="166"/>
      <c r="AK242" s="166"/>
      <c r="AL242" s="166"/>
      <c r="AM242" s="166"/>
      <c r="AN242" s="166"/>
      <c r="AO242" s="166"/>
      <c r="AP242" s="166"/>
      <c r="AQ242" s="166"/>
      <c r="AR242" s="166"/>
      <c r="AS242" s="166"/>
      <c r="AT242" s="166"/>
      <c r="AU242" s="166"/>
      <c r="AV242" s="166"/>
      <c r="AW242" s="166"/>
      <c r="AX242" s="166"/>
      <c r="AY242" s="166"/>
      <c r="AZ242" s="186"/>
      <c r="BA242" s="186"/>
      <c r="BB242" s="186"/>
      <c r="BC242" s="186"/>
      <c r="BD242" s="186"/>
      <c r="BE242" s="186"/>
      <c r="BF242" s="186"/>
      <c r="BG242" s="186"/>
      <c r="BH242" s="186"/>
      <c r="BI242" s="183">
        <f t="shared" si="122"/>
        <v>0</v>
      </c>
      <c r="BJ242" s="183">
        <f t="shared" si="123"/>
        <v>0</v>
      </c>
      <c r="BK242" s="183">
        <f t="shared" si="124"/>
        <v>0</v>
      </c>
      <c r="BL242" s="183">
        <f t="shared" si="125"/>
        <v>0</v>
      </c>
    </row>
    <row r="243" spans="1:64" s="187" customFormat="1" ht="15.75" hidden="1" customHeight="1" outlineLevel="3" x14ac:dyDescent="0.3">
      <c r="A243" s="185"/>
      <c r="B243" s="185"/>
      <c r="C243" s="185"/>
      <c r="D243" s="185"/>
      <c r="E243" s="185" t="s">
        <v>2680</v>
      </c>
      <c r="F243" s="185" t="s">
        <v>83</v>
      </c>
      <c r="G243" s="185">
        <v>54</v>
      </c>
      <c r="H243" s="185" t="str">
        <f>IFERROR(VLOOKUP(G243,'2022. tervsor'!C:D,2,0)," ")</f>
        <v>Ktg.és egyéb juttatások</v>
      </c>
      <c r="I243" s="181">
        <f t="shared" si="119"/>
        <v>0</v>
      </c>
      <c r="J243" s="181">
        <f t="shared" si="120"/>
        <v>0</v>
      </c>
      <c r="K243" s="166">
        <f t="shared" si="126"/>
        <v>0</v>
      </c>
      <c r="L243" s="166">
        <f t="shared" si="121"/>
        <v>0</v>
      </c>
      <c r="M243" s="182"/>
      <c r="N243" s="166"/>
      <c r="O243" s="166"/>
      <c r="P243" s="166"/>
      <c r="Q243" s="166"/>
      <c r="R243" s="166"/>
      <c r="S243" s="166"/>
      <c r="T243" s="166"/>
      <c r="U243" s="166"/>
      <c r="V243" s="166"/>
      <c r="W243" s="166"/>
      <c r="X243" s="166"/>
      <c r="Y243" s="166"/>
      <c r="Z243" s="166"/>
      <c r="AA243" s="166"/>
      <c r="AB243" s="166"/>
      <c r="AC243" s="166"/>
      <c r="AD243" s="166"/>
      <c r="AE243" s="166"/>
      <c r="AF243" s="166"/>
      <c r="AG243" s="166"/>
      <c r="AH243" s="166"/>
      <c r="AI243" s="166"/>
      <c r="AJ243" s="166"/>
      <c r="AK243" s="166"/>
      <c r="AL243" s="166"/>
      <c r="AM243" s="166"/>
      <c r="AN243" s="166"/>
      <c r="AO243" s="166"/>
      <c r="AP243" s="166"/>
      <c r="AQ243" s="166"/>
      <c r="AR243" s="166"/>
      <c r="AS243" s="166"/>
      <c r="AT243" s="166"/>
      <c r="AU243" s="166"/>
      <c r="AV243" s="166"/>
      <c r="AW243" s="166"/>
      <c r="AX243" s="166"/>
      <c r="AY243" s="166"/>
      <c r="AZ243" s="186"/>
      <c r="BA243" s="186"/>
      <c r="BB243" s="186"/>
      <c r="BC243" s="186"/>
      <c r="BD243" s="186"/>
      <c r="BE243" s="186"/>
      <c r="BF243" s="186"/>
      <c r="BG243" s="186"/>
      <c r="BH243" s="186"/>
      <c r="BI243" s="183">
        <f t="shared" si="122"/>
        <v>0</v>
      </c>
      <c r="BJ243" s="183">
        <f t="shared" si="123"/>
        <v>0</v>
      </c>
      <c r="BK243" s="183">
        <f t="shared" si="124"/>
        <v>0</v>
      </c>
      <c r="BL243" s="183">
        <f t="shared" si="125"/>
        <v>0</v>
      </c>
    </row>
    <row r="244" spans="1:64" s="187" customFormat="1" ht="15.75" hidden="1" customHeight="1" outlineLevel="3" x14ac:dyDescent="0.3">
      <c r="A244" s="185"/>
      <c r="B244" s="185"/>
      <c r="C244" s="185"/>
      <c r="D244" s="185"/>
      <c r="E244" s="185" t="s">
        <v>2680</v>
      </c>
      <c r="F244" s="185" t="s">
        <v>83</v>
      </c>
      <c r="G244" s="185">
        <v>55</v>
      </c>
      <c r="H244" s="185" t="str">
        <f>IFERROR(VLOOKUP(G244,'2022. tervsor'!C:D,2,0)," ")</f>
        <v>Ktg.és egyéb jutt./vas.gyém.rubin okl.,ö.díj kieg.,OTKA p.)</v>
      </c>
      <c r="I244" s="181">
        <f t="shared" si="119"/>
        <v>0</v>
      </c>
      <c r="J244" s="181">
        <f t="shared" si="120"/>
        <v>0</v>
      </c>
      <c r="K244" s="166">
        <f t="shared" si="126"/>
        <v>0</v>
      </c>
      <c r="L244" s="166">
        <f t="shared" si="121"/>
        <v>0</v>
      </c>
      <c r="M244" s="182"/>
      <c r="N244" s="166"/>
      <c r="O244" s="166"/>
      <c r="P244" s="166"/>
      <c r="Q244" s="166"/>
      <c r="R244" s="166"/>
      <c r="S244" s="166"/>
      <c r="T244" s="166"/>
      <c r="U244" s="166"/>
      <c r="V244" s="166"/>
      <c r="W244" s="166"/>
      <c r="X244" s="166"/>
      <c r="Y244" s="166"/>
      <c r="Z244" s="166"/>
      <c r="AA244" s="166"/>
      <c r="AB244" s="166"/>
      <c r="AC244" s="166"/>
      <c r="AD244" s="166"/>
      <c r="AE244" s="166"/>
      <c r="AF244" s="166"/>
      <c r="AG244" s="166"/>
      <c r="AH244" s="166"/>
      <c r="AI244" s="166"/>
      <c r="AJ244" s="166"/>
      <c r="AK244" s="166"/>
      <c r="AL244" s="166"/>
      <c r="AM244" s="166"/>
      <c r="AN244" s="166"/>
      <c r="AO244" s="166"/>
      <c r="AP244" s="166"/>
      <c r="AQ244" s="166"/>
      <c r="AR244" s="166"/>
      <c r="AS244" s="166"/>
      <c r="AT244" s="166"/>
      <c r="AU244" s="166"/>
      <c r="AV244" s="166"/>
      <c r="AW244" s="166"/>
      <c r="AX244" s="166"/>
      <c r="AY244" s="166"/>
      <c r="AZ244" s="186"/>
      <c r="BA244" s="186"/>
      <c r="BB244" s="186"/>
      <c r="BC244" s="186"/>
      <c r="BD244" s="186"/>
      <c r="BE244" s="186"/>
      <c r="BF244" s="186"/>
      <c r="BG244" s="186"/>
      <c r="BH244" s="186"/>
      <c r="BI244" s="183">
        <f t="shared" si="122"/>
        <v>0</v>
      </c>
      <c r="BJ244" s="183">
        <f t="shared" si="123"/>
        <v>0</v>
      </c>
      <c r="BK244" s="183">
        <f t="shared" si="124"/>
        <v>0</v>
      </c>
      <c r="BL244" s="183">
        <f t="shared" si="125"/>
        <v>0</v>
      </c>
    </row>
    <row r="245" spans="1:64" s="187" customFormat="1" ht="15.75" hidden="1" customHeight="1" outlineLevel="3" x14ac:dyDescent="0.3">
      <c r="A245" s="185"/>
      <c r="B245" s="185"/>
      <c r="C245" s="185"/>
      <c r="D245" s="185"/>
      <c r="E245" s="185" t="s">
        <v>2680</v>
      </c>
      <c r="F245" s="185" t="s">
        <v>83</v>
      </c>
      <c r="G245" s="185">
        <v>56</v>
      </c>
      <c r="H245" s="185" t="str">
        <f>IFERROR(VLOOKUP(G245,'2022. tervsor'!C:D,2,0)," ")</f>
        <v>Reprezentáció</v>
      </c>
      <c r="I245" s="181">
        <f t="shared" si="119"/>
        <v>0</v>
      </c>
      <c r="J245" s="181">
        <f t="shared" si="120"/>
        <v>0</v>
      </c>
      <c r="K245" s="166">
        <f t="shared" si="126"/>
        <v>0</v>
      </c>
      <c r="L245" s="166">
        <f t="shared" si="121"/>
        <v>0</v>
      </c>
      <c r="M245" s="182"/>
      <c r="N245" s="166"/>
      <c r="O245" s="166"/>
      <c r="P245" s="166"/>
      <c r="Q245" s="166"/>
      <c r="R245" s="166"/>
      <c r="S245" s="166"/>
      <c r="T245" s="166"/>
      <c r="U245" s="166"/>
      <c r="V245" s="166"/>
      <c r="W245" s="166"/>
      <c r="X245" s="166"/>
      <c r="Y245" s="166"/>
      <c r="Z245" s="166"/>
      <c r="AA245" s="166"/>
      <c r="AB245" s="166"/>
      <c r="AC245" s="166"/>
      <c r="AD245" s="166"/>
      <c r="AE245" s="166"/>
      <c r="AF245" s="166"/>
      <c r="AG245" s="166"/>
      <c r="AH245" s="166"/>
      <c r="AI245" s="166"/>
      <c r="AJ245" s="166"/>
      <c r="AK245" s="166"/>
      <c r="AL245" s="166"/>
      <c r="AM245" s="166"/>
      <c r="AN245" s="166"/>
      <c r="AO245" s="166"/>
      <c r="AP245" s="166"/>
      <c r="AQ245" s="166"/>
      <c r="AR245" s="166"/>
      <c r="AS245" s="166"/>
      <c r="AT245" s="166"/>
      <c r="AU245" s="166"/>
      <c r="AV245" s="166"/>
      <c r="AW245" s="166"/>
      <c r="AX245" s="166"/>
      <c r="AY245" s="166"/>
      <c r="AZ245" s="186"/>
      <c r="BA245" s="186"/>
      <c r="BB245" s="186"/>
      <c r="BC245" s="186"/>
      <c r="BD245" s="186"/>
      <c r="BE245" s="186"/>
      <c r="BF245" s="186"/>
      <c r="BG245" s="186"/>
      <c r="BH245" s="186"/>
      <c r="BI245" s="183">
        <f t="shared" si="122"/>
        <v>0</v>
      </c>
      <c r="BJ245" s="183">
        <f t="shared" si="123"/>
        <v>0</v>
      </c>
      <c r="BK245" s="183">
        <f t="shared" si="124"/>
        <v>0</v>
      </c>
      <c r="BL245" s="183">
        <f t="shared" si="125"/>
        <v>0</v>
      </c>
    </row>
    <row r="246" spans="1:64" s="187" customFormat="1" ht="15.75" hidden="1" customHeight="1" outlineLevel="3" x14ac:dyDescent="0.3">
      <c r="A246" s="185"/>
      <c r="B246" s="185"/>
      <c r="C246" s="185"/>
      <c r="D246" s="185"/>
      <c r="E246" s="185" t="s">
        <v>2680</v>
      </c>
      <c r="F246" s="185" t="s">
        <v>83</v>
      </c>
      <c r="G246" s="185">
        <v>57</v>
      </c>
      <c r="H246" s="185" t="str">
        <f>IFERROR(VLOOKUP(G246,'2022. tervsor'!C:D,2,0)," ")</f>
        <v>EGYÉB KÜLSŐ SZEMÉLYI JUTTATÁSOK</v>
      </c>
      <c r="I246" s="181">
        <f t="shared" si="119"/>
        <v>0</v>
      </c>
      <c r="J246" s="181">
        <f t="shared" si="120"/>
        <v>0</v>
      </c>
      <c r="K246" s="166">
        <f t="shared" si="126"/>
        <v>0</v>
      </c>
      <c r="L246" s="166">
        <f t="shared" si="121"/>
        <v>0</v>
      </c>
      <c r="M246" s="182"/>
      <c r="N246" s="166"/>
      <c r="O246" s="166"/>
      <c r="P246" s="166"/>
      <c r="Q246" s="166"/>
      <c r="R246" s="166"/>
      <c r="S246" s="166"/>
      <c r="T246" s="166"/>
      <c r="U246" s="166"/>
      <c r="V246" s="166"/>
      <c r="W246" s="166"/>
      <c r="X246" s="166"/>
      <c r="Y246" s="166"/>
      <c r="Z246" s="166"/>
      <c r="AA246" s="166"/>
      <c r="AB246" s="166"/>
      <c r="AC246" s="166"/>
      <c r="AD246" s="166"/>
      <c r="AE246" s="166"/>
      <c r="AF246" s="166"/>
      <c r="AG246" s="166"/>
      <c r="AH246" s="166"/>
      <c r="AI246" s="166"/>
      <c r="AJ246" s="166"/>
      <c r="AK246" s="166"/>
      <c r="AL246" s="166"/>
      <c r="AM246" s="166"/>
      <c r="AN246" s="166"/>
      <c r="AO246" s="166"/>
      <c r="AP246" s="166"/>
      <c r="AQ246" s="166"/>
      <c r="AR246" s="166"/>
      <c r="AS246" s="166"/>
      <c r="AT246" s="166"/>
      <c r="AU246" s="166"/>
      <c r="AV246" s="166"/>
      <c r="AW246" s="166"/>
      <c r="AX246" s="166"/>
      <c r="AY246" s="166"/>
      <c r="AZ246" s="186"/>
      <c r="BA246" s="186"/>
      <c r="BB246" s="186"/>
      <c r="BC246" s="186"/>
      <c r="BD246" s="186"/>
      <c r="BE246" s="186"/>
      <c r="BF246" s="186"/>
      <c r="BG246" s="186"/>
      <c r="BH246" s="186"/>
      <c r="BI246" s="183">
        <f t="shared" si="122"/>
        <v>0</v>
      </c>
      <c r="BJ246" s="183">
        <f t="shared" si="123"/>
        <v>0</v>
      </c>
      <c r="BK246" s="183">
        <f t="shared" si="124"/>
        <v>0</v>
      </c>
      <c r="BL246" s="183">
        <f t="shared" si="125"/>
        <v>0</v>
      </c>
    </row>
    <row r="247" spans="1:64" s="187" customFormat="1" ht="15.75" hidden="1" customHeight="1" outlineLevel="3" x14ac:dyDescent="0.3">
      <c r="A247" s="185"/>
      <c r="B247" s="185"/>
      <c r="C247" s="185"/>
      <c r="D247" s="185"/>
      <c r="E247" s="185" t="s">
        <v>2680</v>
      </c>
      <c r="F247" s="185" t="s">
        <v>83</v>
      </c>
      <c r="G247" s="185">
        <v>58</v>
      </c>
      <c r="H247" s="185" t="str">
        <f>IFERROR(VLOOKUP(G247,'2022. tervsor'!C:D,2,0)," ")</f>
        <v>KÜLSŐ SZEMÉLYI JUTTATÁSOK</v>
      </c>
      <c r="I247" s="181">
        <f t="shared" si="119"/>
        <v>0</v>
      </c>
      <c r="J247" s="181">
        <f t="shared" si="120"/>
        <v>0</v>
      </c>
      <c r="K247" s="166">
        <f t="shared" si="126"/>
        <v>0</v>
      </c>
      <c r="L247" s="166">
        <f t="shared" si="121"/>
        <v>0</v>
      </c>
      <c r="M247" s="182"/>
      <c r="N247" s="166"/>
      <c r="O247" s="166"/>
      <c r="P247" s="166"/>
      <c r="Q247" s="166"/>
      <c r="R247" s="166"/>
      <c r="S247" s="166"/>
      <c r="T247" s="166"/>
      <c r="U247" s="166"/>
      <c r="V247" s="166"/>
      <c r="W247" s="166"/>
      <c r="X247" s="166"/>
      <c r="Y247" s="166"/>
      <c r="Z247" s="166"/>
      <c r="AA247" s="166"/>
      <c r="AB247" s="166"/>
      <c r="AC247" s="166"/>
      <c r="AD247" s="166"/>
      <c r="AE247" s="166"/>
      <c r="AF247" s="166"/>
      <c r="AG247" s="166"/>
      <c r="AH247" s="166"/>
      <c r="AI247" s="166"/>
      <c r="AJ247" s="166"/>
      <c r="AK247" s="166"/>
      <c r="AL247" s="166"/>
      <c r="AM247" s="166"/>
      <c r="AN247" s="166"/>
      <c r="AO247" s="166"/>
      <c r="AP247" s="166"/>
      <c r="AQ247" s="166"/>
      <c r="AR247" s="166"/>
      <c r="AS247" s="166"/>
      <c r="AT247" s="166"/>
      <c r="AU247" s="166"/>
      <c r="AV247" s="166"/>
      <c r="AW247" s="166"/>
      <c r="AX247" s="166"/>
      <c r="AY247" s="166"/>
      <c r="AZ247" s="186"/>
      <c r="BA247" s="186"/>
      <c r="BB247" s="186"/>
      <c r="BC247" s="186"/>
      <c r="BD247" s="186"/>
      <c r="BE247" s="186"/>
      <c r="BF247" s="186"/>
      <c r="BG247" s="186"/>
      <c r="BH247" s="186"/>
      <c r="BI247" s="183">
        <f t="shared" si="122"/>
        <v>0</v>
      </c>
      <c r="BJ247" s="183">
        <f t="shared" si="123"/>
        <v>0</v>
      </c>
      <c r="BK247" s="183">
        <f t="shared" si="124"/>
        <v>0</v>
      </c>
      <c r="BL247" s="183">
        <f t="shared" si="125"/>
        <v>0</v>
      </c>
    </row>
    <row r="248" spans="1:64" s="187" customFormat="1" ht="15.75" hidden="1" customHeight="1" outlineLevel="3" x14ac:dyDescent="0.3">
      <c r="A248" s="185"/>
      <c r="B248" s="185"/>
      <c r="C248" s="185"/>
      <c r="D248" s="185"/>
      <c r="E248" s="185" t="s">
        <v>2680</v>
      </c>
      <c r="F248" s="185" t="s">
        <v>83</v>
      </c>
      <c r="G248" s="185">
        <v>59</v>
      </c>
      <c r="H248" s="185" t="str">
        <f>IFERROR(VLOOKUP(G248,'2022. tervsor'!C:D,2,0)," ")</f>
        <v>SZEMÉLYI JUTTATÁSOK</v>
      </c>
      <c r="I248" s="181">
        <f t="shared" si="119"/>
        <v>0</v>
      </c>
      <c r="J248" s="181">
        <f t="shared" si="120"/>
        <v>0</v>
      </c>
      <c r="K248" s="166">
        <f t="shared" si="126"/>
        <v>0</v>
      </c>
      <c r="L248" s="166">
        <f t="shared" si="121"/>
        <v>0</v>
      </c>
      <c r="M248" s="182"/>
      <c r="N248" s="166"/>
      <c r="O248" s="166"/>
      <c r="P248" s="166"/>
      <c r="Q248" s="166"/>
      <c r="R248" s="166"/>
      <c r="S248" s="166"/>
      <c r="T248" s="166"/>
      <c r="U248" s="166"/>
      <c r="V248" s="166"/>
      <c r="W248" s="166"/>
      <c r="X248" s="166"/>
      <c r="Y248" s="166"/>
      <c r="Z248" s="166"/>
      <c r="AA248" s="166"/>
      <c r="AB248" s="166"/>
      <c r="AC248" s="166"/>
      <c r="AD248" s="166"/>
      <c r="AE248" s="166"/>
      <c r="AF248" s="166"/>
      <c r="AG248" s="166"/>
      <c r="AH248" s="166"/>
      <c r="AI248" s="166"/>
      <c r="AJ248" s="166"/>
      <c r="AK248" s="166"/>
      <c r="AL248" s="166"/>
      <c r="AM248" s="166"/>
      <c r="AN248" s="166"/>
      <c r="AO248" s="166"/>
      <c r="AP248" s="166"/>
      <c r="AQ248" s="166"/>
      <c r="AR248" s="166"/>
      <c r="AS248" s="166"/>
      <c r="AT248" s="166"/>
      <c r="AU248" s="166"/>
      <c r="AV248" s="166"/>
      <c r="AW248" s="166"/>
      <c r="AX248" s="166"/>
      <c r="AY248" s="166"/>
      <c r="AZ248" s="186"/>
      <c r="BA248" s="186"/>
      <c r="BB248" s="186"/>
      <c r="BC248" s="186"/>
      <c r="BD248" s="186"/>
      <c r="BE248" s="186"/>
      <c r="BF248" s="186"/>
      <c r="BG248" s="186"/>
      <c r="BH248" s="186"/>
      <c r="BI248" s="183">
        <f t="shared" si="122"/>
        <v>0</v>
      </c>
      <c r="BJ248" s="183">
        <f t="shared" si="123"/>
        <v>0</v>
      </c>
      <c r="BK248" s="183">
        <f t="shared" si="124"/>
        <v>0</v>
      </c>
      <c r="BL248" s="183">
        <f t="shared" si="125"/>
        <v>0</v>
      </c>
    </row>
    <row r="249" spans="1:64" s="187" customFormat="1" ht="15.75" hidden="1" customHeight="1" outlineLevel="3" x14ac:dyDescent="0.3">
      <c r="A249" s="185"/>
      <c r="B249" s="185"/>
      <c r="C249" s="185"/>
      <c r="D249" s="185"/>
      <c r="E249" s="185" t="s">
        <v>2680</v>
      </c>
      <c r="F249" s="185" t="s">
        <v>83</v>
      </c>
      <c r="G249" s="185">
        <v>60</v>
      </c>
      <c r="H249" s="185" t="str">
        <f>IFERROR(VLOOKUP(G249,'2022. tervsor'!C:D,2,0)," ")</f>
        <v>SZOCHÓ (13%)</v>
      </c>
      <c r="I249" s="181">
        <f t="shared" si="119"/>
        <v>0</v>
      </c>
      <c r="J249" s="181">
        <f t="shared" ref="J249:J255" si="127">SUM(N249:AM249)</f>
        <v>0</v>
      </c>
      <c r="K249" s="166">
        <f t="shared" si="126"/>
        <v>0</v>
      </c>
      <c r="L249" s="166">
        <f t="shared" ref="L249:L255" si="128">SUM(N249:BH249)</f>
        <v>0</v>
      </c>
      <c r="M249" s="182"/>
      <c r="N249" s="166">
        <f>SUM(N203:N225,N228:N236,N238:N244)*0.13+N237*0.9*0.13-N252-N253</f>
        <v>0</v>
      </c>
      <c r="O249" s="166">
        <f>SUM(O203:O225,O228:O236,O238:O244)*0.13+O237*0.9*0.13-O252-O253</f>
        <v>0</v>
      </c>
      <c r="P249" s="166">
        <f t="shared" ref="P249:Z249" si="129">SUM(P203:P225,P228:P236,P238:P244)*0.13+P237*0.9*0.13-P252-P253</f>
        <v>0</v>
      </c>
      <c r="Q249" s="166">
        <f t="shared" si="129"/>
        <v>0</v>
      </c>
      <c r="R249" s="166">
        <f t="shared" si="129"/>
        <v>0</v>
      </c>
      <c r="S249" s="166">
        <f t="shared" si="129"/>
        <v>0</v>
      </c>
      <c r="T249" s="166">
        <f t="shared" si="129"/>
        <v>0</v>
      </c>
      <c r="U249" s="166">
        <f t="shared" si="129"/>
        <v>0</v>
      </c>
      <c r="V249" s="166">
        <f t="shared" si="129"/>
        <v>0</v>
      </c>
      <c r="W249" s="166">
        <f t="shared" si="129"/>
        <v>0</v>
      </c>
      <c r="X249" s="166">
        <f t="shared" si="129"/>
        <v>0</v>
      </c>
      <c r="Y249" s="166">
        <f t="shared" si="129"/>
        <v>0</v>
      </c>
      <c r="Z249" s="166">
        <f t="shared" si="129"/>
        <v>0</v>
      </c>
      <c r="AA249" s="166">
        <f t="shared" ref="AA249:AM249" si="130">SUM(AA203:AA225,AA228:AA236,AA238:AA244)*0.13+AA237*0.9*0.13-AA252-AA253</f>
        <v>0</v>
      </c>
      <c r="AB249" s="166">
        <f t="shared" si="130"/>
        <v>0</v>
      </c>
      <c r="AC249" s="166">
        <f t="shared" si="130"/>
        <v>0</v>
      </c>
      <c r="AD249" s="166">
        <f t="shared" si="130"/>
        <v>0</v>
      </c>
      <c r="AE249" s="166">
        <f t="shared" si="130"/>
        <v>0</v>
      </c>
      <c r="AF249" s="166">
        <f>SUM(AF203:AF225,AF228:AF236,AF238:AF244)*0.13+AF237*0.9*0.13-AF252-AF253</f>
        <v>0</v>
      </c>
      <c r="AG249" s="166">
        <f>SUM(AG203:AG225,AG228:AG236,AG238:AG244)*0.13+AG237*0.9*0.13-AG252-AG253</f>
        <v>0</v>
      </c>
      <c r="AH249" s="166">
        <f t="shared" si="130"/>
        <v>0</v>
      </c>
      <c r="AI249" s="166">
        <f t="shared" si="130"/>
        <v>0</v>
      </c>
      <c r="AJ249" s="166">
        <f t="shared" si="130"/>
        <v>0</v>
      </c>
      <c r="AK249" s="166">
        <f t="shared" si="130"/>
        <v>0</v>
      </c>
      <c r="AL249" s="166">
        <f t="shared" si="130"/>
        <v>0</v>
      </c>
      <c r="AM249" s="166">
        <f t="shared" si="130"/>
        <v>0</v>
      </c>
      <c r="AN249" s="166"/>
      <c r="AO249" s="166"/>
      <c r="AP249" s="166"/>
      <c r="AQ249" s="166"/>
      <c r="AR249" s="166"/>
      <c r="AS249" s="166"/>
      <c r="AT249" s="166"/>
      <c r="AU249" s="166"/>
      <c r="AV249" s="166"/>
      <c r="AW249" s="166"/>
      <c r="AX249" s="166"/>
      <c r="AY249" s="166"/>
      <c r="AZ249" s="186"/>
      <c r="BA249" s="186"/>
      <c r="BB249" s="186"/>
      <c r="BC249" s="186"/>
      <c r="BD249" s="186"/>
      <c r="BE249" s="186"/>
      <c r="BF249" s="186"/>
      <c r="BG249" s="186"/>
      <c r="BH249" s="186"/>
      <c r="BI249" s="183">
        <f t="shared" si="122"/>
        <v>0</v>
      </c>
      <c r="BJ249" s="183">
        <f t="shared" si="123"/>
        <v>0</v>
      </c>
      <c r="BK249" s="183">
        <f t="shared" si="124"/>
        <v>0</v>
      </c>
      <c r="BL249" s="183">
        <f t="shared" si="125"/>
        <v>0</v>
      </c>
    </row>
    <row r="250" spans="1:64" s="187" customFormat="1" ht="15.75" hidden="1" customHeight="1" outlineLevel="3" x14ac:dyDescent="0.3">
      <c r="A250" s="185"/>
      <c r="B250" s="185"/>
      <c r="C250" s="185"/>
      <c r="D250" s="185"/>
      <c r="E250" s="185" t="s">
        <v>2680</v>
      </c>
      <c r="F250" s="185" t="s">
        <v>83</v>
      </c>
      <c r="G250" s="185">
        <v>61</v>
      </c>
      <c r="H250" s="185" t="str">
        <f>IFERROR(VLOOKUP(G250,'2022. tervsor'!C:D,2,0)," ")</f>
        <v>15,5%-os szocho, manuálisan töltendő 2021 decemberre</v>
      </c>
      <c r="I250" s="181">
        <f t="shared" si="119"/>
        <v>0</v>
      </c>
      <c r="J250" s="181">
        <f t="shared" si="127"/>
        <v>0</v>
      </c>
      <c r="K250" s="166">
        <f t="shared" si="126"/>
        <v>0</v>
      </c>
      <c r="L250" s="166">
        <f t="shared" si="128"/>
        <v>0</v>
      </c>
      <c r="M250" s="182"/>
      <c r="N250" s="166"/>
      <c r="O250" s="166"/>
      <c r="P250" s="166"/>
      <c r="Q250" s="166"/>
      <c r="R250" s="166"/>
      <c r="S250" s="166"/>
      <c r="T250" s="166"/>
      <c r="U250" s="166"/>
      <c r="V250" s="166"/>
      <c r="W250" s="166"/>
      <c r="X250" s="166"/>
      <c r="Y250" s="166"/>
      <c r="Z250" s="166"/>
      <c r="AA250" s="166"/>
      <c r="AB250" s="166"/>
      <c r="AC250" s="166"/>
      <c r="AD250" s="166"/>
      <c r="AE250" s="166"/>
      <c r="AF250" s="166"/>
      <c r="AG250" s="166"/>
      <c r="AH250" s="166"/>
      <c r="AI250" s="166"/>
      <c r="AJ250" s="166"/>
      <c r="AK250" s="166"/>
      <c r="AL250" s="166"/>
      <c r="AM250" s="166"/>
      <c r="AN250" s="166"/>
      <c r="AO250" s="166"/>
      <c r="AP250" s="166"/>
      <c r="AQ250" s="166"/>
      <c r="AR250" s="166"/>
      <c r="AS250" s="166"/>
      <c r="AT250" s="166"/>
      <c r="AU250" s="166"/>
      <c r="AV250" s="166"/>
      <c r="AW250" s="166"/>
      <c r="AX250" s="166"/>
      <c r="AY250" s="166"/>
      <c r="AZ250" s="186"/>
      <c r="BA250" s="186"/>
      <c r="BB250" s="186"/>
      <c r="BC250" s="186"/>
      <c r="BD250" s="186"/>
      <c r="BE250" s="186"/>
      <c r="BF250" s="186"/>
      <c r="BG250" s="186"/>
      <c r="BH250" s="186"/>
      <c r="BI250" s="183">
        <f t="shared" si="122"/>
        <v>0</v>
      </c>
      <c r="BJ250" s="183">
        <f t="shared" si="123"/>
        <v>0</v>
      </c>
      <c r="BK250" s="183">
        <f t="shared" si="124"/>
        <v>0</v>
      </c>
      <c r="BL250" s="183">
        <f t="shared" si="125"/>
        <v>0</v>
      </c>
    </row>
    <row r="251" spans="1:64" s="187" customFormat="1" ht="15.75" hidden="1" customHeight="1" outlineLevel="3" x14ac:dyDescent="0.3">
      <c r="A251" s="185"/>
      <c r="B251" s="185"/>
      <c r="C251" s="185"/>
      <c r="D251" s="185"/>
      <c r="E251" s="185" t="s">
        <v>2680</v>
      </c>
      <c r="F251" s="185" t="s">
        <v>83</v>
      </c>
      <c r="G251" s="185">
        <v>62</v>
      </c>
      <c r="H251" s="185" t="str">
        <f>IFERROR(VLOOKUP(G251,'2022. tervsor'!C:D,2,0)," ")</f>
        <v>EKHO (13%)</v>
      </c>
      <c r="I251" s="181">
        <f t="shared" si="119"/>
        <v>0</v>
      </c>
      <c r="J251" s="181">
        <f t="shared" si="127"/>
        <v>0</v>
      </c>
      <c r="K251" s="166">
        <f t="shared" si="126"/>
        <v>0</v>
      </c>
      <c r="L251" s="166">
        <f t="shared" si="128"/>
        <v>0</v>
      </c>
      <c r="M251" s="182"/>
      <c r="N251" s="166"/>
      <c r="O251" s="166"/>
      <c r="P251" s="166"/>
      <c r="Q251" s="166"/>
      <c r="R251" s="166"/>
      <c r="S251" s="166"/>
      <c r="T251" s="166"/>
      <c r="U251" s="166"/>
      <c r="V251" s="166"/>
      <c r="W251" s="166"/>
      <c r="X251" s="166"/>
      <c r="Y251" s="166"/>
      <c r="Z251" s="166"/>
      <c r="AA251" s="166"/>
      <c r="AB251" s="166"/>
      <c r="AC251" s="166"/>
      <c r="AD251" s="166"/>
      <c r="AE251" s="166"/>
      <c r="AF251" s="166"/>
      <c r="AG251" s="166"/>
      <c r="AH251" s="166"/>
      <c r="AI251" s="166"/>
      <c r="AJ251" s="166"/>
      <c r="AK251" s="166"/>
      <c r="AL251" s="166"/>
      <c r="AM251" s="166"/>
      <c r="AN251" s="166"/>
      <c r="AO251" s="166"/>
      <c r="AP251" s="166"/>
      <c r="AQ251" s="166"/>
      <c r="AR251" s="166"/>
      <c r="AS251" s="166"/>
      <c r="AT251" s="166"/>
      <c r="AU251" s="166"/>
      <c r="AV251" s="166"/>
      <c r="AW251" s="166"/>
      <c r="AX251" s="166"/>
      <c r="AY251" s="166"/>
      <c r="AZ251" s="186"/>
      <c r="BA251" s="186"/>
      <c r="BB251" s="186"/>
      <c r="BC251" s="186"/>
      <c r="BD251" s="186"/>
      <c r="BE251" s="186"/>
      <c r="BF251" s="186"/>
      <c r="BG251" s="186"/>
      <c r="BH251" s="186"/>
      <c r="BI251" s="183">
        <f t="shared" si="122"/>
        <v>0</v>
      </c>
      <c r="BJ251" s="183">
        <f t="shared" si="123"/>
        <v>0</v>
      </c>
      <c r="BK251" s="183">
        <f t="shared" si="124"/>
        <v>0</v>
      </c>
      <c r="BL251" s="183">
        <f t="shared" si="125"/>
        <v>0</v>
      </c>
    </row>
    <row r="252" spans="1:64" s="187" customFormat="1" ht="15.75" hidden="1" customHeight="1" outlineLevel="3" x14ac:dyDescent="0.3">
      <c r="A252" s="185"/>
      <c r="B252" s="185"/>
      <c r="C252" s="185"/>
      <c r="D252" s="185"/>
      <c r="E252" s="185" t="s">
        <v>2680</v>
      </c>
      <c r="F252" s="185" t="s">
        <v>83</v>
      </c>
      <c r="G252" s="185">
        <v>63</v>
      </c>
      <c r="H252" s="185" t="str">
        <f>IFERROR(VLOOKUP(G252,'2022. tervsor'!C:D,2,0)," ")</f>
        <v>Kifizetői 13 %-os SZOCHO</v>
      </c>
      <c r="I252" s="181">
        <f t="shared" si="119"/>
        <v>0</v>
      </c>
      <c r="J252" s="181">
        <f t="shared" si="127"/>
        <v>0</v>
      </c>
      <c r="K252" s="166">
        <f t="shared" si="126"/>
        <v>0</v>
      </c>
      <c r="L252" s="166">
        <f t="shared" si="128"/>
        <v>0</v>
      </c>
      <c r="M252" s="182"/>
      <c r="N252" s="166">
        <f>+N245*1.4986*0.13</f>
        <v>0</v>
      </c>
      <c r="O252" s="166">
        <f>+O245*1.4986*0.13</f>
        <v>0</v>
      </c>
      <c r="P252" s="166">
        <f t="shared" ref="P252:Z252" si="131">+P245*1.4986*0.13</f>
        <v>0</v>
      </c>
      <c r="Q252" s="166">
        <f t="shared" si="131"/>
        <v>0</v>
      </c>
      <c r="R252" s="166">
        <f t="shared" si="131"/>
        <v>0</v>
      </c>
      <c r="S252" s="166">
        <f t="shared" si="131"/>
        <v>0</v>
      </c>
      <c r="T252" s="166">
        <f t="shared" si="131"/>
        <v>0</v>
      </c>
      <c r="U252" s="166">
        <f t="shared" si="131"/>
        <v>0</v>
      </c>
      <c r="V252" s="166">
        <f t="shared" si="131"/>
        <v>0</v>
      </c>
      <c r="W252" s="166">
        <f t="shared" si="131"/>
        <v>0</v>
      </c>
      <c r="X252" s="166">
        <f t="shared" si="131"/>
        <v>0</v>
      </c>
      <c r="Y252" s="166">
        <f t="shared" si="131"/>
        <v>0</v>
      </c>
      <c r="Z252" s="166">
        <f t="shared" si="131"/>
        <v>0</v>
      </c>
      <c r="AA252" s="166">
        <f t="shared" ref="AA252:AM252" si="132">+AA245*1.4986*0.13</f>
        <v>0</v>
      </c>
      <c r="AB252" s="166">
        <f t="shared" si="132"/>
        <v>0</v>
      </c>
      <c r="AC252" s="166">
        <f t="shared" si="132"/>
        <v>0</v>
      </c>
      <c r="AD252" s="166">
        <f t="shared" si="132"/>
        <v>0</v>
      </c>
      <c r="AE252" s="166">
        <f t="shared" si="132"/>
        <v>0</v>
      </c>
      <c r="AF252" s="166">
        <f>+AF245*1.4986*0.13</f>
        <v>0</v>
      </c>
      <c r="AG252" s="166">
        <f>+AG245*1.4986*0.13</f>
        <v>0</v>
      </c>
      <c r="AH252" s="166">
        <f t="shared" si="132"/>
        <v>0</v>
      </c>
      <c r="AI252" s="166">
        <f t="shared" si="132"/>
        <v>0</v>
      </c>
      <c r="AJ252" s="166">
        <f t="shared" si="132"/>
        <v>0</v>
      </c>
      <c r="AK252" s="166">
        <f t="shared" si="132"/>
        <v>0</v>
      </c>
      <c r="AL252" s="166">
        <f t="shared" si="132"/>
        <v>0</v>
      </c>
      <c r="AM252" s="166">
        <f t="shared" si="132"/>
        <v>0</v>
      </c>
      <c r="AN252" s="166"/>
      <c r="AO252" s="166"/>
      <c r="AP252" s="166"/>
      <c r="AQ252" s="166"/>
      <c r="AR252" s="166"/>
      <c r="AS252" s="166"/>
      <c r="AT252" s="166"/>
      <c r="AU252" s="166"/>
      <c r="AV252" s="166"/>
      <c r="AW252" s="166"/>
      <c r="AX252" s="166"/>
      <c r="AY252" s="166"/>
      <c r="AZ252" s="186"/>
      <c r="BA252" s="186"/>
      <c r="BB252" s="186"/>
      <c r="BC252" s="186"/>
      <c r="BD252" s="186"/>
      <c r="BE252" s="186"/>
      <c r="BF252" s="186"/>
      <c r="BG252" s="186"/>
      <c r="BH252" s="186"/>
      <c r="BI252" s="183">
        <f t="shared" si="122"/>
        <v>0</v>
      </c>
      <c r="BJ252" s="183">
        <f t="shared" si="123"/>
        <v>0</v>
      </c>
      <c r="BK252" s="183">
        <f t="shared" si="124"/>
        <v>0</v>
      </c>
      <c r="BL252" s="183">
        <f t="shared" si="125"/>
        <v>0</v>
      </c>
    </row>
    <row r="253" spans="1:64" s="187" customFormat="1" ht="15.75" hidden="1" customHeight="1" outlineLevel="3" x14ac:dyDescent="0.3">
      <c r="A253" s="185"/>
      <c r="B253" s="185"/>
      <c r="C253" s="185"/>
      <c r="D253" s="185"/>
      <c r="E253" s="185" t="s">
        <v>2680</v>
      </c>
      <c r="F253" s="185" t="s">
        <v>83</v>
      </c>
      <c r="G253" s="185">
        <v>64</v>
      </c>
      <c r="H253" s="185" t="str">
        <f>IFERROR(VLOOKUP(G253,'2022. tervsor'!C:D,2,0)," ")</f>
        <v>Kifizető által fizetett SZJA</v>
      </c>
      <c r="I253" s="181">
        <f t="shared" si="119"/>
        <v>0</v>
      </c>
      <c r="J253" s="181">
        <f t="shared" si="127"/>
        <v>0</v>
      </c>
      <c r="K253" s="166">
        <f t="shared" si="126"/>
        <v>0</v>
      </c>
      <c r="L253" s="166">
        <f t="shared" si="128"/>
        <v>0</v>
      </c>
      <c r="M253" s="182"/>
      <c r="N253" s="166">
        <f>+N245*1.4986*0.13</f>
        <v>0</v>
      </c>
      <c r="O253" s="166">
        <f>+O245*1.4986*0.13</f>
        <v>0</v>
      </c>
      <c r="P253" s="166">
        <f t="shared" ref="P253:Z253" si="133">+P245*1.4986*0.13</f>
        <v>0</v>
      </c>
      <c r="Q253" s="166">
        <f t="shared" si="133"/>
        <v>0</v>
      </c>
      <c r="R253" s="166">
        <f t="shared" si="133"/>
        <v>0</v>
      </c>
      <c r="S253" s="166">
        <f t="shared" si="133"/>
        <v>0</v>
      </c>
      <c r="T253" s="166">
        <f t="shared" si="133"/>
        <v>0</v>
      </c>
      <c r="U253" s="166">
        <f t="shared" si="133"/>
        <v>0</v>
      </c>
      <c r="V253" s="166">
        <f t="shared" si="133"/>
        <v>0</v>
      </c>
      <c r="W253" s="166">
        <f t="shared" si="133"/>
        <v>0</v>
      </c>
      <c r="X253" s="166">
        <f t="shared" si="133"/>
        <v>0</v>
      </c>
      <c r="Y253" s="166">
        <f t="shared" si="133"/>
        <v>0</v>
      </c>
      <c r="Z253" s="166">
        <f t="shared" si="133"/>
        <v>0</v>
      </c>
      <c r="AA253" s="166">
        <f t="shared" ref="AA253:AM253" si="134">+AA245*1.4986*0.13</f>
        <v>0</v>
      </c>
      <c r="AB253" s="166">
        <f t="shared" si="134"/>
        <v>0</v>
      </c>
      <c r="AC253" s="166">
        <f t="shared" si="134"/>
        <v>0</v>
      </c>
      <c r="AD253" s="166">
        <f t="shared" si="134"/>
        <v>0</v>
      </c>
      <c r="AE253" s="166">
        <f t="shared" si="134"/>
        <v>0</v>
      </c>
      <c r="AF253" s="166">
        <f>+AF245*1.4986*0.13</f>
        <v>0</v>
      </c>
      <c r="AG253" s="166">
        <f>+AG245*1.4986*0.13</f>
        <v>0</v>
      </c>
      <c r="AH253" s="166">
        <f t="shared" si="134"/>
        <v>0</v>
      </c>
      <c r="AI253" s="166">
        <f t="shared" si="134"/>
        <v>0</v>
      </c>
      <c r="AJ253" s="166">
        <f t="shared" si="134"/>
        <v>0</v>
      </c>
      <c r="AK253" s="166">
        <f t="shared" si="134"/>
        <v>0</v>
      </c>
      <c r="AL253" s="166">
        <f t="shared" si="134"/>
        <v>0</v>
      </c>
      <c r="AM253" s="166">
        <f t="shared" si="134"/>
        <v>0</v>
      </c>
      <c r="AN253" s="166"/>
      <c r="AO253" s="166"/>
      <c r="AP253" s="166"/>
      <c r="AQ253" s="166"/>
      <c r="AR253" s="166"/>
      <c r="AS253" s="166"/>
      <c r="AT253" s="166"/>
      <c r="AU253" s="166"/>
      <c r="AV253" s="166"/>
      <c r="AW253" s="166"/>
      <c r="AX253" s="166"/>
      <c r="AY253" s="166"/>
      <c r="AZ253" s="186"/>
      <c r="BA253" s="186"/>
      <c r="BB253" s="186"/>
      <c r="BC253" s="186"/>
      <c r="BD253" s="186"/>
      <c r="BE253" s="186"/>
      <c r="BF253" s="186"/>
      <c r="BG253" s="186"/>
      <c r="BH253" s="186"/>
      <c r="BI253" s="183">
        <f t="shared" si="122"/>
        <v>0</v>
      </c>
      <c r="BJ253" s="183">
        <f t="shared" si="123"/>
        <v>0</v>
      </c>
      <c r="BK253" s="183">
        <f t="shared" si="124"/>
        <v>0</v>
      </c>
      <c r="BL253" s="183">
        <f t="shared" si="125"/>
        <v>0</v>
      </c>
    </row>
    <row r="254" spans="1:64" s="187" customFormat="1" ht="15.75" hidden="1" customHeight="1" outlineLevel="3" x14ac:dyDescent="0.3">
      <c r="A254" s="185"/>
      <c r="B254" s="185"/>
      <c r="C254" s="185"/>
      <c r="D254" s="185"/>
      <c r="E254" s="185" t="s">
        <v>2680</v>
      </c>
      <c r="F254" s="185" t="s">
        <v>83</v>
      </c>
      <c r="G254" s="185">
        <v>65</v>
      </c>
      <c r="H254" s="185" t="str">
        <f>IFERROR(VLOOKUP(G254,'2022. tervsor'!C:D,2,0)," ")</f>
        <v>Rehabilitációs hozzájárulás</v>
      </c>
      <c r="I254" s="181">
        <f t="shared" si="119"/>
        <v>0</v>
      </c>
      <c r="J254" s="181">
        <f t="shared" si="127"/>
        <v>0</v>
      </c>
      <c r="K254" s="166">
        <f t="shared" si="126"/>
        <v>0</v>
      </c>
      <c r="L254" s="166">
        <f t="shared" si="128"/>
        <v>0</v>
      </c>
      <c r="M254" s="182"/>
      <c r="N254" s="166"/>
      <c r="O254" s="166"/>
      <c r="P254" s="166"/>
      <c r="Q254" s="166"/>
      <c r="R254" s="166"/>
      <c r="S254" s="166"/>
      <c r="T254" s="166"/>
      <c r="U254" s="166"/>
      <c r="V254" s="166"/>
      <c r="W254" s="166"/>
      <c r="X254" s="166"/>
      <c r="Y254" s="166"/>
      <c r="Z254" s="166"/>
      <c r="AA254" s="166"/>
      <c r="AB254" s="166"/>
      <c r="AC254" s="166"/>
      <c r="AD254" s="166"/>
      <c r="AE254" s="166"/>
      <c r="AF254" s="166"/>
      <c r="AG254" s="166"/>
      <c r="AH254" s="166"/>
      <c r="AI254" s="166"/>
      <c r="AJ254" s="166"/>
      <c r="AK254" s="166"/>
      <c r="AL254" s="166"/>
      <c r="AM254" s="166"/>
      <c r="AN254" s="166"/>
      <c r="AO254" s="166"/>
      <c r="AP254" s="166"/>
      <c r="AQ254" s="166"/>
      <c r="AR254" s="166"/>
      <c r="AS254" s="166"/>
      <c r="AT254" s="166"/>
      <c r="AU254" s="166"/>
      <c r="AV254" s="166"/>
      <c r="AW254" s="166"/>
      <c r="AX254" s="166"/>
      <c r="AY254" s="166"/>
      <c r="AZ254" s="186"/>
      <c r="BA254" s="186"/>
      <c r="BB254" s="186"/>
      <c r="BC254" s="186"/>
      <c r="BD254" s="186"/>
      <c r="BE254" s="186"/>
      <c r="BF254" s="186"/>
      <c r="BG254" s="186"/>
      <c r="BH254" s="186"/>
      <c r="BI254" s="183">
        <f t="shared" si="122"/>
        <v>0</v>
      </c>
      <c r="BJ254" s="183">
        <f t="shared" si="123"/>
        <v>0</v>
      </c>
      <c r="BK254" s="183">
        <f t="shared" si="124"/>
        <v>0</v>
      </c>
      <c r="BL254" s="183">
        <f t="shared" si="125"/>
        <v>0</v>
      </c>
    </row>
    <row r="255" spans="1:64" s="187" customFormat="1" ht="15.75" hidden="1" customHeight="1" outlineLevel="3" x14ac:dyDescent="0.3">
      <c r="A255" s="185"/>
      <c r="B255" s="185"/>
      <c r="C255" s="185"/>
      <c r="D255" s="185"/>
      <c r="E255" s="185" t="s">
        <v>2680</v>
      </c>
      <c r="F255" s="185" t="s">
        <v>83</v>
      </c>
      <c r="G255" s="185">
        <v>66</v>
      </c>
      <c r="H255" s="185" t="str">
        <f>IFERROR(VLOOKUP(G255,'2022. tervsor'!C:D,2,0)," ")</f>
        <v>MUNKAADÓKAT T.JÁRULÉKOK ÉS SZOCIÁLIS HOZZÁJÁRULÁSI ADÓ</v>
      </c>
      <c r="I255" s="181">
        <f t="shared" si="119"/>
        <v>0</v>
      </c>
      <c r="J255" s="181">
        <f t="shared" si="127"/>
        <v>0</v>
      </c>
      <c r="K255" s="166">
        <f t="shared" si="126"/>
        <v>0</v>
      </c>
      <c r="L255" s="166">
        <f t="shared" si="128"/>
        <v>0</v>
      </c>
      <c r="M255" s="182"/>
      <c r="N255" s="166"/>
      <c r="O255" s="166"/>
      <c r="P255" s="166"/>
      <c r="Q255" s="166"/>
      <c r="R255" s="166"/>
      <c r="S255" s="166"/>
      <c r="T255" s="166"/>
      <c r="U255" s="166"/>
      <c r="V255" s="166"/>
      <c r="W255" s="166"/>
      <c r="X255" s="166"/>
      <c r="Y255" s="166"/>
      <c r="Z255" s="166"/>
      <c r="AA255" s="166"/>
      <c r="AB255" s="166"/>
      <c r="AC255" s="166"/>
      <c r="AD255" s="166"/>
      <c r="AE255" s="166"/>
      <c r="AF255" s="166"/>
      <c r="AG255" s="166"/>
      <c r="AH255" s="166"/>
      <c r="AI255" s="166"/>
      <c r="AJ255" s="166"/>
      <c r="AK255" s="166"/>
      <c r="AL255" s="166"/>
      <c r="AM255" s="166"/>
      <c r="AN255" s="166"/>
      <c r="AO255" s="166"/>
      <c r="AP255" s="166"/>
      <c r="AQ255" s="166"/>
      <c r="AR255" s="166"/>
      <c r="AS255" s="166"/>
      <c r="AT255" s="166"/>
      <c r="AU255" s="166"/>
      <c r="AV255" s="166"/>
      <c r="AW255" s="166"/>
      <c r="AX255" s="166"/>
      <c r="AY255" s="166"/>
      <c r="AZ255" s="186"/>
      <c r="BA255" s="186"/>
      <c r="BB255" s="186"/>
      <c r="BC255" s="186"/>
      <c r="BD255" s="186"/>
      <c r="BE255" s="186"/>
      <c r="BF255" s="186"/>
      <c r="BG255" s="186"/>
      <c r="BH255" s="186"/>
      <c r="BI255" s="183">
        <f t="shared" si="122"/>
        <v>0</v>
      </c>
      <c r="BJ255" s="183">
        <f t="shared" si="123"/>
        <v>0</v>
      </c>
      <c r="BK255" s="183">
        <f t="shared" si="124"/>
        <v>0</v>
      </c>
      <c r="BL255" s="183">
        <f t="shared" si="125"/>
        <v>0</v>
      </c>
    </row>
    <row r="256" spans="1:64" collapsed="1" x14ac:dyDescent="0.3"/>
    <row r="257" spans="1:64" s="184" customFormat="1" hidden="1" outlineLevel="2" x14ac:dyDescent="0.3">
      <c r="A257" s="180" t="s">
        <v>59</v>
      </c>
      <c r="B257" s="180" t="s">
        <v>2815</v>
      </c>
      <c r="C257" s="180"/>
      <c r="D257" s="180"/>
      <c r="E257" s="180" t="s">
        <v>2776</v>
      </c>
      <c r="F257" s="180" t="s">
        <v>2790</v>
      </c>
      <c r="G257" s="180"/>
      <c r="H257" s="180" t="s">
        <v>2707</v>
      </c>
      <c r="I257" s="181">
        <f>IFERROR(VLOOKUP($A257,'Kiadások 2a SZH 2022'!$A:$M,MATCH($I$1,'Kiadások 2a SZH 2022'!$A$1:$M$1,0),0), )</f>
        <v>116492759</v>
      </c>
      <c r="J257" s="181">
        <f t="shared" ref="J257" si="135">SUM(N257:AM257)</f>
        <v>116492758.55791421</v>
      </c>
      <c r="K257" s="166">
        <f>+I257-J257</f>
        <v>0.44208578765392303</v>
      </c>
      <c r="L257" s="166">
        <f t="shared" ref="L257" si="136">SUM(N257:BH257)</f>
        <v>116492758.55791421</v>
      </c>
      <c r="M257" s="182"/>
      <c r="N257" s="181"/>
      <c r="O257" s="181"/>
      <c r="P257" s="181"/>
      <c r="Q257" s="181"/>
      <c r="R257" s="181"/>
      <c r="S257" s="181"/>
      <c r="T257" s="181"/>
      <c r="U257" s="181"/>
      <c r="V257" s="181"/>
      <c r="W257" s="181"/>
      <c r="X257" s="181"/>
      <c r="Y257" s="181"/>
      <c r="Z257" s="181"/>
      <c r="AA257" s="181"/>
      <c r="AB257" s="181"/>
      <c r="AC257" s="181"/>
      <c r="AD257" s="181"/>
      <c r="AE257" s="181"/>
      <c r="AF257" s="181"/>
      <c r="AG257" s="181"/>
      <c r="AH257" s="181"/>
      <c r="AI257" s="181"/>
      <c r="AJ257" s="181"/>
      <c r="AK257" s="181"/>
      <c r="AL257" s="181"/>
      <c r="AM257" s="181">
        <f>SUM(AM258:AM259)</f>
        <v>116492758.55791421</v>
      </c>
      <c r="AN257" s="181"/>
      <c r="AO257" s="181"/>
      <c r="AP257" s="181"/>
      <c r="AQ257" s="181"/>
      <c r="AR257" s="181"/>
      <c r="AS257" s="181"/>
      <c r="AT257" s="181"/>
      <c r="AU257" s="181"/>
      <c r="AV257" s="181"/>
      <c r="AW257" s="181"/>
      <c r="AX257" s="181"/>
      <c r="AY257" s="181"/>
      <c r="AZ257" s="183"/>
      <c r="BA257" s="183"/>
      <c r="BB257" s="183"/>
      <c r="BC257" s="183"/>
      <c r="BD257" s="183"/>
      <c r="BE257" s="183"/>
      <c r="BF257" s="183"/>
      <c r="BG257" s="183"/>
      <c r="BH257" s="183"/>
      <c r="BI257" s="183">
        <f t="shared" ref="BI257" si="137">+SUM(N257:AA257)</f>
        <v>0</v>
      </c>
      <c r="BJ257" s="183">
        <f t="shared" ref="BJ257" si="138">+AB257</f>
        <v>0</v>
      </c>
      <c r="BK257" s="183">
        <f t="shared" ref="BK257" si="139">+SUM(AC257:AM257)</f>
        <v>116492758.55791421</v>
      </c>
      <c r="BL257" s="183">
        <f t="shared" ref="BL257" si="140">+SUM(AN257:BH257)</f>
        <v>0</v>
      </c>
    </row>
    <row r="258" spans="1:64" s="187" customFormat="1" ht="15.75" hidden="1" customHeight="1" outlineLevel="3" x14ac:dyDescent="0.3">
      <c r="A258" s="185"/>
      <c r="B258" s="180" t="s">
        <v>2815</v>
      </c>
      <c r="C258" s="180" t="s">
        <v>83</v>
      </c>
      <c r="D258" s="180" t="s">
        <v>2946</v>
      </c>
      <c r="E258" s="185" t="s">
        <v>2716</v>
      </c>
      <c r="F258" s="185" t="s">
        <v>86</v>
      </c>
      <c r="G258" s="185"/>
      <c r="H258" s="221" t="s">
        <v>2757</v>
      </c>
      <c r="I258" s="181">
        <f>VLOOKUP($I$1,'7.'!$A:$O,13,0)</f>
        <v>-1456693</v>
      </c>
      <c r="J258" s="181">
        <f t="shared" ref="J258:J321" si="141">SUM(N258:AM258)</f>
        <v>-1456693</v>
      </c>
      <c r="K258" s="166">
        <f>+I258-J258</f>
        <v>0</v>
      </c>
      <c r="L258" s="166">
        <f t="shared" ref="L258:L321" si="142">SUM(N258:BH258)</f>
        <v>-1456693</v>
      </c>
      <c r="M258" s="190"/>
      <c r="N258" s="166"/>
      <c r="O258" s="166"/>
      <c r="P258" s="166"/>
      <c r="Q258" s="166"/>
      <c r="R258" s="166"/>
      <c r="S258" s="166"/>
      <c r="T258" s="166"/>
      <c r="U258" s="166"/>
      <c r="V258" s="166"/>
      <c r="W258" s="166"/>
      <c r="X258" s="166"/>
      <c r="Y258" s="166"/>
      <c r="Z258" s="166"/>
      <c r="AA258" s="166"/>
      <c r="AB258" s="166"/>
      <c r="AC258" s="166"/>
      <c r="AD258" s="166"/>
      <c r="AE258" s="166"/>
      <c r="AF258" s="166"/>
      <c r="AG258" s="166"/>
      <c r="AH258" s="166"/>
      <c r="AI258" s="166"/>
      <c r="AJ258" s="166"/>
      <c r="AK258" s="166"/>
      <c r="AL258" s="166"/>
      <c r="AM258" s="166">
        <f>+I258</f>
        <v>-1456693</v>
      </c>
      <c r="AN258" s="166"/>
      <c r="AO258" s="166"/>
      <c r="AP258" s="166"/>
      <c r="AQ258" s="166"/>
      <c r="AR258" s="166"/>
      <c r="AS258" s="166"/>
      <c r="AT258" s="166"/>
      <c r="AU258" s="166"/>
      <c r="AV258" s="166"/>
      <c r="AW258" s="166"/>
      <c r="AX258" s="166"/>
      <c r="AY258" s="166"/>
      <c r="AZ258" s="186"/>
      <c r="BA258" s="186"/>
      <c r="BB258" s="186"/>
      <c r="BC258" s="186"/>
      <c r="BD258" s="186"/>
      <c r="BE258" s="186"/>
      <c r="BF258" s="186"/>
      <c r="BG258" s="186"/>
      <c r="BH258" s="186"/>
      <c r="BI258" s="183">
        <f t="shared" ref="BI258:BI321" si="143">+SUM(N258:AA258)</f>
        <v>0</v>
      </c>
      <c r="BJ258" s="183">
        <f t="shared" ref="BJ258:BJ321" si="144">+AB258</f>
        <v>0</v>
      </c>
      <c r="BK258" s="183">
        <f t="shared" ref="BK258:BK321" si="145">+SUM(AC258:AM258)</f>
        <v>-1456693</v>
      </c>
      <c r="BL258" s="183">
        <f t="shared" ref="BL258:BL321" si="146">+SUM(AN258:BH258)</f>
        <v>0</v>
      </c>
    </row>
    <row r="259" spans="1:64" s="187" customFormat="1" ht="15.6" hidden="1" customHeight="1" outlineLevel="3" x14ac:dyDescent="0.3">
      <c r="A259" s="185"/>
      <c r="B259" s="185"/>
      <c r="C259" s="185"/>
      <c r="D259" s="185"/>
      <c r="E259" s="180" t="s">
        <v>2801</v>
      </c>
      <c r="F259" s="185"/>
      <c r="G259" s="180"/>
      <c r="H259" s="185" t="s">
        <v>2707</v>
      </c>
      <c r="I259" s="181">
        <f>SUM(I260:I261)</f>
        <v>117949451.55791421</v>
      </c>
      <c r="J259" s="181">
        <f t="shared" si="141"/>
        <v>117949451.55791421</v>
      </c>
      <c r="K259" s="166">
        <f>+I259-J259</f>
        <v>0</v>
      </c>
      <c r="L259" s="166">
        <f t="shared" si="142"/>
        <v>117949451.55791421</v>
      </c>
      <c r="M259" s="190"/>
      <c r="N259" s="166"/>
      <c r="O259" s="166"/>
      <c r="P259" s="166"/>
      <c r="Q259" s="166"/>
      <c r="R259" s="166"/>
      <c r="S259" s="166"/>
      <c r="T259" s="166"/>
      <c r="U259" s="166"/>
      <c r="V259" s="166"/>
      <c r="W259" s="166"/>
      <c r="X259" s="166"/>
      <c r="Y259" s="166"/>
      <c r="Z259" s="166"/>
      <c r="AA259" s="166"/>
      <c r="AB259" s="166"/>
      <c r="AC259" s="166"/>
      <c r="AD259" s="166"/>
      <c r="AE259" s="166"/>
      <c r="AF259" s="166"/>
      <c r="AG259" s="166"/>
      <c r="AH259" s="166"/>
      <c r="AI259" s="166"/>
      <c r="AJ259" s="166"/>
      <c r="AK259" s="166"/>
      <c r="AL259" s="166"/>
      <c r="AM259" s="181">
        <f>SUM(AM260:AM261)</f>
        <v>117949451.55791421</v>
      </c>
      <c r="AN259" s="166"/>
      <c r="AO259" s="166"/>
      <c r="AP259" s="166"/>
      <c r="AQ259" s="166"/>
      <c r="AR259" s="166"/>
      <c r="AS259" s="166"/>
      <c r="AT259" s="166"/>
      <c r="AU259" s="166"/>
      <c r="AV259" s="166"/>
      <c r="AW259" s="166"/>
      <c r="AX259" s="166"/>
      <c r="AY259" s="166"/>
      <c r="AZ259" s="186"/>
      <c r="BA259" s="186"/>
      <c r="BB259" s="186"/>
      <c r="BC259" s="186"/>
      <c r="BD259" s="186"/>
      <c r="BE259" s="186"/>
      <c r="BF259" s="186"/>
      <c r="BG259" s="186"/>
      <c r="BH259" s="186"/>
      <c r="BI259" s="183">
        <f t="shared" si="143"/>
        <v>0</v>
      </c>
      <c r="BJ259" s="183">
        <f t="shared" si="144"/>
        <v>0</v>
      </c>
      <c r="BK259" s="183">
        <f t="shared" si="145"/>
        <v>117949451.55791421</v>
      </c>
      <c r="BL259" s="183">
        <f t="shared" si="146"/>
        <v>0</v>
      </c>
    </row>
    <row r="260" spans="1:64" s="187" customFormat="1" ht="15.75" hidden="1" customHeight="1" outlineLevel="3" x14ac:dyDescent="0.3">
      <c r="A260" s="185"/>
      <c r="B260" s="180" t="s">
        <v>2816</v>
      </c>
      <c r="C260" s="180" t="s">
        <v>83</v>
      </c>
      <c r="D260" s="180" t="s">
        <v>2947</v>
      </c>
      <c r="E260" s="185" t="s">
        <v>2803</v>
      </c>
      <c r="F260" s="185" t="s">
        <v>83</v>
      </c>
      <c r="G260" s="180"/>
      <c r="H260" s="221" t="s">
        <v>2712</v>
      </c>
      <c r="I260" s="181">
        <f>VLOOKUP($I$1,'7.'!A:F,6,0)</f>
        <v>8180485</v>
      </c>
      <c r="J260" s="181">
        <f t="shared" si="141"/>
        <v>8180485</v>
      </c>
      <c r="K260" s="166">
        <f>+I260-J260</f>
        <v>0</v>
      </c>
      <c r="L260" s="166">
        <f t="shared" si="142"/>
        <v>8180485</v>
      </c>
      <c r="M260" s="190"/>
      <c r="N260" s="166"/>
      <c r="O260" s="166"/>
      <c r="P260" s="166"/>
      <c r="Q260" s="166"/>
      <c r="R260" s="166"/>
      <c r="S260" s="166"/>
      <c r="T260" s="166"/>
      <c r="U260" s="166"/>
      <c r="V260" s="166"/>
      <c r="W260" s="166"/>
      <c r="X260" s="166"/>
      <c r="Y260" s="166"/>
      <c r="Z260" s="166"/>
      <c r="AA260" s="166"/>
      <c r="AB260" s="166"/>
      <c r="AC260" s="166"/>
      <c r="AD260" s="166"/>
      <c r="AE260" s="166"/>
      <c r="AF260" s="166"/>
      <c r="AG260" s="166"/>
      <c r="AH260" s="166"/>
      <c r="AI260" s="166"/>
      <c r="AJ260" s="166"/>
      <c r="AK260" s="166"/>
      <c r="AL260" s="166"/>
      <c r="AM260" s="166">
        <f>+I260</f>
        <v>8180485</v>
      </c>
      <c r="AN260" s="166"/>
      <c r="AO260" s="166"/>
      <c r="AP260" s="166"/>
      <c r="AQ260" s="166"/>
      <c r="AR260" s="166"/>
      <c r="AS260" s="166"/>
      <c r="AT260" s="166"/>
      <c r="AU260" s="166"/>
      <c r="AV260" s="166"/>
      <c r="AW260" s="166"/>
      <c r="AX260" s="166"/>
      <c r="AY260" s="166"/>
      <c r="AZ260" s="186"/>
      <c r="BA260" s="186"/>
      <c r="BB260" s="186"/>
      <c r="BC260" s="186"/>
      <c r="BD260" s="186"/>
      <c r="BE260" s="186"/>
      <c r="BF260" s="186"/>
      <c r="BG260" s="186"/>
      <c r="BH260" s="186"/>
      <c r="BI260" s="183">
        <f t="shared" si="143"/>
        <v>0</v>
      </c>
      <c r="BJ260" s="183">
        <f t="shared" si="144"/>
        <v>0</v>
      </c>
      <c r="BK260" s="183">
        <f t="shared" si="145"/>
        <v>8180485</v>
      </c>
      <c r="BL260" s="183">
        <f t="shared" si="146"/>
        <v>0</v>
      </c>
    </row>
    <row r="261" spans="1:64" s="187" customFormat="1" ht="15.75" hidden="1" customHeight="1" outlineLevel="3" x14ac:dyDescent="0.3">
      <c r="A261" s="185"/>
      <c r="B261" s="180" t="s">
        <v>2815</v>
      </c>
      <c r="C261" s="180" t="s">
        <v>83</v>
      </c>
      <c r="D261" s="180" t="s">
        <v>2946</v>
      </c>
      <c r="E261" s="185" t="s">
        <v>2802</v>
      </c>
      <c r="F261" s="185" t="s">
        <v>83</v>
      </c>
      <c r="G261" s="180"/>
      <c r="H261" s="221" t="s">
        <v>2712</v>
      </c>
      <c r="I261" s="181">
        <f>VLOOKUP(I1,'7.'!A:G,5,0)+VLOOKUP(I1,'7.'!A:G,7,0)</f>
        <v>109768966.55791421</v>
      </c>
      <c r="J261" s="181">
        <f t="shared" si="141"/>
        <v>109768966.55791421</v>
      </c>
      <c r="K261" s="166">
        <f>+I261-J261</f>
        <v>0</v>
      </c>
      <c r="L261" s="166">
        <f t="shared" si="142"/>
        <v>109768966.55791421</v>
      </c>
      <c r="M261" s="190"/>
      <c r="N261" s="166"/>
      <c r="O261" s="166"/>
      <c r="P261" s="166"/>
      <c r="Q261" s="166"/>
      <c r="R261" s="166"/>
      <c r="S261" s="166"/>
      <c r="T261" s="166"/>
      <c r="U261" s="166"/>
      <c r="V261" s="166"/>
      <c r="W261" s="166"/>
      <c r="X261" s="166"/>
      <c r="Y261" s="166"/>
      <c r="Z261" s="166"/>
      <c r="AA261" s="166"/>
      <c r="AB261" s="166"/>
      <c r="AC261" s="166"/>
      <c r="AD261" s="166"/>
      <c r="AE261" s="166"/>
      <c r="AF261" s="166"/>
      <c r="AG261" s="166"/>
      <c r="AH261" s="166"/>
      <c r="AI261" s="166"/>
      <c r="AJ261" s="166"/>
      <c r="AK261" s="166"/>
      <c r="AL261" s="166"/>
      <c r="AM261" s="166">
        <f>+I261</f>
        <v>109768966.55791421</v>
      </c>
      <c r="AN261" s="166"/>
      <c r="AO261" s="166"/>
      <c r="AP261" s="166"/>
      <c r="AQ261" s="166"/>
      <c r="AR261" s="166"/>
      <c r="AS261" s="166"/>
      <c r="AT261" s="166"/>
      <c r="AU261" s="166"/>
      <c r="AV261" s="166"/>
      <c r="AW261" s="166"/>
      <c r="AX261" s="166"/>
      <c r="AY261" s="166"/>
      <c r="AZ261" s="186"/>
      <c r="BA261" s="186"/>
      <c r="BB261" s="186"/>
      <c r="BC261" s="186"/>
      <c r="BD261" s="186"/>
      <c r="BE261" s="186"/>
      <c r="BF261" s="186"/>
      <c r="BG261" s="186"/>
      <c r="BH261" s="186"/>
      <c r="BI261" s="183">
        <f t="shared" si="143"/>
        <v>0</v>
      </c>
      <c r="BJ261" s="183">
        <f t="shared" si="144"/>
        <v>0</v>
      </c>
      <c r="BK261" s="183">
        <f t="shared" si="145"/>
        <v>109768966.55791421</v>
      </c>
      <c r="BL261" s="183">
        <f t="shared" si="146"/>
        <v>0</v>
      </c>
    </row>
    <row r="262" spans="1:64" s="184" customFormat="1" hidden="1" outlineLevel="2" x14ac:dyDescent="0.3">
      <c r="A262" s="180" t="s">
        <v>61</v>
      </c>
      <c r="B262" s="180" t="s">
        <v>2817</v>
      </c>
      <c r="C262" s="180"/>
      <c r="D262" s="180"/>
      <c r="E262" s="350" t="s">
        <v>3436</v>
      </c>
      <c r="F262" s="180" t="s">
        <v>2790</v>
      </c>
      <c r="G262" s="185"/>
      <c r="H262" s="180" t="s">
        <v>2707</v>
      </c>
      <c r="I262" s="181">
        <f>IFERROR(VLOOKUP($A262,'Kiadások 2a SZH 2022'!$A:$M,MATCH($I$1,'Kiadások 2a SZH 2022'!$A$1:$M$1,0),0), )</f>
        <v>0</v>
      </c>
      <c r="J262" s="181">
        <f t="shared" si="141"/>
        <v>0</v>
      </c>
      <c r="K262" s="166">
        <f t="shared" ref="K262:K294" si="147">+I262-J262</f>
        <v>0</v>
      </c>
      <c r="L262" s="166">
        <f t="shared" si="142"/>
        <v>0</v>
      </c>
      <c r="M262" s="182"/>
      <c r="N262" s="181"/>
      <c r="O262" s="181"/>
      <c r="P262" s="181"/>
      <c r="Q262" s="181"/>
      <c r="R262" s="181"/>
      <c r="S262" s="181"/>
      <c r="T262" s="181"/>
      <c r="U262" s="181"/>
      <c r="V262" s="181"/>
      <c r="W262" s="181"/>
      <c r="X262" s="181"/>
      <c r="Y262" s="181"/>
      <c r="Z262" s="181"/>
      <c r="AA262" s="181"/>
      <c r="AB262" s="181"/>
      <c r="AC262" s="181"/>
      <c r="AD262" s="181"/>
      <c r="AE262" s="181"/>
      <c r="AF262" s="181"/>
      <c r="AG262" s="181"/>
      <c r="AH262" s="181"/>
      <c r="AI262" s="181">
        <f>SUM(AI264:AI264)</f>
        <v>0</v>
      </c>
      <c r="AJ262" s="181"/>
      <c r="AK262" s="181"/>
      <c r="AL262" s="181"/>
      <c r="AM262" s="181"/>
      <c r="AN262" s="181"/>
      <c r="AO262" s="181"/>
      <c r="AP262" s="181"/>
      <c r="AQ262" s="181"/>
      <c r="AR262" s="181"/>
      <c r="AS262" s="181"/>
      <c r="AT262" s="181"/>
      <c r="AU262" s="181"/>
      <c r="AV262" s="181"/>
      <c r="AW262" s="181"/>
      <c r="AX262" s="181"/>
      <c r="AY262" s="181"/>
      <c r="AZ262" s="183"/>
      <c r="BA262" s="183"/>
      <c r="BB262" s="183"/>
      <c r="BC262" s="183"/>
      <c r="BD262" s="183"/>
      <c r="BE262" s="183"/>
      <c r="BF262" s="183"/>
      <c r="BG262" s="183"/>
      <c r="BH262" s="183"/>
      <c r="BI262" s="183">
        <f t="shared" si="143"/>
        <v>0</v>
      </c>
      <c r="BJ262" s="183">
        <f t="shared" si="144"/>
        <v>0</v>
      </c>
      <c r="BK262" s="183">
        <f t="shared" si="145"/>
        <v>0</v>
      </c>
      <c r="BL262" s="183">
        <f t="shared" si="146"/>
        <v>0</v>
      </c>
    </row>
    <row r="263" spans="1:64" s="187" customFormat="1" ht="15.75" hidden="1" customHeight="1" outlineLevel="3" x14ac:dyDescent="0.3">
      <c r="A263" s="185"/>
      <c r="B263" s="180" t="s">
        <v>2817</v>
      </c>
      <c r="C263" s="180" t="s">
        <v>83</v>
      </c>
      <c r="D263" s="180" t="s">
        <v>2948</v>
      </c>
      <c r="E263" s="185" t="s">
        <v>2714</v>
      </c>
      <c r="F263" s="185" t="s">
        <v>86</v>
      </c>
      <c r="G263" s="185"/>
      <c r="H263" s="200" t="s">
        <v>2910</v>
      </c>
      <c r="I263" s="181">
        <f>IFERROR(VLOOKUP($I$1,'12.'!B:G,6,0),0)</f>
        <v>0</v>
      </c>
      <c r="J263" s="181">
        <f t="shared" si="141"/>
        <v>0</v>
      </c>
      <c r="K263" s="166">
        <f t="shared" si="147"/>
        <v>0</v>
      </c>
      <c r="L263" s="166">
        <f t="shared" si="142"/>
        <v>0</v>
      </c>
      <c r="M263" s="182"/>
      <c r="N263" s="166"/>
      <c r="O263" s="166"/>
      <c r="P263" s="166"/>
      <c r="Q263" s="166"/>
      <c r="R263" s="166"/>
      <c r="S263" s="166"/>
      <c r="T263" s="166"/>
      <c r="U263" s="166"/>
      <c r="V263" s="166"/>
      <c r="W263" s="166"/>
      <c r="X263" s="166"/>
      <c r="Y263" s="166"/>
      <c r="Z263" s="166"/>
      <c r="AA263" s="166"/>
      <c r="AB263" s="166"/>
      <c r="AC263" s="166"/>
      <c r="AD263" s="166"/>
      <c r="AE263" s="166"/>
      <c r="AF263" s="166"/>
      <c r="AG263" s="166"/>
      <c r="AH263" s="166"/>
      <c r="AI263" s="166">
        <f>+I263</f>
        <v>0</v>
      </c>
      <c r="AJ263" s="166"/>
      <c r="AK263" s="166"/>
      <c r="AL263" s="166"/>
      <c r="AM263" s="166"/>
      <c r="AN263" s="166"/>
      <c r="AO263" s="166"/>
      <c r="AP263" s="166"/>
      <c r="AQ263" s="166"/>
      <c r="AR263" s="166"/>
      <c r="AS263" s="166"/>
      <c r="AT263" s="166"/>
      <c r="AU263" s="166"/>
      <c r="AV263" s="166"/>
      <c r="AW263" s="166"/>
      <c r="AX263" s="166"/>
      <c r="AY263" s="166"/>
      <c r="AZ263" s="186"/>
      <c r="BA263" s="186"/>
      <c r="BB263" s="186"/>
      <c r="BC263" s="186"/>
      <c r="BD263" s="186"/>
      <c r="BE263" s="186"/>
      <c r="BF263" s="186"/>
      <c r="BG263" s="186"/>
      <c r="BH263" s="186"/>
      <c r="BI263" s="183">
        <f t="shared" si="143"/>
        <v>0</v>
      </c>
      <c r="BJ263" s="183">
        <f t="shared" si="144"/>
        <v>0</v>
      </c>
      <c r="BK263" s="183">
        <f t="shared" si="145"/>
        <v>0</v>
      </c>
      <c r="BL263" s="183">
        <f t="shared" si="146"/>
        <v>0</v>
      </c>
    </row>
    <row r="264" spans="1:64" s="187" customFormat="1" ht="15.75" hidden="1" customHeight="1" outlineLevel="3" x14ac:dyDescent="0.3">
      <c r="A264" s="185"/>
      <c r="B264" s="180"/>
      <c r="C264" s="180"/>
      <c r="D264" s="180"/>
      <c r="E264" s="180" t="s">
        <v>2798</v>
      </c>
      <c r="F264" s="185"/>
      <c r="G264" s="185"/>
      <c r="H264" s="185" t="s">
        <v>2707</v>
      </c>
      <c r="I264" s="181">
        <f>SUM(I265:I266)</f>
        <v>0</v>
      </c>
      <c r="J264" s="181">
        <f t="shared" si="141"/>
        <v>0</v>
      </c>
      <c r="K264" s="166">
        <f t="shared" si="147"/>
        <v>0</v>
      </c>
      <c r="L264" s="166">
        <f t="shared" si="142"/>
        <v>0</v>
      </c>
      <c r="M264" s="182"/>
      <c r="N264" s="166"/>
      <c r="O264" s="166"/>
      <c r="P264" s="166"/>
      <c r="Q264" s="166"/>
      <c r="R264" s="166"/>
      <c r="S264" s="166"/>
      <c r="T264" s="166"/>
      <c r="U264" s="166"/>
      <c r="V264" s="166"/>
      <c r="W264" s="166"/>
      <c r="X264" s="166"/>
      <c r="Y264" s="166"/>
      <c r="Z264" s="166"/>
      <c r="AA264" s="166"/>
      <c r="AB264" s="166"/>
      <c r="AC264" s="166"/>
      <c r="AD264" s="166"/>
      <c r="AE264" s="166"/>
      <c r="AF264" s="166"/>
      <c r="AG264" s="166"/>
      <c r="AH264" s="166"/>
      <c r="AI264" s="166">
        <f>SUM(AI265:AI266)</f>
        <v>0</v>
      </c>
      <c r="AJ264" s="166"/>
      <c r="AK264" s="166"/>
      <c r="AL264" s="166"/>
      <c r="AM264" s="166"/>
      <c r="AN264" s="166"/>
      <c r="AO264" s="166"/>
      <c r="AP264" s="166"/>
      <c r="AQ264" s="166"/>
      <c r="AR264" s="166"/>
      <c r="AS264" s="166"/>
      <c r="AT264" s="166"/>
      <c r="AU264" s="166"/>
      <c r="AV264" s="166"/>
      <c r="AW264" s="166"/>
      <c r="AX264" s="166"/>
      <c r="AY264" s="166"/>
      <c r="AZ264" s="186"/>
      <c r="BA264" s="186"/>
      <c r="BB264" s="186"/>
      <c r="BC264" s="186"/>
      <c r="BD264" s="186"/>
      <c r="BE264" s="186"/>
      <c r="BF264" s="186"/>
      <c r="BG264" s="186"/>
      <c r="BH264" s="186"/>
      <c r="BI264" s="183">
        <f t="shared" si="143"/>
        <v>0</v>
      </c>
      <c r="BJ264" s="183">
        <f t="shared" si="144"/>
        <v>0</v>
      </c>
      <c r="BK264" s="183">
        <f t="shared" si="145"/>
        <v>0</v>
      </c>
      <c r="BL264" s="183">
        <f t="shared" si="146"/>
        <v>0</v>
      </c>
    </row>
    <row r="265" spans="1:64" s="187" customFormat="1" ht="15.75" hidden="1" customHeight="1" outlineLevel="3" x14ac:dyDescent="0.3">
      <c r="A265" s="185"/>
      <c r="B265" s="180" t="s">
        <v>2818</v>
      </c>
      <c r="C265" s="180" t="s">
        <v>83</v>
      </c>
      <c r="D265" s="180" t="s">
        <v>2949</v>
      </c>
      <c r="E265" s="185" t="s">
        <v>2799</v>
      </c>
      <c r="F265" s="185" t="s">
        <v>83</v>
      </c>
      <c r="G265" s="185"/>
      <c r="H265" s="222" t="s">
        <v>2713</v>
      </c>
      <c r="I265" s="181">
        <f>IFERROR(VLOOKUP($I$1,'12.'!$B:$E,2,0),0)-I263</f>
        <v>0</v>
      </c>
      <c r="J265" s="181">
        <f t="shared" si="141"/>
        <v>0</v>
      </c>
      <c r="K265" s="166">
        <f>+I265-J265</f>
        <v>0</v>
      </c>
      <c r="L265" s="166">
        <f t="shared" si="142"/>
        <v>0</v>
      </c>
      <c r="M265" s="182"/>
      <c r="N265" s="166"/>
      <c r="O265" s="166"/>
      <c r="P265" s="166"/>
      <c r="Q265" s="166"/>
      <c r="R265" s="166"/>
      <c r="S265" s="166"/>
      <c r="T265" s="166"/>
      <c r="U265" s="166"/>
      <c r="V265" s="166"/>
      <c r="W265" s="166"/>
      <c r="X265" s="166"/>
      <c r="Y265" s="166"/>
      <c r="Z265" s="166"/>
      <c r="AA265" s="166"/>
      <c r="AB265" s="166"/>
      <c r="AC265" s="166"/>
      <c r="AD265" s="166"/>
      <c r="AE265" s="166"/>
      <c r="AF265" s="166"/>
      <c r="AG265" s="166"/>
      <c r="AH265" s="166"/>
      <c r="AI265" s="166">
        <f>+I265</f>
        <v>0</v>
      </c>
      <c r="AJ265" s="166"/>
      <c r="AK265" s="166"/>
      <c r="AL265" s="166"/>
      <c r="AM265" s="166"/>
      <c r="AN265" s="166"/>
      <c r="AO265" s="166"/>
      <c r="AP265" s="166"/>
      <c r="AQ265" s="166"/>
      <c r="AR265" s="166"/>
      <c r="AS265" s="166"/>
      <c r="AT265" s="166"/>
      <c r="AU265" s="166"/>
      <c r="AV265" s="166"/>
      <c r="AW265" s="166"/>
      <c r="AX265" s="166"/>
      <c r="AY265" s="166"/>
      <c r="AZ265" s="186"/>
      <c r="BA265" s="186"/>
      <c r="BB265" s="186"/>
      <c r="BC265" s="186"/>
      <c r="BD265" s="186"/>
      <c r="BE265" s="186"/>
      <c r="BF265" s="186"/>
      <c r="BG265" s="186"/>
      <c r="BH265" s="186"/>
      <c r="BI265" s="183">
        <f t="shared" si="143"/>
        <v>0</v>
      </c>
      <c r="BJ265" s="183">
        <f t="shared" si="144"/>
        <v>0</v>
      </c>
      <c r="BK265" s="183">
        <f t="shared" si="145"/>
        <v>0</v>
      </c>
      <c r="BL265" s="183">
        <f t="shared" si="146"/>
        <v>0</v>
      </c>
    </row>
    <row r="266" spans="1:64" s="187" customFormat="1" ht="15.75" hidden="1" customHeight="1" outlineLevel="3" x14ac:dyDescent="0.3">
      <c r="A266" s="185"/>
      <c r="B266" s="180" t="s">
        <v>2817</v>
      </c>
      <c r="C266" s="180" t="s">
        <v>83</v>
      </c>
      <c r="D266" s="180" t="s">
        <v>2948</v>
      </c>
      <c r="E266" s="185" t="s">
        <v>2800</v>
      </c>
      <c r="F266" s="185" t="s">
        <v>83</v>
      </c>
      <c r="G266" s="185"/>
      <c r="H266" s="222" t="s">
        <v>2713</v>
      </c>
      <c r="I266" s="181">
        <f>IFERROR(VLOOKUP($I$1,'12.'!$B:$E,3,0),0)</f>
        <v>0</v>
      </c>
      <c r="J266" s="181">
        <f t="shared" si="141"/>
        <v>0</v>
      </c>
      <c r="K266" s="166">
        <f>+I266-J266</f>
        <v>0</v>
      </c>
      <c r="L266" s="166">
        <f t="shared" si="142"/>
        <v>0</v>
      </c>
      <c r="M266" s="182"/>
      <c r="N266" s="166"/>
      <c r="O266" s="166"/>
      <c r="P266" s="166"/>
      <c r="Q266" s="166"/>
      <c r="R266" s="166"/>
      <c r="S266" s="166"/>
      <c r="T266" s="166"/>
      <c r="U266" s="166"/>
      <c r="V266" s="166"/>
      <c r="W266" s="166"/>
      <c r="X266" s="166"/>
      <c r="Y266" s="166"/>
      <c r="Z266" s="166"/>
      <c r="AA266" s="166"/>
      <c r="AB266" s="166"/>
      <c r="AC266" s="166"/>
      <c r="AD266" s="166"/>
      <c r="AE266" s="166"/>
      <c r="AF266" s="166"/>
      <c r="AG266" s="166"/>
      <c r="AH266" s="166"/>
      <c r="AI266" s="166">
        <f>+I266</f>
        <v>0</v>
      </c>
      <c r="AJ266" s="166"/>
      <c r="AK266" s="166"/>
      <c r="AL266" s="166"/>
      <c r="AM266" s="166"/>
      <c r="AN266" s="166"/>
      <c r="AO266" s="166"/>
      <c r="AP266" s="166"/>
      <c r="AQ266" s="166"/>
      <c r="AR266" s="166"/>
      <c r="AS266" s="166"/>
      <c r="AT266" s="166"/>
      <c r="AU266" s="166"/>
      <c r="AV266" s="166"/>
      <c r="AW266" s="166"/>
      <c r="AX266" s="166"/>
      <c r="AY266" s="166"/>
      <c r="AZ266" s="186"/>
      <c r="BA266" s="186"/>
      <c r="BB266" s="186"/>
      <c r="BC266" s="186"/>
      <c r="BD266" s="186"/>
      <c r="BE266" s="186"/>
      <c r="BF266" s="186"/>
      <c r="BG266" s="186"/>
      <c r="BH266" s="186"/>
      <c r="BI266" s="183">
        <f t="shared" si="143"/>
        <v>0</v>
      </c>
      <c r="BJ266" s="183">
        <f t="shared" si="144"/>
        <v>0</v>
      </c>
      <c r="BK266" s="183">
        <f t="shared" si="145"/>
        <v>0</v>
      </c>
      <c r="BL266" s="183">
        <f t="shared" si="146"/>
        <v>0</v>
      </c>
    </row>
    <row r="267" spans="1:64" s="184" customFormat="1" hidden="1" outlineLevel="2" x14ac:dyDescent="0.3">
      <c r="A267" s="180" t="s">
        <v>62</v>
      </c>
      <c r="B267" s="350" t="s">
        <v>3437</v>
      </c>
      <c r="C267" s="180" t="s">
        <v>83</v>
      </c>
      <c r="D267" s="180" t="s">
        <v>2950</v>
      </c>
      <c r="E267" s="350" t="s">
        <v>3437</v>
      </c>
      <c r="F267" s="180" t="s">
        <v>2790</v>
      </c>
      <c r="G267" s="185"/>
      <c r="H267" s="180" t="s">
        <v>2707</v>
      </c>
      <c r="I267" s="181">
        <f>IFERROR(VLOOKUP($A267,'Kiadások 2a SZH 2022'!$A:$M,MATCH($I$1,'Kiadások 2a SZH 2022'!$A$1:$M$1,0),0), )</f>
        <v>109881</v>
      </c>
      <c r="J267" s="181">
        <f t="shared" si="141"/>
        <v>109880.99999999999</v>
      </c>
      <c r="K267" s="166">
        <f t="shared" si="147"/>
        <v>0</v>
      </c>
      <c r="L267" s="166">
        <f t="shared" si="142"/>
        <v>109880.99999999999</v>
      </c>
      <c r="M267" s="182"/>
      <c r="N267" s="181">
        <f>SUM(N268:N273)</f>
        <v>29690.564255498342</v>
      </c>
      <c r="O267" s="181">
        <f>SUM(O268:O273)</f>
        <v>6859.386047891584</v>
      </c>
      <c r="P267" s="181">
        <f t="shared" ref="P267:Z267" si="148">SUM(P268:P273)</f>
        <v>1661.5812644756234</v>
      </c>
      <c r="Q267" s="181">
        <f t="shared" si="148"/>
        <v>7858.6484007426825</v>
      </c>
      <c r="R267" s="181">
        <f t="shared" si="148"/>
        <v>2986.2190877246712</v>
      </c>
      <c r="S267" s="181">
        <f t="shared" si="148"/>
        <v>5855.1810165955249</v>
      </c>
      <c r="T267" s="181">
        <f t="shared" si="148"/>
        <v>4373.6394435618167</v>
      </c>
      <c r="U267" s="181">
        <f t="shared" si="148"/>
        <v>7792.6058036483364</v>
      </c>
      <c r="V267" s="181">
        <f t="shared" si="148"/>
        <v>12542.835279367569</v>
      </c>
      <c r="W267" s="181">
        <f t="shared" si="148"/>
        <v>7488.6836609689335</v>
      </c>
      <c r="X267" s="181">
        <f t="shared" si="148"/>
        <v>2593.1184062936663</v>
      </c>
      <c r="Y267" s="181">
        <f t="shared" si="148"/>
        <v>16923.100015313055</v>
      </c>
      <c r="Z267" s="181">
        <f t="shared" si="148"/>
        <v>3255.4373179181898</v>
      </c>
      <c r="AA267" s="181">
        <f t="shared" ref="AA267:AM267" si="149">SUM(AA268:AA273)</f>
        <v>0</v>
      </c>
      <c r="AB267" s="181">
        <f t="shared" si="149"/>
        <v>0</v>
      </c>
      <c r="AC267" s="181">
        <f t="shared" si="149"/>
        <v>0</v>
      </c>
      <c r="AD267" s="181">
        <f t="shared" si="149"/>
        <v>0</v>
      </c>
      <c r="AE267" s="181">
        <f t="shared" si="149"/>
        <v>0</v>
      </c>
      <c r="AF267" s="181">
        <f>SUM(AF268:AF273)</f>
        <v>0</v>
      </c>
      <c r="AG267" s="181">
        <f>SUM(AG268:AG273)</f>
        <v>0</v>
      </c>
      <c r="AH267" s="181">
        <f t="shared" si="149"/>
        <v>0</v>
      </c>
      <c r="AI267" s="181"/>
      <c r="AJ267" s="181">
        <f t="shared" si="149"/>
        <v>0</v>
      </c>
      <c r="AK267" s="181">
        <f t="shared" si="149"/>
        <v>0</v>
      </c>
      <c r="AL267" s="181">
        <f t="shared" si="149"/>
        <v>0</v>
      </c>
      <c r="AM267" s="181">
        <f t="shared" si="149"/>
        <v>0</v>
      </c>
      <c r="AN267" s="181"/>
      <c r="AO267" s="181"/>
      <c r="AP267" s="181"/>
      <c r="AQ267" s="181"/>
      <c r="AR267" s="181"/>
      <c r="AS267" s="181"/>
      <c r="AT267" s="181"/>
      <c r="AU267" s="181"/>
      <c r="AV267" s="181"/>
      <c r="AW267" s="181"/>
      <c r="AX267" s="181"/>
      <c r="AY267" s="181"/>
      <c r="AZ267" s="183"/>
      <c r="BA267" s="183"/>
      <c r="BB267" s="183"/>
      <c r="BC267" s="183"/>
      <c r="BD267" s="183"/>
      <c r="BE267" s="183"/>
      <c r="BF267" s="183"/>
      <c r="BG267" s="183"/>
      <c r="BH267" s="183"/>
      <c r="BI267" s="183">
        <f t="shared" si="143"/>
        <v>109880.99999999999</v>
      </c>
      <c r="BJ267" s="183">
        <f t="shared" si="144"/>
        <v>0</v>
      </c>
      <c r="BK267" s="183">
        <f t="shared" si="145"/>
        <v>0</v>
      </c>
      <c r="BL267" s="183">
        <f t="shared" si="146"/>
        <v>0</v>
      </c>
    </row>
    <row r="268" spans="1:64" s="184" customFormat="1" ht="15.75" hidden="1" customHeight="1" outlineLevel="3" x14ac:dyDescent="0.3">
      <c r="A268" s="180"/>
      <c r="B268" s="180"/>
      <c r="C268" s="180"/>
      <c r="D268" s="180"/>
      <c r="E268" s="180" t="s">
        <v>2745</v>
      </c>
      <c r="F268" s="180" t="s">
        <v>86</v>
      </c>
      <c r="G268" s="185"/>
      <c r="H268" s="180" t="s">
        <v>2679</v>
      </c>
      <c r="I268" s="196">
        <f>I267</f>
        <v>109881</v>
      </c>
      <c r="J268" s="181">
        <f t="shared" si="141"/>
        <v>109880.99999999999</v>
      </c>
      <c r="K268" s="166">
        <f t="shared" si="147"/>
        <v>0</v>
      </c>
      <c r="L268" s="166">
        <f t="shared" si="142"/>
        <v>109880.99999999999</v>
      </c>
      <c r="M268" s="193">
        <v>7</v>
      </c>
      <c r="N268" s="166">
        <f>IFERROR(VLOOKUP($M268,'1 b felosztások'!$A:$U,'1 b felosztások'!C$2,0)*$I268,0)</f>
        <v>29690.564255498342</v>
      </c>
      <c r="O268" s="166">
        <f>IFERROR(VLOOKUP($M268,'1 b felosztások'!$A:$U,'1 b felosztások'!D$2,0)*$I268,0)</f>
        <v>6859.386047891584</v>
      </c>
      <c r="P268" s="166">
        <f>IFERROR(VLOOKUP($M268,'1 b felosztások'!$A:$U,'1 b felosztások'!E$2,0)*$I268,0)</f>
        <v>1661.5812644756234</v>
      </c>
      <c r="Q268" s="166">
        <f>IFERROR(VLOOKUP($M268,'1 b felosztások'!$A:$U,'1 b felosztások'!F$2,0)*$I268,0)</f>
        <v>7858.6484007426825</v>
      </c>
      <c r="R268" s="166">
        <f>IFERROR(VLOOKUP($M268,'1 b felosztások'!$A:$U,'1 b felosztások'!G$2,0)*$I268,0)</f>
        <v>2986.2190877246712</v>
      </c>
      <c r="S268" s="166">
        <f>IFERROR(VLOOKUP($M268,'1 b felosztások'!$A:$U,'1 b felosztások'!H$2,0)*$I268,0)</f>
        <v>5855.1810165955249</v>
      </c>
      <c r="T268" s="166">
        <f>IFERROR(VLOOKUP($M268,'1 b felosztások'!$A:$U,'1 b felosztások'!I$2,0)*$I268,0)</f>
        <v>4373.6394435618167</v>
      </c>
      <c r="U268" s="166">
        <f>IFERROR(VLOOKUP($M268,'1 b felosztások'!$A:$U,'1 b felosztások'!J$2,0)*$I268,0)</f>
        <v>7792.6058036483364</v>
      </c>
      <c r="V268" s="166">
        <f>IFERROR(VLOOKUP($M268,'1 b felosztások'!$A:$U,'1 b felosztások'!K$2,0)*$I268,0)</f>
        <v>12542.835279367569</v>
      </c>
      <c r="W268" s="166">
        <f>IFERROR(VLOOKUP($M268,'1 b felosztások'!$A:$U,'1 b felosztások'!L$2,0)*$I268,0)</f>
        <v>7488.6836609689335</v>
      </c>
      <c r="X268" s="166">
        <f>IFERROR(VLOOKUP($M268,'1 b felosztások'!$A:$U,'1 b felosztások'!M$2,0)*$I268,0)</f>
        <v>2593.1184062936663</v>
      </c>
      <c r="Y268" s="166">
        <f>IFERROR(VLOOKUP($M268,'1 b felosztások'!$A:$U,'1 b felosztások'!N$2,0)*$I268,0)</f>
        <v>16923.100015313055</v>
      </c>
      <c r="Z268" s="166">
        <f>IFERROR(VLOOKUP($M268,'1 b felosztások'!$A:$U,'1 b felosztások'!O$2,0)*$I268,0)</f>
        <v>3255.4373179181898</v>
      </c>
      <c r="AA268" s="166">
        <f>IFERROR(VLOOKUP($M268,'1 b felosztások'!$A:$U,'1 b felosztások'!P$2,0)*$I268,0)</f>
        <v>0</v>
      </c>
      <c r="AB268" s="166">
        <f>IFERROR(VLOOKUP($M268,'1 b felosztások'!$A:$U,'1 b felosztások'!Q$2,0)*$I268,0)</f>
        <v>0</v>
      </c>
      <c r="AC268" s="181"/>
      <c r="AD268" s="181"/>
      <c r="AE268" s="181"/>
      <c r="AF268" s="181"/>
      <c r="AG268" s="181"/>
      <c r="AH268" s="181"/>
      <c r="AI268" s="181"/>
      <c r="AJ268" s="181"/>
      <c r="AK268" s="181"/>
      <c r="AL268" s="181"/>
      <c r="AM268" s="181"/>
      <c r="AN268" s="181"/>
      <c r="AO268" s="181"/>
      <c r="AP268" s="181"/>
      <c r="AQ268" s="181"/>
      <c r="AR268" s="181"/>
      <c r="AS268" s="181"/>
      <c r="AT268" s="181"/>
      <c r="AU268" s="181"/>
      <c r="AV268" s="181"/>
      <c r="AW268" s="181"/>
      <c r="AX268" s="181"/>
      <c r="AY268" s="181"/>
      <c r="AZ268" s="183"/>
      <c r="BA268" s="183"/>
      <c r="BB268" s="183"/>
      <c r="BC268" s="183"/>
      <c r="BD268" s="183"/>
      <c r="BE268" s="183"/>
      <c r="BF268" s="183"/>
      <c r="BG268" s="183"/>
      <c r="BH268" s="183"/>
      <c r="BI268" s="183">
        <f t="shared" si="143"/>
        <v>109880.99999999999</v>
      </c>
      <c r="BJ268" s="183">
        <f t="shared" si="144"/>
        <v>0</v>
      </c>
      <c r="BK268" s="183">
        <f t="shared" si="145"/>
        <v>0</v>
      </c>
      <c r="BL268" s="183">
        <f t="shared" si="146"/>
        <v>0</v>
      </c>
    </row>
    <row r="269" spans="1:64" s="184" customFormat="1" ht="15.75" hidden="1" customHeight="1" outlineLevel="3" x14ac:dyDescent="0.3">
      <c r="A269" s="180"/>
      <c r="B269" s="180"/>
      <c r="C269" s="180"/>
      <c r="D269" s="180"/>
      <c r="E269" s="180" t="s">
        <v>2746</v>
      </c>
      <c r="F269" s="180" t="s">
        <v>83</v>
      </c>
      <c r="G269" s="185"/>
      <c r="H269" s="180" t="s">
        <v>2710</v>
      </c>
      <c r="I269" s="196"/>
      <c r="J269" s="181">
        <f t="shared" si="141"/>
        <v>0</v>
      </c>
      <c r="K269" s="166">
        <f t="shared" si="147"/>
        <v>0</v>
      </c>
      <c r="L269" s="166">
        <f t="shared" si="142"/>
        <v>0</v>
      </c>
      <c r="M269" s="193"/>
      <c r="N269" s="166">
        <f t="array" ref="N269">IFERROR(VLOOKUP($M269,'1 b felosztások'!$A:$E,COLUMN('1 b felosztások'!C:C),0)*$I269,0)</f>
        <v>0</v>
      </c>
      <c r="O269" s="166">
        <f t="array" ref="O269">IFERROR(VLOOKUP($M269,'1 b felosztások'!$A:$E,COLUMN('1 b felosztások'!D:D),0)*$I269,0)</f>
        <v>0</v>
      </c>
      <c r="P269" s="166">
        <f t="array" ref="P269">IFERROR(VLOOKUP($M269,'1 b felosztások'!$A:$E,COLUMN('1 b felosztások'!E:E),0)*$I269,0)</f>
        <v>0</v>
      </c>
      <c r="Q269" s="166">
        <f t="array" ref="Q269">IFERROR(VLOOKUP($M269,'1 b felosztások'!$A:$E,COLUMN('1 b felosztások'!F:F),0)*$I269,0)</f>
        <v>0</v>
      </c>
      <c r="R269" s="166">
        <f t="array" ref="R269">IFERROR(VLOOKUP($M269,'1 b felosztások'!$A:$E,COLUMN('1 b felosztások'!G:G),0)*$I269,0)</f>
        <v>0</v>
      </c>
      <c r="S269" s="166">
        <f t="array" ref="S269">IFERROR(VLOOKUP($M269,'1 b felosztások'!$A:$E,COLUMN('1 b felosztások'!H:H),0)*$I269,0)</f>
        <v>0</v>
      </c>
      <c r="T269" s="166">
        <f t="array" ref="T269">IFERROR(VLOOKUP($M269,'1 b felosztások'!$A:$E,COLUMN('1 b felosztások'!I:I),0)*$I269,0)</f>
        <v>0</v>
      </c>
      <c r="U269" s="166">
        <f t="array" ref="U269">IFERROR(VLOOKUP($M269,'1 b felosztások'!$A:$E,COLUMN('1 b felosztások'!J:J),0)*$I269,0)</f>
        <v>0</v>
      </c>
      <c r="V269" s="166">
        <f t="array" ref="V269">IFERROR(VLOOKUP($M269,'1 b felosztások'!$A:$E,COLUMN('1 b felosztások'!K:K),0)*$I269,0)</f>
        <v>0</v>
      </c>
      <c r="W269" s="166">
        <f t="array" ref="W269">IFERROR(VLOOKUP($M269,'1 b felosztások'!$A:$E,COLUMN('1 b felosztások'!L:L),0)*$I269,0)</f>
        <v>0</v>
      </c>
      <c r="X269" s="166">
        <f t="array" ref="X269">IFERROR(VLOOKUP($M269,'1 b felosztások'!$A:$E,COLUMN('1 b felosztások'!M:M),0)*$I269,0)</f>
        <v>0</v>
      </c>
      <c r="Y269" s="166">
        <f t="array" ref="Y269">IFERROR(VLOOKUP($M269,'1 b felosztások'!$A:$E,COLUMN('1 b felosztások'!N:N),0)*$I269,0)</f>
        <v>0</v>
      </c>
      <c r="Z269" s="166">
        <f t="array" ref="Z269">IFERROR(VLOOKUP($M269,'1 b felosztások'!$A:$E,COLUMN('1 b felosztások'!C:C),0)*$I269,0)</f>
        <v>0</v>
      </c>
      <c r="AA269" s="166">
        <f t="array" ref="AA269">IFERROR(VLOOKUP($M269,'1 b felosztások'!$A:$E,COLUMN('1 b felosztások'!D:D),0)*$I269,0)</f>
        <v>0</v>
      </c>
      <c r="AB269" s="166">
        <f t="array" ref="AB269">IFERROR(VLOOKUP($M269,'1 b felosztások'!$A:$E,COLUMN('1 b felosztások'!E:E),0)*$I269,0)</f>
        <v>0</v>
      </c>
      <c r="AC269" s="181"/>
      <c r="AD269" s="181"/>
      <c r="AE269" s="181"/>
      <c r="AF269" s="181"/>
      <c r="AG269" s="181"/>
      <c r="AH269" s="181"/>
      <c r="AI269" s="181"/>
      <c r="AJ269" s="181"/>
      <c r="AK269" s="181"/>
      <c r="AL269" s="181"/>
      <c r="AM269" s="181"/>
      <c r="AN269" s="181"/>
      <c r="AO269" s="181"/>
      <c r="AP269" s="181"/>
      <c r="AQ269" s="181"/>
      <c r="AR269" s="181"/>
      <c r="AS269" s="181"/>
      <c r="AT269" s="181"/>
      <c r="AU269" s="181"/>
      <c r="AV269" s="181"/>
      <c r="AW269" s="181"/>
      <c r="AX269" s="181"/>
      <c r="AY269" s="181"/>
      <c r="AZ269" s="183"/>
      <c r="BA269" s="183"/>
      <c r="BB269" s="183"/>
      <c r="BC269" s="183"/>
      <c r="BD269" s="183"/>
      <c r="BE269" s="183"/>
      <c r="BF269" s="183"/>
      <c r="BG269" s="183"/>
      <c r="BH269" s="183"/>
      <c r="BI269" s="183">
        <f t="shared" si="143"/>
        <v>0</v>
      </c>
      <c r="BJ269" s="183">
        <f t="shared" si="144"/>
        <v>0</v>
      </c>
      <c r="BK269" s="183">
        <f t="shared" si="145"/>
        <v>0</v>
      </c>
      <c r="BL269" s="183">
        <f t="shared" si="146"/>
        <v>0</v>
      </c>
    </row>
    <row r="270" spans="1:64" s="187" customFormat="1" ht="15.75" hidden="1" customHeight="1" outlineLevel="3" x14ac:dyDescent="0.3">
      <c r="A270" s="185"/>
      <c r="B270" s="185"/>
      <c r="C270" s="185"/>
      <c r="D270" s="185"/>
      <c r="E270" s="185" t="s">
        <v>2746</v>
      </c>
      <c r="F270" s="185" t="s">
        <v>83</v>
      </c>
      <c r="G270" s="204">
        <v>63</v>
      </c>
      <c r="H270" s="185" t="str">
        <f>IFERROR(VLOOKUP(G270,'2022. tervsor'!C:D,2,0)," ")</f>
        <v>Kifizetői 13 %-os SZOCHO</v>
      </c>
      <c r="I270" s="181"/>
      <c r="J270" s="181">
        <f t="shared" si="141"/>
        <v>0</v>
      </c>
      <c r="K270" s="166">
        <f t="shared" si="147"/>
        <v>0</v>
      </c>
      <c r="L270" s="166">
        <f t="shared" si="142"/>
        <v>0</v>
      </c>
      <c r="M270" s="182"/>
      <c r="N270" s="166"/>
      <c r="O270" s="166"/>
      <c r="P270" s="166"/>
      <c r="Q270" s="166"/>
      <c r="R270" s="166"/>
      <c r="S270" s="166"/>
      <c r="T270" s="166"/>
      <c r="U270" s="166"/>
      <c r="V270" s="166"/>
      <c r="W270" s="166"/>
      <c r="X270" s="166"/>
      <c r="Y270" s="166"/>
      <c r="Z270" s="166"/>
      <c r="AA270" s="166"/>
      <c r="AB270" s="166"/>
      <c r="AC270" s="166"/>
      <c r="AD270" s="166"/>
      <c r="AE270" s="166"/>
      <c r="AF270" s="166"/>
      <c r="AG270" s="166"/>
      <c r="AH270" s="166"/>
      <c r="AI270" s="166"/>
      <c r="AJ270" s="166"/>
      <c r="AK270" s="166"/>
      <c r="AL270" s="166"/>
      <c r="AM270" s="166"/>
      <c r="AN270" s="166"/>
      <c r="AO270" s="166"/>
      <c r="AP270" s="166"/>
      <c r="AQ270" s="166"/>
      <c r="AR270" s="166"/>
      <c r="AS270" s="166"/>
      <c r="AT270" s="166"/>
      <c r="AU270" s="166"/>
      <c r="AV270" s="166"/>
      <c r="AW270" s="166"/>
      <c r="AX270" s="166"/>
      <c r="AY270" s="166"/>
      <c r="AZ270" s="186"/>
      <c r="BA270" s="186"/>
      <c r="BB270" s="186"/>
      <c r="BC270" s="186"/>
      <c r="BD270" s="186"/>
      <c r="BE270" s="186"/>
      <c r="BF270" s="186"/>
      <c r="BG270" s="186"/>
      <c r="BH270" s="186"/>
      <c r="BI270" s="183">
        <f t="shared" si="143"/>
        <v>0</v>
      </c>
      <c r="BJ270" s="183">
        <f t="shared" si="144"/>
        <v>0</v>
      </c>
      <c r="BK270" s="183">
        <f t="shared" si="145"/>
        <v>0</v>
      </c>
      <c r="BL270" s="183">
        <f t="shared" si="146"/>
        <v>0</v>
      </c>
    </row>
    <row r="271" spans="1:64" s="187" customFormat="1" ht="15.75" hidden="1" customHeight="1" outlineLevel="3" x14ac:dyDescent="0.3">
      <c r="A271" s="185"/>
      <c r="B271" s="185"/>
      <c r="C271" s="185"/>
      <c r="D271" s="185"/>
      <c r="E271" s="185" t="s">
        <v>2746</v>
      </c>
      <c r="F271" s="185" t="s">
        <v>83</v>
      </c>
      <c r="G271" s="204">
        <v>64</v>
      </c>
      <c r="H271" s="185" t="str">
        <f>IFERROR(VLOOKUP(G271,'2022. tervsor'!C:D,2,0)," ")</f>
        <v>Kifizető által fizetett SZJA</v>
      </c>
      <c r="I271" s="181"/>
      <c r="J271" s="181">
        <f t="shared" si="141"/>
        <v>0</v>
      </c>
      <c r="K271" s="166">
        <f t="shared" si="147"/>
        <v>0</v>
      </c>
      <c r="L271" s="166">
        <f t="shared" si="142"/>
        <v>0</v>
      </c>
      <c r="M271" s="182"/>
      <c r="N271" s="166"/>
      <c r="O271" s="166"/>
      <c r="P271" s="166"/>
      <c r="Q271" s="166"/>
      <c r="R271" s="166"/>
      <c r="S271" s="166"/>
      <c r="T271" s="166"/>
      <c r="U271" s="166"/>
      <c r="V271" s="166"/>
      <c r="W271" s="166"/>
      <c r="X271" s="166"/>
      <c r="Y271" s="166"/>
      <c r="Z271" s="166"/>
      <c r="AA271" s="166"/>
      <c r="AB271" s="166"/>
      <c r="AC271" s="166"/>
      <c r="AD271" s="166"/>
      <c r="AE271" s="166"/>
      <c r="AF271" s="166"/>
      <c r="AG271" s="166"/>
      <c r="AH271" s="166"/>
      <c r="AI271" s="166"/>
      <c r="AJ271" s="166"/>
      <c r="AK271" s="166"/>
      <c r="AL271" s="166"/>
      <c r="AM271" s="166"/>
      <c r="AN271" s="166"/>
      <c r="AO271" s="166"/>
      <c r="AP271" s="166"/>
      <c r="AQ271" s="166"/>
      <c r="AR271" s="166"/>
      <c r="AS271" s="166"/>
      <c r="AT271" s="166"/>
      <c r="AU271" s="166"/>
      <c r="AV271" s="166"/>
      <c r="AW271" s="166"/>
      <c r="AX271" s="166"/>
      <c r="AY271" s="166"/>
      <c r="AZ271" s="186"/>
      <c r="BA271" s="186"/>
      <c r="BB271" s="186"/>
      <c r="BC271" s="186"/>
      <c r="BD271" s="186"/>
      <c r="BE271" s="186"/>
      <c r="BF271" s="186"/>
      <c r="BG271" s="186"/>
      <c r="BH271" s="186"/>
      <c r="BI271" s="183">
        <f t="shared" si="143"/>
        <v>0</v>
      </c>
      <c r="BJ271" s="183">
        <f t="shared" si="144"/>
        <v>0</v>
      </c>
      <c r="BK271" s="183">
        <f t="shared" si="145"/>
        <v>0</v>
      </c>
      <c r="BL271" s="183">
        <f t="shared" si="146"/>
        <v>0</v>
      </c>
    </row>
    <row r="272" spans="1:64" s="187" customFormat="1" ht="15.75" hidden="1" customHeight="1" outlineLevel="3" x14ac:dyDescent="0.3">
      <c r="A272" s="185"/>
      <c r="B272" s="185"/>
      <c r="C272" s="185"/>
      <c r="D272" s="185"/>
      <c r="E272" s="185" t="s">
        <v>2746</v>
      </c>
      <c r="F272" s="185" t="s">
        <v>83</v>
      </c>
      <c r="G272" s="204">
        <v>92</v>
      </c>
      <c r="H272" s="185" t="str">
        <f>IFERROR(VLOOKUP(G272,'2022. tervsor'!C:D,2,0)," ")</f>
        <v>Nem adatátviteli célú távközlési díjak</v>
      </c>
      <c r="I272" s="181"/>
      <c r="J272" s="181">
        <f t="shared" si="141"/>
        <v>0</v>
      </c>
      <c r="K272" s="166">
        <f t="shared" si="147"/>
        <v>0</v>
      </c>
      <c r="L272" s="166">
        <f t="shared" si="142"/>
        <v>0</v>
      </c>
      <c r="M272" s="182"/>
      <c r="N272" s="166"/>
      <c r="O272" s="166"/>
      <c r="P272" s="166"/>
      <c r="Q272" s="166"/>
      <c r="R272" s="166"/>
      <c r="S272" s="166"/>
      <c r="T272" s="166"/>
      <c r="U272" s="166"/>
      <c r="V272" s="166"/>
      <c r="W272" s="166"/>
      <c r="X272" s="166"/>
      <c r="Y272" s="166"/>
      <c r="Z272" s="166"/>
      <c r="AA272" s="166"/>
      <c r="AB272" s="166"/>
      <c r="AC272" s="166"/>
      <c r="AD272" s="166"/>
      <c r="AE272" s="166"/>
      <c r="AF272" s="166"/>
      <c r="AG272" s="166"/>
      <c r="AH272" s="166"/>
      <c r="AI272" s="166"/>
      <c r="AJ272" s="166"/>
      <c r="AK272" s="166"/>
      <c r="AL272" s="166"/>
      <c r="AM272" s="166"/>
      <c r="AN272" s="166"/>
      <c r="AO272" s="166"/>
      <c r="AP272" s="166"/>
      <c r="AQ272" s="166"/>
      <c r="AR272" s="166"/>
      <c r="AS272" s="166"/>
      <c r="AT272" s="166"/>
      <c r="AU272" s="166"/>
      <c r="AV272" s="166"/>
      <c r="AW272" s="166"/>
      <c r="AX272" s="166"/>
      <c r="AY272" s="166"/>
      <c r="AZ272" s="186"/>
      <c r="BA272" s="186"/>
      <c r="BB272" s="186"/>
      <c r="BC272" s="186"/>
      <c r="BD272" s="186"/>
      <c r="BE272" s="186"/>
      <c r="BF272" s="186"/>
      <c r="BG272" s="186"/>
      <c r="BH272" s="186"/>
      <c r="BI272" s="183">
        <f t="shared" si="143"/>
        <v>0</v>
      </c>
      <c r="BJ272" s="183">
        <f t="shared" si="144"/>
        <v>0</v>
      </c>
      <c r="BK272" s="183">
        <f t="shared" si="145"/>
        <v>0</v>
      </c>
      <c r="BL272" s="183">
        <f t="shared" si="146"/>
        <v>0</v>
      </c>
    </row>
    <row r="273" spans="1:64" s="187" customFormat="1" ht="15.75" hidden="1" customHeight="1" outlineLevel="3" x14ac:dyDescent="0.3">
      <c r="A273" s="185"/>
      <c r="B273" s="185"/>
      <c r="C273" s="185"/>
      <c r="D273" s="185"/>
      <c r="E273" s="185" t="s">
        <v>2746</v>
      </c>
      <c r="F273" s="185" t="s">
        <v>83</v>
      </c>
      <c r="G273" s="204">
        <v>142</v>
      </c>
      <c r="H273" s="185" t="str">
        <f>IFERROR(VLOOKUP(G273,'2022. tervsor'!C:D,2,0)," ")</f>
        <v>Egyenes adózású ÁFA befizetés</v>
      </c>
      <c r="I273" s="181"/>
      <c r="J273" s="181">
        <f t="shared" si="141"/>
        <v>0</v>
      </c>
      <c r="K273" s="166">
        <f t="shared" si="147"/>
        <v>0</v>
      </c>
      <c r="L273" s="166">
        <f t="shared" si="142"/>
        <v>0</v>
      </c>
      <c r="M273" s="182"/>
      <c r="N273" s="166"/>
      <c r="O273" s="166"/>
      <c r="P273" s="166"/>
      <c r="Q273" s="166"/>
      <c r="R273" s="166"/>
      <c r="S273" s="166"/>
      <c r="T273" s="166"/>
      <c r="U273" s="166"/>
      <c r="V273" s="166"/>
      <c r="W273" s="166"/>
      <c r="X273" s="166"/>
      <c r="Y273" s="166"/>
      <c r="Z273" s="166"/>
      <c r="AA273" s="166"/>
      <c r="AB273" s="166"/>
      <c r="AC273" s="166"/>
      <c r="AD273" s="166"/>
      <c r="AE273" s="166"/>
      <c r="AF273" s="166"/>
      <c r="AG273" s="166"/>
      <c r="AH273" s="166"/>
      <c r="AI273" s="166"/>
      <c r="AJ273" s="166"/>
      <c r="AK273" s="166"/>
      <c r="AL273" s="166"/>
      <c r="AM273" s="166"/>
      <c r="AN273" s="166"/>
      <c r="AO273" s="166"/>
      <c r="AP273" s="166"/>
      <c r="AQ273" s="166"/>
      <c r="AR273" s="166"/>
      <c r="AS273" s="166"/>
      <c r="AT273" s="166"/>
      <c r="AU273" s="166"/>
      <c r="AV273" s="166"/>
      <c r="AW273" s="166"/>
      <c r="AX273" s="166"/>
      <c r="AY273" s="166"/>
      <c r="AZ273" s="186"/>
      <c r="BA273" s="186"/>
      <c r="BB273" s="186"/>
      <c r="BC273" s="186"/>
      <c r="BD273" s="186"/>
      <c r="BE273" s="186"/>
      <c r="BF273" s="186"/>
      <c r="BG273" s="186"/>
      <c r="BH273" s="186"/>
      <c r="BI273" s="183">
        <f t="shared" si="143"/>
        <v>0</v>
      </c>
      <c r="BJ273" s="183">
        <f t="shared" si="144"/>
        <v>0</v>
      </c>
      <c r="BK273" s="183">
        <f t="shared" si="145"/>
        <v>0</v>
      </c>
      <c r="BL273" s="183">
        <f t="shared" si="146"/>
        <v>0</v>
      </c>
    </row>
    <row r="274" spans="1:64" s="184" customFormat="1" hidden="1" outlineLevel="2" x14ac:dyDescent="0.3">
      <c r="A274" s="180" t="s">
        <v>63</v>
      </c>
      <c r="B274" s="180" t="s">
        <v>2825</v>
      </c>
      <c r="C274" s="180" t="s">
        <v>83</v>
      </c>
      <c r="D274" s="180" t="s">
        <v>2945</v>
      </c>
      <c r="E274" s="350" t="s">
        <v>3438</v>
      </c>
      <c r="F274" s="180" t="s">
        <v>2790</v>
      </c>
      <c r="G274" s="185"/>
      <c r="H274" s="180" t="s">
        <v>2707</v>
      </c>
      <c r="I274" s="181">
        <f>+J274</f>
        <v>10200256</v>
      </c>
      <c r="J274" s="181">
        <f t="shared" si="141"/>
        <v>10200256</v>
      </c>
      <c r="K274" s="166">
        <f t="shared" si="147"/>
        <v>0</v>
      </c>
      <c r="L274" s="166">
        <f t="shared" si="142"/>
        <v>10200256</v>
      </c>
      <c r="M274" s="182"/>
      <c r="N274" s="181">
        <f>SUM(N275:N346)</f>
        <v>190500</v>
      </c>
      <c r="O274" s="181">
        <f t="shared" ref="O274:Z274" si="150">SUM(O275:O346)</f>
        <v>82550</v>
      </c>
      <c r="P274" s="181">
        <f t="shared" si="150"/>
        <v>82550</v>
      </c>
      <c r="Q274" s="181">
        <f t="shared" si="150"/>
        <v>222250</v>
      </c>
      <c r="R274" s="181">
        <f t="shared" si="150"/>
        <v>469900</v>
      </c>
      <c r="S274" s="181">
        <f t="shared" si="150"/>
        <v>38100</v>
      </c>
      <c r="T274" s="181">
        <f t="shared" si="150"/>
        <v>101600</v>
      </c>
      <c r="U274" s="181">
        <f t="shared" si="150"/>
        <v>0</v>
      </c>
      <c r="V274" s="181">
        <f t="shared" si="150"/>
        <v>5572000</v>
      </c>
      <c r="W274" s="181">
        <f t="shared" si="150"/>
        <v>508000</v>
      </c>
      <c r="X274" s="181">
        <f t="shared" si="150"/>
        <v>0</v>
      </c>
      <c r="Y274" s="181">
        <f t="shared" si="150"/>
        <v>63500</v>
      </c>
      <c r="Z274" s="181">
        <f t="shared" si="150"/>
        <v>355600</v>
      </c>
      <c r="AA274" s="181">
        <f t="shared" ref="AA274:AM274" si="151">SUM(AA275:AA346)</f>
        <v>2513706</v>
      </c>
      <c r="AB274" s="181">
        <f t="shared" si="151"/>
        <v>0</v>
      </c>
      <c r="AC274" s="181">
        <f t="shared" si="151"/>
        <v>0</v>
      </c>
      <c r="AD274" s="181">
        <f t="shared" si="151"/>
        <v>0</v>
      </c>
      <c r="AE274" s="181">
        <f t="shared" si="151"/>
        <v>0</v>
      </c>
      <c r="AF274" s="181">
        <f t="shared" si="151"/>
        <v>0</v>
      </c>
      <c r="AG274" s="181">
        <f t="shared" si="151"/>
        <v>0</v>
      </c>
      <c r="AH274" s="181">
        <f t="shared" si="151"/>
        <v>0</v>
      </c>
      <c r="AI274" s="181">
        <f t="shared" si="151"/>
        <v>0</v>
      </c>
      <c r="AJ274" s="181">
        <f t="shared" si="151"/>
        <v>0</v>
      </c>
      <c r="AK274" s="181">
        <f t="shared" si="151"/>
        <v>0</v>
      </c>
      <c r="AL274" s="181">
        <f t="shared" si="151"/>
        <v>0</v>
      </c>
      <c r="AM274" s="181">
        <f t="shared" si="151"/>
        <v>0</v>
      </c>
      <c r="AN274" s="181"/>
      <c r="AO274" s="181"/>
      <c r="AP274" s="181"/>
      <c r="AQ274" s="181"/>
      <c r="AR274" s="181"/>
      <c r="AS274" s="181"/>
      <c r="AT274" s="181"/>
      <c r="AU274" s="181"/>
      <c r="AV274" s="181"/>
      <c r="AW274" s="181"/>
      <c r="AX274" s="181"/>
      <c r="AY274" s="181"/>
      <c r="AZ274" s="183"/>
      <c r="BA274" s="183"/>
      <c r="BB274" s="183"/>
      <c r="BC274" s="183"/>
      <c r="BD274" s="183"/>
      <c r="BE274" s="183"/>
      <c r="BF274" s="183"/>
      <c r="BG274" s="183"/>
      <c r="BH274" s="183"/>
      <c r="BI274" s="183">
        <f t="shared" si="143"/>
        <v>10200256</v>
      </c>
      <c r="BJ274" s="183">
        <f t="shared" si="144"/>
        <v>0</v>
      </c>
      <c r="BK274" s="183">
        <f t="shared" si="145"/>
        <v>0</v>
      </c>
      <c r="BL274" s="183">
        <f t="shared" si="146"/>
        <v>0</v>
      </c>
    </row>
    <row r="275" spans="1:64" s="184" customFormat="1" ht="15.75" hidden="1" customHeight="1" outlineLevel="3" x14ac:dyDescent="0.3">
      <c r="A275" s="180"/>
      <c r="B275" s="180"/>
      <c r="C275" s="180"/>
      <c r="D275" s="180"/>
      <c r="E275" s="180" t="s">
        <v>2750</v>
      </c>
      <c r="F275" s="180" t="s">
        <v>86</v>
      </c>
      <c r="G275" s="185"/>
      <c r="H275" s="180" t="s">
        <v>2679</v>
      </c>
      <c r="I275" s="196"/>
      <c r="J275" s="181">
        <f t="shared" si="141"/>
        <v>0</v>
      </c>
      <c r="K275" s="166">
        <f t="shared" si="147"/>
        <v>0</v>
      </c>
      <c r="L275" s="166">
        <f t="shared" si="142"/>
        <v>0</v>
      </c>
      <c r="M275" s="182"/>
      <c r="N275" s="166"/>
      <c r="O275" s="166"/>
      <c r="P275" s="166"/>
      <c r="Q275" s="166"/>
      <c r="R275" s="166"/>
      <c r="S275" s="166"/>
      <c r="T275" s="166"/>
      <c r="U275" s="166"/>
      <c r="V275" s="166"/>
      <c r="W275" s="166"/>
      <c r="X275" s="166"/>
      <c r="Y275" s="166"/>
      <c r="Z275" s="181"/>
      <c r="AA275" s="181"/>
      <c r="AB275" s="181"/>
      <c r="AC275" s="181"/>
      <c r="AD275" s="181"/>
      <c r="AE275" s="181"/>
      <c r="AF275" s="181"/>
      <c r="AG275" s="181"/>
      <c r="AH275" s="181"/>
      <c r="AI275" s="181"/>
      <c r="AJ275" s="181"/>
      <c r="AK275" s="181"/>
      <c r="AL275" s="181"/>
      <c r="AM275" s="181"/>
      <c r="AN275" s="181"/>
      <c r="AO275" s="181"/>
      <c r="AP275" s="181"/>
      <c r="AQ275" s="181"/>
      <c r="AR275" s="181"/>
      <c r="AS275" s="181"/>
      <c r="AT275" s="181"/>
      <c r="AU275" s="181"/>
      <c r="AV275" s="181"/>
      <c r="AW275" s="181"/>
      <c r="AX275" s="181"/>
      <c r="AY275" s="181"/>
      <c r="AZ275" s="183"/>
      <c r="BA275" s="183"/>
      <c r="BB275" s="183"/>
      <c r="BC275" s="183"/>
      <c r="BD275" s="183"/>
      <c r="BE275" s="183"/>
      <c r="BF275" s="183"/>
      <c r="BG275" s="183"/>
      <c r="BH275" s="183"/>
      <c r="BI275" s="183">
        <f t="shared" si="143"/>
        <v>0</v>
      </c>
      <c r="BJ275" s="183">
        <f t="shared" si="144"/>
        <v>0</v>
      </c>
      <c r="BK275" s="183">
        <f t="shared" si="145"/>
        <v>0</v>
      </c>
      <c r="BL275" s="183">
        <f t="shared" si="146"/>
        <v>0</v>
      </c>
    </row>
    <row r="276" spans="1:64" s="184" customFormat="1" ht="15.75" hidden="1" customHeight="1" outlineLevel="3" x14ac:dyDescent="0.3">
      <c r="A276" s="180"/>
      <c r="B276" s="180"/>
      <c r="C276" s="180"/>
      <c r="D276" s="180"/>
      <c r="E276" s="180" t="s">
        <v>2749</v>
      </c>
      <c r="F276" s="180" t="s">
        <v>83</v>
      </c>
      <c r="G276" s="185"/>
      <c r="H276" s="180" t="s">
        <v>2710</v>
      </c>
      <c r="I276" s="196">
        <f>+I274</f>
        <v>10200256</v>
      </c>
      <c r="J276" s="181">
        <f t="shared" si="141"/>
        <v>10200256</v>
      </c>
      <c r="K276" s="166">
        <f t="shared" si="147"/>
        <v>0</v>
      </c>
      <c r="L276" s="166">
        <f t="shared" si="142"/>
        <v>10200256</v>
      </c>
      <c r="M276" s="182"/>
      <c r="N276" s="166">
        <f>190500</f>
        <v>190500</v>
      </c>
      <c r="O276" s="166">
        <v>82550</v>
      </c>
      <c r="P276" s="166">
        <v>82550</v>
      </c>
      <c r="Q276" s="166">
        <v>222250</v>
      </c>
      <c r="R276" s="166">
        <v>469900</v>
      </c>
      <c r="S276" s="166">
        <v>38100</v>
      </c>
      <c r="T276" s="166">
        <v>101600</v>
      </c>
      <c r="U276" s="166">
        <v>0</v>
      </c>
      <c r="V276" s="166">
        <v>5572000</v>
      </c>
      <c r="W276" s="166">
        <v>508000</v>
      </c>
      <c r="X276" s="166">
        <v>0</v>
      </c>
      <c r="Y276" s="166">
        <v>63500</v>
      </c>
      <c r="Z276" s="181">
        <v>355600</v>
      </c>
      <c r="AA276" s="181">
        <v>2513706</v>
      </c>
      <c r="AB276" s="181"/>
      <c r="AC276" s="181"/>
      <c r="AD276" s="181"/>
      <c r="AE276" s="181"/>
      <c r="AF276" s="181"/>
      <c r="AG276" s="181"/>
      <c r="AH276" s="181"/>
      <c r="AI276" s="181"/>
      <c r="AJ276" s="181"/>
      <c r="AK276" s="181"/>
      <c r="AL276" s="181"/>
      <c r="AM276" s="181"/>
      <c r="AN276" s="181"/>
      <c r="AO276" s="181"/>
      <c r="AP276" s="181"/>
      <c r="AQ276" s="181"/>
      <c r="AR276" s="181"/>
      <c r="AS276" s="181"/>
      <c r="AT276" s="181"/>
      <c r="AU276" s="181"/>
      <c r="AV276" s="181"/>
      <c r="AW276" s="181"/>
      <c r="AX276" s="181"/>
      <c r="AY276" s="181"/>
      <c r="AZ276" s="183"/>
      <c r="BA276" s="183"/>
      <c r="BB276" s="183"/>
      <c r="BC276" s="183"/>
      <c r="BD276" s="183"/>
      <c r="BE276" s="183"/>
      <c r="BF276" s="183"/>
      <c r="BG276" s="183"/>
      <c r="BH276" s="183"/>
      <c r="BI276" s="183">
        <f t="shared" si="143"/>
        <v>10200256</v>
      </c>
      <c r="BJ276" s="183">
        <f t="shared" si="144"/>
        <v>0</v>
      </c>
      <c r="BK276" s="183">
        <f t="shared" si="145"/>
        <v>0</v>
      </c>
      <c r="BL276" s="183">
        <f t="shared" si="146"/>
        <v>0</v>
      </c>
    </row>
    <row r="277" spans="1:64" s="187" customFormat="1" ht="15.75" hidden="1" customHeight="1" outlineLevel="3" x14ac:dyDescent="0.3">
      <c r="A277" s="185"/>
      <c r="B277" s="185"/>
      <c r="C277" s="185"/>
      <c r="D277" s="185"/>
      <c r="E277" s="185" t="s">
        <v>2678</v>
      </c>
      <c r="F277" s="185" t="s">
        <v>83</v>
      </c>
      <c r="G277" s="185">
        <v>67</v>
      </c>
      <c r="H277" s="185" t="str">
        <f>IFERROR(VLOOKUP(G277,'2022. tervsor'!C:D,2,0)," ")</f>
        <v>Gyógyszerbeszerzés</v>
      </c>
      <c r="I277" s="353">
        <f>+J277</f>
        <v>0</v>
      </c>
      <c r="J277" s="353">
        <f t="shared" si="141"/>
        <v>0</v>
      </c>
      <c r="K277" s="166">
        <f t="shared" si="147"/>
        <v>0</v>
      </c>
      <c r="L277" s="166">
        <f t="shared" si="142"/>
        <v>0</v>
      </c>
      <c r="M277" s="182"/>
      <c r="N277" s="166"/>
      <c r="O277" s="166"/>
      <c r="P277" s="166"/>
      <c r="Q277" s="166"/>
      <c r="R277" s="166"/>
      <c r="S277" s="166"/>
      <c r="T277" s="166"/>
      <c r="U277" s="166"/>
      <c r="V277" s="166"/>
      <c r="W277" s="166"/>
      <c r="X277" s="166"/>
      <c r="Y277" s="166"/>
      <c r="Z277" s="166"/>
      <c r="AA277" s="166"/>
      <c r="AB277" s="166"/>
      <c r="AC277" s="166"/>
      <c r="AD277" s="166"/>
      <c r="AE277" s="166"/>
      <c r="AF277" s="166"/>
      <c r="AG277" s="166"/>
      <c r="AH277" s="166"/>
      <c r="AI277" s="166"/>
      <c r="AJ277" s="166"/>
      <c r="AK277" s="166"/>
      <c r="AL277" s="166"/>
      <c r="AM277" s="166"/>
      <c r="AN277" s="166"/>
      <c r="AO277" s="166"/>
      <c r="AP277" s="166"/>
      <c r="AQ277" s="166"/>
      <c r="AR277" s="166"/>
      <c r="AS277" s="166"/>
      <c r="AT277" s="166"/>
      <c r="AU277" s="166"/>
      <c r="AV277" s="166"/>
      <c r="AW277" s="166"/>
      <c r="AX277" s="166"/>
      <c r="AY277" s="166"/>
      <c r="AZ277" s="186"/>
      <c r="BA277" s="186"/>
      <c r="BB277" s="186"/>
      <c r="BC277" s="186"/>
      <c r="BD277" s="186"/>
      <c r="BE277" s="186"/>
      <c r="BF277" s="186"/>
      <c r="BG277" s="186"/>
      <c r="BH277" s="186"/>
      <c r="BI277" s="183">
        <f t="shared" si="143"/>
        <v>0</v>
      </c>
      <c r="BJ277" s="183">
        <f t="shared" si="144"/>
        <v>0</v>
      </c>
      <c r="BK277" s="183">
        <f t="shared" si="145"/>
        <v>0</v>
      </c>
      <c r="BL277" s="183">
        <f t="shared" si="146"/>
        <v>0</v>
      </c>
    </row>
    <row r="278" spans="1:64" s="187" customFormat="1" ht="15.75" hidden="1" customHeight="1" outlineLevel="3" x14ac:dyDescent="0.3">
      <c r="A278" s="185"/>
      <c r="B278" s="185"/>
      <c r="C278" s="185"/>
      <c r="D278" s="185"/>
      <c r="E278" s="185" t="s">
        <v>2678</v>
      </c>
      <c r="F278" s="185" t="s">
        <v>83</v>
      </c>
      <c r="G278" s="185">
        <v>68</v>
      </c>
      <c r="H278" s="185" t="str">
        <f>IFERROR(VLOOKUP(G278,'2022. tervsor'!C:D,2,0)," ")</f>
        <v>Vegyszerbeszerzés</v>
      </c>
      <c r="I278" s="353">
        <f t="shared" ref="I278:I341" si="152">+J278</f>
        <v>0</v>
      </c>
      <c r="J278" s="353">
        <f t="shared" si="141"/>
        <v>0</v>
      </c>
      <c r="K278" s="166">
        <f t="shared" si="147"/>
        <v>0</v>
      </c>
      <c r="L278" s="166">
        <f t="shared" si="142"/>
        <v>0</v>
      </c>
      <c r="M278" s="182"/>
      <c r="N278" s="166"/>
      <c r="O278" s="166"/>
      <c r="P278" s="166"/>
      <c r="Q278" s="166"/>
      <c r="R278" s="166"/>
      <c r="S278" s="166"/>
      <c r="T278" s="166"/>
      <c r="U278" s="166"/>
      <c r="V278" s="166"/>
      <c r="W278" s="166"/>
      <c r="X278" s="166"/>
      <c r="Y278" s="166"/>
      <c r="Z278" s="166"/>
      <c r="AA278" s="166"/>
      <c r="AB278" s="166"/>
      <c r="AC278" s="166"/>
      <c r="AD278" s="166"/>
      <c r="AE278" s="166"/>
      <c r="AF278" s="166"/>
      <c r="AG278" s="166"/>
      <c r="AH278" s="166"/>
      <c r="AI278" s="166"/>
      <c r="AJ278" s="166"/>
      <c r="AK278" s="166"/>
      <c r="AL278" s="166"/>
      <c r="AM278" s="166"/>
      <c r="AN278" s="166"/>
      <c r="AO278" s="166"/>
      <c r="AP278" s="166"/>
      <c r="AQ278" s="166"/>
      <c r="AR278" s="166"/>
      <c r="AS278" s="166"/>
      <c r="AT278" s="166"/>
      <c r="AU278" s="166"/>
      <c r="AV278" s="166"/>
      <c r="AW278" s="166"/>
      <c r="AX278" s="166"/>
      <c r="AY278" s="166"/>
      <c r="AZ278" s="186"/>
      <c r="BA278" s="186"/>
      <c r="BB278" s="186"/>
      <c r="BC278" s="186"/>
      <c r="BD278" s="186"/>
      <c r="BE278" s="186"/>
      <c r="BF278" s="186"/>
      <c r="BG278" s="186"/>
      <c r="BH278" s="186"/>
      <c r="BI278" s="183">
        <f t="shared" si="143"/>
        <v>0</v>
      </c>
      <c r="BJ278" s="183">
        <f t="shared" si="144"/>
        <v>0</v>
      </c>
      <c r="BK278" s="183">
        <f t="shared" si="145"/>
        <v>0</v>
      </c>
      <c r="BL278" s="183">
        <f t="shared" si="146"/>
        <v>0</v>
      </c>
    </row>
    <row r="279" spans="1:64" s="187" customFormat="1" ht="15.75" hidden="1" customHeight="1" outlineLevel="3" x14ac:dyDescent="0.3">
      <c r="A279" s="185"/>
      <c r="B279" s="185"/>
      <c r="C279" s="185"/>
      <c r="D279" s="185"/>
      <c r="E279" s="185" t="s">
        <v>2678</v>
      </c>
      <c r="F279" s="185" t="s">
        <v>83</v>
      </c>
      <c r="G279" s="185">
        <v>69</v>
      </c>
      <c r="H279" s="185" t="str">
        <f>IFERROR(VLOOKUP(G279,'2022. tervsor'!C:D,2,0)," ")</f>
        <v>Egyéb szakmai anyagbeszerzés</v>
      </c>
      <c r="I279" s="353">
        <f t="shared" si="152"/>
        <v>0</v>
      </c>
      <c r="J279" s="353">
        <f t="shared" si="141"/>
        <v>0</v>
      </c>
      <c r="K279" s="166">
        <f t="shared" si="147"/>
        <v>0</v>
      </c>
      <c r="L279" s="166">
        <f t="shared" si="142"/>
        <v>0</v>
      </c>
      <c r="M279" s="182"/>
      <c r="N279" s="166"/>
      <c r="O279" s="166"/>
      <c r="P279" s="166"/>
      <c r="Q279" s="166"/>
      <c r="R279" s="166"/>
      <c r="S279" s="166"/>
      <c r="T279" s="166"/>
      <c r="U279" s="166"/>
      <c r="V279" s="166"/>
      <c r="W279" s="166"/>
      <c r="X279" s="166"/>
      <c r="Y279" s="166"/>
      <c r="Z279" s="166"/>
      <c r="AA279" s="166"/>
      <c r="AB279" s="166"/>
      <c r="AC279" s="166"/>
      <c r="AD279" s="166"/>
      <c r="AE279" s="166"/>
      <c r="AF279" s="166"/>
      <c r="AG279" s="166"/>
      <c r="AH279" s="166"/>
      <c r="AI279" s="166"/>
      <c r="AJ279" s="166"/>
      <c r="AK279" s="166"/>
      <c r="AL279" s="166"/>
      <c r="AM279" s="166"/>
      <c r="AN279" s="166"/>
      <c r="AO279" s="166"/>
      <c r="AP279" s="166"/>
      <c r="AQ279" s="166"/>
      <c r="AR279" s="166"/>
      <c r="AS279" s="166"/>
      <c r="AT279" s="166"/>
      <c r="AU279" s="166"/>
      <c r="AV279" s="166"/>
      <c r="AW279" s="166"/>
      <c r="AX279" s="166"/>
      <c r="AY279" s="166"/>
      <c r="AZ279" s="186"/>
      <c r="BA279" s="186"/>
      <c r="BB279" s="186"/>
      <c r="BC279" s="186"/>
      <c r="BD279" s="186"/>
      <c r="BE279" s="186"/>
      <c r="BF279" s="186"/>
      <c r="BG279" s="186"/>
      <c r="BH279" s="186"/>
      <c r="BI279" s="183">
        <f t="shared" si="143"/>
        <v>0</v>
      </c>
      <c r="BJ279" s="183">
        <f t="shared" si="144"/>
        <v>0</v>
      </c>
      <c r="BK279" s="183">
        <f t="shared" si="145"/>
        <v>0</v>
      </c>
      <c r="BL279" s="183">
        <f t="shared" si="146"/>
        <v>0</v>
      </c>
    </row>
    <row r="280" spans="1:64" s="187" customFormat="1" ht="15.75" hidden="1" customHeight="1" outlineLevel="3" x14ac:dyDescent="0.3">
      <c r="A280" s="185"/>
      <c r="B280" s="185"/>
      <c r="C280" s="185"/>
      <c r="D280" s="185"/>
      <c r="E280" s="185" t="s">
        <v>2678</v>
      </c>
      <c r="F280" s="185" t="s">
        <v>83</v>
      </c>
      <c r="G280" s="185">
        <v>70</v>
      </c>
      <c r="H280" s="185" t="str">
        <f>IFERROR(VLOOKUP(G280,'2022. tervsor'!C:D,2,0)," ")</f>
        <v>Könyvbeszerzés (5% ÁFA)</v>
      </c>
      <c r="I280" s="353">
        <f t="shared" si="152"/>
        <v>0</v>
      </c>
      <c r="J280" s="353">
        <f t="shared" si="141"/>
        <v>0</v>
      </c>
      <c r="K280" s="166">
        <f t="shared" si="147"/>
        <v>0</v>
      </c>
      <c r="L280" s="166">
        <f t="shared" si="142"/>
        <v>0</v>
      </c>
      <c r="M280" s="182"/>
      <c r="N280" s="166"/>
      <c r="O280" s="166"/>
      <c r="P280" s="166"/>
      <c r="Q280" s="166"/>
      <c r="R280" s="166"/>
      <c r="S280" s="166"/>
      <c r="T280" s="166"/>
      <c r="U280" s="166"/>
      <c r="V280" s="166"/>
      <c r="W280" s="166"/>
      <c r="X280" s="166"/>
      <c r="Y280" s="166"/>
      <c r="Z280" s="166"/>
      <c r="AA280" s="166"/>
      <c r="AB280" s="166"/>
      <c r="AC280" s="166"/>
      <c r="AD280" s="166"/>
      <c r="AE280" s="166"/>
      <c r="AF280" s="166"/>
      <c r="AG280" s="166"/>
      <c r="AH280" s="166"/>
      <c r="AI280" s="166"/>
      <c r="AJ280" s="166"/>
      <c r="AK280" s="166"/>
      <c r="AL280" s="166"/>
      <c r="AM280" s="166"/>
      <c r="AN280" s="166"/>
      <c r="AO280" s="166"/>
      <c r="AP280" s="166"/>
      <c r="AQ280" s="166"/>
      <c r="AR280" s="166"/>
      <c r="AS280" s="166"/>
      <c r="AT280" s="166"/>
      <c r="AU280" s="166"/>
      <c r="AV280" s="166"/>
      <c r="AW280" s="166"/>
      <c r="AX280" s="166"/>
      <c r="AY280" s="166"/>
      <c r="AZ280" s="186"/>
      <c r="BA280" s="186"/>
      <c r="BB280" s="186"/>
      <c r="BC280" s="186"/>
      <c r="BD280" s="186"/>
      <c r="BE280" s="186"/>
      <c r="BF280" s="186"/>
      <c r="BG280" s="186"/>
      <c r="BH280" s="186"/>
      <c r="BI280" s="183">
        <f t="shared" si="143"/>
        <v>0</v>
      </c>
      <c r="BJ280" s="183">
        <f t="shared" si="144"/>
        <v>0</v>
      </c>
      <c r="BK280" s="183">
        <f t="shared" si="145"/>
        <v>0</v>
      </c>
      <c r="BL280" s="183">
        <f t="shared" si="146"/>
        <v>0</v>
      </c>
    </row>
    <row r="281" spans="1:64" s="187" customFormat="1" ht="15.75" hidden="1" customHeight="1" outlineLevel="3" x14ac:dyDescent="0.3">
      <c r="A281" s="185"/>
      <c r="B281" s="185"/>
      <c r="C281" s="185"/>
      <c r="D281" s="185"/>
      <c r="E281" s="185" t="s">
        <v>2678</v>
      </c>
      <c r="F281" s="185" t="s">
        <v>83</v>
      </c>
      <c r="G281" s="185">
        <v>71</v>
      </c>
      <c r="H281" s="185" t="str">
        <f>IFERROR(VLOOKUP(G281,'2022. tervsor'!C:D,2,0)," ")</f>
        <v>Egy éven belül elhasználódó szakmai anyag</v>
      </c>
      <c r="I281" s="353">
        <f t="shared" si="152"/>
        <v>0</v>
      </c>
      <c r="J281" s="353">
        <f t="shared" si="141"/>
        <v>0</v>
      </c>
      <c r="K281" s="166">
        <f t="shared" si="147"/>
        <v>0</v>
      </c>
      <c r="L281" s="166">
        <f t="shared" si="142"/>
        <v>0</v>
      </c>
      <c r="M281" s="182"/>
      <c r="N281" s="166"/>
      <c r="O281" s="166"/>
      <c r="P281" s="166"/>
      <c r="Q281" s="166"/>
      <c r="R281" s="166"/>
      <c r="S281" s="166"/>
      <c r="T281" s="166"/>
      <c r="U281" s="166"/>
      <c r="V281" s="166"/>
      <c r="W281" s="166"/>
      <c r="X281" s="166"/>
      <c r="Y281" s="166"/>
      <c r="Z281" s="166"/>
      <c r="AA281" s="166"/>
      <c r="AB281" s="166"/>
      <c r="AC281" s="166"/>
      <c r="AD281" s="166"/>
      <c r="AE281" s="166"/>
      <c r="AF281" s="166"/>
      <c r="AG281" s="166"/>
      <c r="AH281" s="166"/>
      <c r="AI281" s="166"/>
      <c r="AJ281" s="166"/>
      <c r="AK281" s="166"/>
      <c r="AL281" s="166"/>
      <c r="AM281" s="166"/>
      <c r="AN281" s="166"/>
      <c r="AO281" s="166"/>
      <c r="AP281" s="166"/>
      <c r="AQ281" s="166"/>
      <c r="AR281" s="166"/>
      <c r="AS281" s="166"/>
      <c r="AT281" s="166"/>
      <c r="AU281" s="166"/>
      <c r="AV281" s="166"/>
      <c r="AW281" s="166"/>
      <c r="AX281" s="166"/>
      <c r="AY281" s="166"/>
      <c r="AZ281" s="186"/>
      <c r="BA281" s="186"/>
      <c r="BB281" s="186"/>
      <c r="BC281" s="186"/>
      <c r="BD281" s="186"/>
      <c r="BE281" s="186"/>
      <c r="BF281" s="186"/>
      <c r="BG281" s="186"/>
      <c r="BH281" s="186"/>
      <c r="BI281" s="183">
        <f t="shared" si="143"/>
        <v>0</v>
      </c>
      <c r="BJ281" s="183">
        <f t="shared" si="144"/>
        <v>0</v>
      </c>
      <c r="BK281" s="183">
        <f t="shared" si="145"/>
        <v>0</v>
      </c>
      <c r="BL281" s="183">
        <f t="shared" si="146"/>
        <v>0</v>
      </c>
    </row>
    <row r="282" spans="1:64" s="187" customFormat="1" ht="15.75" hidden="1" customHeight="1" outlineLevel="3" x14ac:dyDescent="0.3">
      <c r="A282" s="185"/>
      <c r="B282" s="185"/>
      <c r="C282" s="185"/>
      <c r="D282" s="185"/>
      <c r="E282" s="185" t="s">
        <v>2678</v>
      </c>
      <c r="F282" s="185" t="s">
        <v>83</v>
      </c>
      <c r="G282" s="185">
        <v>73</v>
      </c>
      <c r="H282" s="185" t="str">
        <f>IFERROR(VLOOKUP(G282,'2022. tervsor'!C:D,2,0)," ")</f>
        <v>Irodaszer. sokszorosítási. számítástechnikai anyagok</v>
      </c>
      <c r="I282" s="353">
        <f t="shared" si="152"/>
        <v>0</v>
      </c>
      <c r="J282" s="353">
        <f t="shared" si="141"/>
        <v>0</v>
      </c>
      <c r="K282" s="166">
        <f t="shared" si="147"/>
        <v>0</v>
      </c>
      <c r="L282" s="166">
        <f t="shared" si="142"/>
        <v>0</v>
      </c>
      <c r="M282" s="182"/>
      <c r="N282" s="166"/>
      <c r="O282" s="166"/>
      <c r="P282" s="166"/>
      <c r="Q282" s="166"/>
      <c r="R282" s="166"/>
      <c r="S282" s="166"/>
      <c r="T282" s="166"/>
      <c r="U282" s="166"/>
      <c r="V282" s="166"/>
      <c r="W282" s="166"/>
      <c r="X282" s="166"/>
      <c r="Y282" s="166"/>
      <c r="Z282" s="166"/>
      <c r="AA282" s="166"/>
      <c r="AB282" s="166"/>
      <c r="AC282" s="166"/>
      <c r="AD282" s="166"/>
      <c r="AE282" s="166"/>
      <c r="AF282" s="166"/>
      <c r="AG282" s="166"/>
      <c r="AH282" s="166"/>
      <c r="AI282" s="166"/>
      <c r="AJ282" s="166"/>
      <c r="AK282" s="166"/>
      <c r="AL282" s="166"/>
      <c r="AM282" s="166"/>
      <c r="AN282" s="166"/>
      <c r="AO282" s="166"/>
      <c r="AP282" s="166"/>
      <c r="AQ282" s="166"/>
      <c r="AR282" s="166"/>
      <c r="AS282" s="166"/>
      <c r="AT282" s="166"/>
      <c r="AU282" s="166"/>
      <c r="AV282" s="166"/>
      <c r="AW282" s="166"/>
      <c r="AX282" s="166"/>
      <c r="AY282" s="166"/>
      <c r="AZ282" s="186"/>
      <c r="BA282" s="186"/>
      <c r="BB282" s="186"/>
      <c r="BC282" s="186"/>
      <c r="BD282" s="186"/>
      <c r="BE282" s="186"/>
      <c r="BF282" s="186"/>
      <c r="BG282" s="186"/>
      <c r="BH282" s="186"/>
      <c r="BI282" s="183">
        <f t="shared" si="143"/>
        <v>0</v>
      </c>
      <c r="BJ282" s="183">
        <f t="shared" si="144"/>
        <v>0</v>
      </c>
      <c r="BK282" s="183">
        <f t="shared" si="145"/>
        <v>0</v>
      </c>
      <c r="BL282" s="183">
        <f t="shared" si="146"/>
        <v>0</v>
      </c>
    </row>
    <row r="283" spans="1:64" s="187" customFormat="1" ht="15.75" hidden="1" customHeight="1" outlineLevel="3" x14ac:dyDescent="0.3">
      <c r="A283" s="185"/>
      <c r="B283" s="185"/>
      <c r="C283" s="185"/>
      <c r="D283" s="185"/>
      <c r="E283" s="185" t="s">
        <v>2678</v>
      </c>
      <c r="F283" s="185" t="s">
        <v>83</v>
      </c>
      <c r="G283" s="185">
        <v>74</v>
      </c>
      <c r="H283" s="185" t="str">
        <f>IFERROR(VLOOKUP(G283,'2022. tervsor'!C:D,2,0)," ")</f>
        <v>Nyomtatvány beszerzés</v>
      </c>
      <c r="I283" s="353">
        <f t="shared" si="152"/>
        <v>0</v>
      </c>
      <c r="J283" s="353">
        <f t="shared" si="141"/>
        <v>0</v>
      </c>
      <c r="K283" s="166">
        <f t="shared" si="147"/>
        <v>0</v>
      </c>
      <c r="L283" s="166">
        <f t="shared" si="142"/>
        <v>0</v>
      </c>
      <c r="M283" s="182"/>
      <c r="N283" s="166"/>
      <c r="O283" s="166"/>
      <c r="P283" s="166"/>
      <c r="Q283" s="166"/>
      <c r="R283" s="166"/>
      <c r="S283" s="166"/>
      <c r="T283" s="166"/>
      <c r="U283" s="166"/>
      <c r="V283" s="166"/>
      <c r="W283" s="166"/>
      <c r="X283" s="166"/>
      <c r="Y283" s="166"/>
      <c r="Z283" s="166"/>
      <c r="AA283" s="166"/>
      <c r="AB283" s="166"/>
      <c r="AC283" s="166"/>
      <c r="AD283" s="166"/>
      <c r="AE283" s="166"/>
      <c r="AF283" s="166"/>
      <c r="AG283" s="166"/>
      <c r="AH283" s="166"/>
      <c r="AI283" s="166"/>
      <c r="AJ283" s="166"/>
      <c r="AK283" s="166"/>
      <c r="AL283" s="166"/>
      <c r="AM283" s="166"/>
      <c r="AN283" s="166"/>
      <c r="AO283" s="166"/>
      <c r="AP283" s="166"/>
      <c r="AQ283" s="166"/>
      <c r="AR283" s="166"/>
      <c r="AS283" s="166"/>
      <c r="AT283" s="166"/>
      <c r="AU283" s="166"/>
      <c r="AV283" s="166"/>
      <c r="AW283" s="166"/>
      <c r="AX283" s="166"/>
      <c r="AY283" s="166"/>
      <c r="AZ283" s="186"/>
      <c r="BA283" s="186"/>
      <c r="BB283" s="186"/>
      <c r="BC283" s="186"/>
      <c r="BD283" s="186"/>
      <c r="BE283" s="186"/>
      <c r="BF283" s="186"/>
      <c r="BG283" s="186"/>
      <c r="BH283" s="186"/>
      <c r="BI283" s="183">
        <f t="shared" si="143"/>
        <v>0</v>
      </c>
      <c r="BJ283" s="183">
        <f t="shared" si="144"/>
        <v>0</v>
      </c>
      <c r="BK283" s="183">
        <f t="shared" si="145"/>
        <v>0</v>
      </c>
      <c r="BL283" s="183">
        <f t="shared" si="146"/>
        <v>0</v>
      </c>
    </row>
    <row r="284" spans="1:64" s="187" customFormat="1" ht="15.75" hidden="1" customHeight="1" outlineLevel="3" x14ac:dyDescent="0.3">
      <c r="A284" s="185"/>
      <c r="B284" s="185"/>
      <c r="C284" s="185"/>
      <c r="D284" s="185"/>
      <c r="E284" s="185" t="s">
        <v>2678</v>
      </c>
      <c r="F284" s="185" t="s">
        <v>83</v>
      </c>
      <c r="G284" s="185">
        <v>75</v>
      </c>
      <c r="H284" s="185" t="str">
        <f>IFERROR(VLOOKUP(G284,'2022. tervsor'!C:D,2,0)," ")</f>
        <v>Hajtó- és kenőanyag beszerzése</v>
      </c>
      <c r="I284" s="353">
        <f t="shared" si="152"/>
        <v>0</v>
      </c>
      <c r="J284" s="353">
        <f t="shared" si="141"/>
        <v>0</v>
      </c>
      <c r="K284" s="166">
        <f t="shared" si="147"/>
        <v>0</v>
      </c>
      <c r="L284" s="166">
        <f t="shared" si="142"/>
        <v>0</v>
      </c>
      <c r="M284" s="182"/>
      <c r="N284" s="166"/>
      <c r="O284" s="166"/>
      <c r="P284" s="166"/>
      <c r="Q284" s="166"/>
      <c r="R284" s="166"/>
      <c r="S284" s="166"/>
      <c r="T284" s="166"/>
      <c r="U284" s="166"/>
      <c r="V284" s="166"/>
      <c r="W284" s="166"/>
      <c r="X284" s="166"/>
      <c r="Y284" s="166"/>
      <c r="Z284" s="166"/>
      <c r="AA284" s="166"/>
      <c r="AB284" s="166"/>
      <c r="AC284" s="166"/>
      <c r="AD284" s="166"/>
      <c r="AE284" s="166"/>
      <c r="AF284" s="166"/>
      <c r="AG284" s="166"/>
      <c r="AH284" s="166"/>
      <c r="AI284" s="166"/>
      <c r="AJ284" s="166"/>
      <c r="AK284" s="166"/>
      <c r="AL284" s="166"/>
      <c r="AM284" s="166"/>
      <c r="AN284" s="166"/>
      <c r="AO284" s="166"/>
      <c r="AP284" s="166"/>
      <c r="AQ284" s="166"/>
      <c r="AR284" s="166"/>
      <c r="AS284" s="166"/>
      <c r="AT284" s="166"/>
      <c r="AU284" s="166"/>
      <c r="AV284" s="166"/>
      <c r="AW284" s="166"/>
      <c r="AX284" s="166"/>
      <c r="AY284" s="166"/>
      <c r="AZ284" s="186"/>
      <c r="BA284" s="186"/>
      <c r="BB284" s="186"/>
      <c r="BC284" s="186"/>
      <c r="BD284" s="186"/>
      <c r="BE284" s="186"/>
      <c r="BF284" s="186"/>
      <c r="BG284" s="186"/>
      <c r="BH284" s="186"/>
      <c r="BI284" s="183">
        <f t="shared" si="143"/>
        <v>0</v>
      </c>
      <c r="BJ284" s="183">
        <f t="shared" si="144"/>
        <v>0</v>
      </c>
      <c r="BK284" s="183">
        <f t="shared" si="145"/>
        <v>0</v>
      </c>
      <c r="BL284" s="183">
        <f t="shared" si="146"/>
        <v>0</v>
      </c>
    </row>
    <row r="285" spans="1:64" s="187" customFormat="1" ht="15.75" hidden="1" customHeight="1" outlineLevel="3" x14ac:dyDescent="0.3">
      <c r="A285" s="185"/>
      <c r="B285" s="185"/>
      <c r="C285" s="185"/>
      <c r="D285" s="185"/>
      <c r="E285" s="185" t="s">
        <v>2678</v>
      </c>
      <c r="F285" s="185" t="s">
        <v>83</v>
      </c>
      <c r="G285" s="185">
        <v>76</v>
      </c>
      <c r="H285" s="185" t="str">
        <f>IFERROR(VLOOKUP(G285,'2022. tervsor'!C:D,2,0)," ")</f>
        <v>Munka-. védő- és formaruha beszerzés</v>
      </c>
      <c r="I285" s="353">
        <f t="shared" si="152"/>
        <v>0</v>
      </c>
      <c r="J285" s="353">
        <f t="shared" si="141"/>
        <v>0</v>
      </c>
      <c r="K285" s="166">
        <f t="shared" si="147"/>
        <v>0</v>
      </c>
      <c r="L285" s="166">
        <f t="shared" si="142"/>
        <v>0</v>
      </c>
      <c r="M285" s="182"/>
      <c r="N285" s="166"/>
      <c r="O285" s="166"/>
      <c r="P285" s="166"/>
      <c r="Q285" s="166"/>
      <c r="R285" s="166"/>
      <c r="S285" s="166"/>
      <c r="T285" s="166"/>
      <c r="U285" s="166"/>
      <c r="V285" s="166"/>
      <c r="W285" s="166"/>
      <c r="X285" s="166"/>
      <c r="Y285" s="166"/>
      <c r="Z285" s="166"/>
      <c r="AA285" s="166"/>
      <c r="AB285" s="166"/>
      <c r="AC285" s="166"/>
      <c r="AD285" s="166"/>
      <c r="AE285" s="166"/>
      <c r="AF285" s="166"/>
      <c r="AG285" s="166"/>
      <c r="AH285" s="166"/>
      <c r="AI285" s="166"/>
      <c r="AJ285" s="166"/>
      <c r="AK285" s="166"/>
      <c r="AL285" s="166"/>
      <c r="AM285" s="166"/>
      <c r="AN285" s="166"/>
      <c r="AO285" s="166"/>
      <c r="AP285" s="166"/>
      <c r="AQ285" s="166"/>
      <c r="AR285" s="166"/>
      <c r="AS285" s="166"/>
      <c r="AT285" s="166"/>
      <c r="AU285" s="166"/>
      <c r="AV285" s="166"/>
      <c r="AW285" s="166"/>
      <c r="AX285" s="166"/>
      <c r="AY285" s="166"/>
      <c r="AZ285" s="186"/>
      <c r="BA285" s="186"/>
      <c r="BB285" s="186"/>
      <c r="BC285" s="186"/>
      <c r="BD285" s="186"/>
      <c r="BE285" s="186"/>
      <c r="BF285" s="186"/>
      <c r="BG285" s="186"/>
      <c r="BH285" s="186"/>
      <c r="BI285" s="183">
        <f t="shared" si="143"/>
        <v>0</v>
      </c>
      <c r="BJ285" s="183">
        <f t="shared" si="144"/>
        <v>0</v>
      </c>
      <c r="BK285" s="183">
        <f t="shared" si="145"/>
        <v>0</v>
      </c>
      <c r="BL285" s="183">
        <f t="shared" si="146"/>
        <v>0</v>
      </c>
    </row>
    <row r="286" spans="1:64" s="187" customFormat="1" ht="15.75" hidden="1" customHeight="1" outlineLevel="3" x14ac:dyDescent="0.3">
      <c r="A286" s="185"/>
      <c r="B286" s="185"/>
      <c r="C286" s="185"/>
      <c r="D286" s="185"/>
      <c r="E286" s="185" t="s">
        <v>2678</v>
      </c>
      <c r="F286" s="185" t="s">
        <v>83</v>
      </c>
      <c r="G286" s="185">
        <v>77</v>
      </c>
      <c r="H286" s="185" t="str">
        <f>IFERROR(VLOOKUP(G286,'2022. tervsor'!C:D,2,0)," ")</f>
        <v>Karbantartási anyagok. alkatrészek.szerszámok beszerz</v>
      </c>
      <c r="I286" s="353">
        <f t="shared" si="152"/>
        <v>0</v>
      </c>
      <c r="J286" s="353">
        <f t="shared" si="141"/>
        <v>0</v>
      </c>
      <c r="K286" s="166">
        <f t="shared" si="147"/>
        <v>0</v>
      </c>
      <c r="L286" s="166">
        <f t="shared" si="142"/>
        <v>0</v>
      </c>
      <c r="M286" s="182"/>
      <c r="N286" s="166"/>
      <c r="O286" s="166"/>
      <c r="P286" s="166"/>
      <c r="Q286" s="166"/>
      <c r="R286" s="166"/>
      <c r="S286" s="166"/>
      <c r="T286" s="166"/>
      <c r="U286" s="166"/>
      <c r="V286" s="166"/>
      <c r="W286" s="166"/>
      <c r="X286" s="166"/>
      <c r="Y286" s="166"/>
      <c r="Z286" s="166"/>
      <c r="AA286" s="166"/>
      <c r="AB286" s="166"/>
      <c r="AC286" s="166"/>
      <c r="AD286" s="166"/>
      <c r="AE286" s="166"/>
      <c r="AF286" s="166"/>
      <c r="AG286" s="166"/>
      <c r="AH286" s="166"/>
      <c r="AI286" s="166"/>
      <c r="AJ286" s="166"/>
      <c r="AK286" s="166"/>
      <c r="AL286" s="166"/>
      <c r="AM286" s="166"/>
      <c r="AN286" s="166"/>
      <c r="AO286" s="166"/>
      <c r="AP286" s="166"/>
      <c r="AQ286" s="166"/>
      <c r="AR286" s="166"/>
      <c r="AS286" s="166"/>
      <c r="AT286" s="166"/>
      <c r="AU286" s="166"/>
      <c r="AV286" s="166"/>
      <c r="AW286" s="166"/>
      <c r="AX286" s="166"/>
      <c r="AY286" s="166"/>
      <c r="AZ286" s="186"/>
      <c r="BA286" s="186"/>
      <c r="BB286" s="186"/>
      <c r="BC286" s="186"/>
      <c r="BD286" s="186"/>
      <c r="BE286" s="186"/>
      <c r="BF286" s="186"/>
      <c r="BG286" s="186"/>
      <c r="BH286" s="186"/>
      <c r="BI286" s="183">
        <f t="shared" si="143"/>
        <v>0</v>
      </c>
      <c r="BJ286" s="183">
        <f t="shared" si="144"/>
        <v>0</v>
      </c>
      <c r="BK286" s="183">
        <f t="shared" si="145"/>
        <v>0</v>
      </c>
      <c r="BL286" s="183">
        <f t="shared" si="146"/>
        <v>0</v>
      </c>
    </row>
    <row r="287" spans="1:64" s="187" customFormat="1" ht="15.75" hidden="1" customHeight="1" outlineLevel="3" x14ac:dyDescent="0.3">
      <c r="A287" s="185"/>
      <c r="B287" s="185"/>
      <c r="C287" s="185"/>
      <c r="D287" s="185"/>
      <c r="E287" s="185" t="s">
        <v>2678</v>
      </c>
      <c r="F287" s="185" t="s">
        <v>83</v>
      </c>
      <c r="G287" s="185">
        <v>78</v>
      </c>
      <c r="H287" s="185" t="str">
        <f>IFERROR(VLOOKUP(G287,'2022. tervsor'!C:D,2,0)," ")</f>
        <v>Bútorok.berend..felszer. tárgyak. textíliák beszerz.</v>
      </c>
      <c r="I287" s="353">
        <f t="shared" si="152"/>
        <v>0</v>
      </c>
      <c r="J287" s="353">
        <f t="shared" si="141"/>
        <v>0</v>
      </c>
      <c r="K287" s="166">
        <f t="shared" si="147"/>
        <v>0</v>
      </c>
      <c r="L287" s="166">
        <f t="shared" si="142"/>
        <v>0</v>
      </c>
      <c r="M287" s="182"/>
      <c r="N287" s="166"/>
      <c r="O287" s="166"/>
      <c r="P287" s="166"/>
      <c r="Q287" s="166"/>
      <c r="R287" s="166"/>
      <c r="S287" s="166"/>
      <c r="T287" s="166"/>
      <c r="U287" s="166"/>
      <c r="V287" s="166"/>
      <c r="W287" s="166"/>
      <c r="X287" s="166"/>
      <c r="Y287" s="166"/>
      <c r="Z287" s="166"/>
      <c r="AA287" s="166"/>
      <c r="AB287" s="166"/>
      <c r="AC287" s="166"/>
      <c r="AD287" s="166"/>
      <c r="AE287" s="166"/>
      <c r="AF287" s="166"/>
      <c r="AG287" s="166"/>
      <c r="AH287" s="166"/>
      <c r="AI287" s="166"/>
      <c r="AJ287" s="166"/>
      <c r="AK287" s="166"/>
      <c r="AL287" s="166"/>
      <c r="AM287" s="166"/>
      <c r="AN287" s="166"/>
      <c r="AO287" s="166"/>
      <c r="AP287" s="166"/>
      <c r="AQ287" s="166"/>
      <c r="AR287" s="166"/>
      <c r="AS287" s="166"/>
      <c r="AT287" s="166"/>
      <c r="AU287" s="166"/>
      <c r="AV287" s="166"/>
      <c r="AW287" s="166"/>
      <c r="AX287" s="166"/>
      <c r="AY287" s="166"/>
      <c r="AZ287" s="186"/>
      <c r="BA287" s="186"/>
      <c r="BB287" s="186"/>
      <c r="BC287" s="186"/>
      <c r="BD287" s="186"/>
      <c r="BE287" s="186"/>
      <c r="BF287" s="186"/>
      <c r="BG287" s="186"/>
      <c r="BH287" s="186"/>
      <c r="BI287" s="183">
        <f t="shared" si="143"/>
        <v>0</v>
      </c>
      <c r="BJ287" s="183">
        <f t="shared" si="144"/>
        <v>0</v>
      </c>
      <c r="BK287" s="183">
        <f t="shared" si="145"/>
        <v>0</v>
      </c>
      <c r="BL287" s="183">
        <f t="shared" si="146"/>
        <v>0</v>
      </c>
    </row>
    <row r="288" spans="1:64" s="187" customFormat="1" ht="15.75" hidden="1" customHeight="1" outlineLevel="3" x14ac:dyDescent="0.3">
      <c r="A288" s="185"/>
      <c r="B288" s="185"/>
      <c r="C288" s="185"/>
      <c r="D288" s="185"/>
      <c r="E288" s="185" t="s">
        <v>2678</v>
      </c>
      <c r="F288" s="185" t="s">
        <v>83</v>
      </c>
      <c r="G288" s="185">
        <v>79</v>
      </c>
      <c r="H288" s="185" t="str">
        <f>IFERROR(VLOOKUP(G288,'2022. tervsor'!C:D,2,0)," ")</f>
        <v>Tisztítószerek. tisztálkodási szerek beszerzése</v>
      </c>
      <c r="I288" s="353">
        <f t="shared" si="152"/>
        <v>0</v>
      </c>
      <c r="J288" s="353">
        <f t="shared" si="141"/>
        <v>0</v>
      </c>
      <c r="K288" s="166">
        <f t="shared" si="147"/>
        <v>0</v>
      </c>
      <c r="L288" s="166">
        <f t="shared" si="142"/>
        <v>0</v>
      </c>
      <c r="M288" s="182"/>
      <c r="N288" s="166"/>
      <c r="O288" s="166"/>
      <c r="P288" s="166"/>
      <c r="Q288" s="166"/>
      <c r="R288" s="166"/>
      <c r="S288" s="166"/>
      <c r="T288" s="166"/>
      <c r="U288" s="166"/>
      <c r="V288" s="166"/>
      <c r="W288" s="166"/>
      <c r="X288" s="166"/>
      <c r="Y288" s="166"/>
      <c r="Z288" s="166"/>
      <c r="AA288" s="166"/>
      <c r="AB288" s="166"/>
      <c r="AC288" s="166"/>
      <c r="AD288" s="166"/>
      <c r="AE288" s="166"/>
      <c r="AF288" s="166"/>
      <c r="AG288" s="166"/>
      <c r="AH288" s="166"/>
      <c r="AI288" s="166"/>
      <c r="AJ288" s="166"/>
      <c r="AK288" s="166"/>
      <c r="AL288" s="166"/>
      <c r="AM288" s="166"/>
      <c r="AN288" s="166"/>
      <c r="AO288" s="166"/>
      <c r="AP288" s="166"/>
      <c r="AQ288" s="166"/>
      <c r="AR288" s="166"/>
      <c r="AS288" s="166"/>
      <c r="AT288" s="166"/>
      <c r="AU288" s="166"/>
      <c r="AV288" s="166"/>
      <c r="AW288" s="166"/>
      <c r="AX288" s="166"/>
      <c r="AY288" s="166"/>
      <c r="AZ288" s="186"/>
      <c r="BA288" s="186"/>
      <c r="BB288" s="186"/>
      <c r="BC288" s="186"/>
      <c r="BD288" s="186"/>
      <c r="BE288" s="186"/>
      <c r="BF288" s="186"/>
      <c r="BG288" s="186"/>
      <c r="BH288" s="186"/>
      <c r="BI288" s="183">
        <f t="shared" si="143"/>
        <v>0</v>
      </c>
      <c r="BJ288" s="183">
        <f t="shared" si="144"/>
        <v>0</v>
      </c>
      <c r="BK288" s="183">
        <f t="shared" si="145"/>
        <v>0</v>
      </c>
      <c r="BL288" s="183">
        <f t="shared" si="146"/>
        <v>0</v>
      </c>
    </row>
    <row r="289" spans="1:64" s="187" customFormat="1" ht="15.75" hidden="1" customHeight="1" outlineLevel="3" x14ac:dyDescent="0.3">
      <c r="A289" s="185"/>
      <c r="B289" s="185"/>
      <c r="C289" s="185"/>
      <c r="D289" s="185"/>
      <c r="E289" s="185" t="s">
        <v>2678</v>
      </c>
      <c r="F289" s="185" t="s">
        <v>83</v>
      </c>
      <c r="G289" s="185">
        <v>80</v>
      </c>
      <c r="H289" s="185" t="str">
        <f>IFERROR(VLOOKUP(G289,'2022. tervsor'!C:D,2,0)," ")</f>
        <v>Számítástechnikai alkatrészek.készletek beszerzése</v>
      </c>
      <c r="I289" s="353">
        <f t="shared" si="152"/>
        <v>0</v>
      </c>
      <c r="J289" s="353">
        <f t="shared" si="141"/>
        <v>0</v>
      </c>
      <c r="K289" s="166">
        <f t="shared" si="147"/>
        <v>0</v>
      </c>
      <c r="L289" s="166">
        <f t="shared" si="142"/>
        <v>0</v>
      </c>
      <c r="M289" s="182"/>
      <c r="N289" s="166"/>
      <c r="O289" s="166"/>
      <c r="P289" s="166"/>
      <c r="Q289" s="166"/>
      <c r="R289" s="166"/>
      <c r="S289" s="166"/>
      <c r="T289" s="166"/>
      <c r="U289" s="166"/>
      <c r="V289" s="166"/>
      <c r="W289" s="166"/>
      <c r="X289" s="166"/>
      <c r="Y289" s="166"/>
      <c r="Z289" s="166"/>
      <c r="AA289" s="166"/>
      <c r="AB289" s="166"/>
      <c r="AC289" s="166"/>
      <c r="AD289" s="166"/>
      <c r="AE289" s="166"/>
      <c r="AF289" s="166"/>
      <c r="AG289" s="166"/>
      <c r="AH289" s="166"/>
      <c r="AI289" s="166"/>
      <c r="AJ289" s="166"/>
      <c r="AK289" s="166"/>
      <c r="AL289" s="166"/>
      <c r="AM289" s="166"/>
      <c r="AN289" s="166"/>
      <c r="AO289" s="166"/>
      <c r="AP289" s="166"/>
      <c r="AQ289" s="166"/>
      <c r="AR289" s="166"/>
      <c r="AS289" s="166"/>
      <c r="AT289" s="166"/>
      <c r="AU289" s="166"/>
      <c r="AV289" s="166"/>
      <c r="AW289" s="166"/>
      <c r="AX289" s="166"/>
      <c r="AY289" s="166"/>
      <c r="AZ289" s="186"/>
      <c r="BA289" s="186"/>
      <c r="BB289" s="186"/>
      <c r="BC289" s="186"/>
      <c r="BD289" s="186"/>
      <c r="BE289" s="186"/>
      <c r="BF289" s="186"/>
      <c r="BG289" s="186"/>
      <c r="BH289" s="186"/>
      <c r="BI289" s="183">
        <f t="shared" si="143"/>
        <v>0</v>
      </c>
      <c r="BJ289" s="183">
        <f t="shared" si="144"/>
        <v>0</v>
      </c>
      <c r="BK289" s="183">
        <f t="shared" si="145"/>
        <v>0</v>
      </c>
      <c r="BL289" s="183">
        <f t="shared" si="146"/>
        <v>0</v>
      </c>
    </row>
    <row r="290" spans="1:64" s="187" customFormat="1" ht="15.75" hidden="1" customHeight="1" outlineLevel="3" x14ac:dyDescent="0.3">
      <c r="A290" s="185"/>
      <c r="B290" s="185"/>
      <c r="C290" s="185"/>
      <c r="D290" s="185"/>
      <c r="E290" s="185" t="s">
        <v>2678</v>
      </c>
      <c r="F290" s="185" t="s">
        <v>83</v>
      </c>
      <c r="G290" s="185">
        <v>81</v>
      </c>
      <c r="H290" s="185" t="str">
        <f>IFERROR(VLOOKUP(G290,'2022. tervsor'!C:D,2,0)," ")</f>
        <v>Egyéb készletbeszerzés</v>
      </c>
      <c r="I290" s="353">
        <f t="shared" si="152"/>
        <v>0</v>
      </c>
      <c r="J290" s="353">
        <f t="shared" si="141"/>
        <v>0</v>
      </c>
      <c r="K290" s="166">
        <f t="shared" si="147"/>
        <v>0</v>
      </c>
      <c r="L290" s="166">
        <f t="shared" si="142"/>
        <v>0</v>
      </c>
      <c r="M290" s="182"/>
      <c r="N290" s="166"/>
      <c r="O290" s="166"/>
      <c r="P290" s="166"/>
      <c r="Q290" s="166"/>
      <c r="R290" s="166"/>
      <c r="S290" s="166"/>
      <c r="T290" s="166"/>
      <c r="U290" s="166"/>
      <c r="V290" s="166"/>
      <c r="W290" s="166"/>
      <c r="X290" s="166"/>
      <c r="Y290" s="166"/>
      <c r="Z290" s="166"/>
      <c r="AA290" s="166"/>
      <c r="AB290" s="166"/>
      <c r="AC290" s="166"/>
      <c r="AD290" s="166"/>
      <c r="AE290" s="166"/>
      <c r="AF290" s="166"/>
      <c r="AG290" s="166"/>
      <c r="AH290" s="166"/>
      <c r="AI290" s="166"/>
      <c r="AJ290" s="166"/>
      <c r="AK290" s="166"/>
      <c r="AL290" s="166"/>
      <c r="AM290" s="166"/>
      <c r="AN290" s="166"/>
      <c r="AO290" s="166"/>
      <c r="AP290" s="166"/>
      <c r="AQ290" s="166"/>
      <c r="AR290" s="166"/>
      <c r="AS290" s="166"/>
      <c r="AT290" s="166"/>
      <c r="AU290" s="166"/>
      <c r="AV290" s="166"/>
      <c r="AW290" s="166"/>
      <c r="AX290" s="166"/>
      <c r="AY290" s="166"/>
      <c r="AZ290" s="186"/>
      <c r="BA290" s="186"/>
      <c r="BB290" s="186"/>
      <c r="BC290" s="186"/>
      <c r="BD290" s="186"/>
      <c r="BE290" s="186"/>
      <c r="BF290" s="186"/>
      <c r="BG290" s="186"/>
      <c r="BH290" s="186"/>
      <c r="BI290" s="183">
        <f t="shared" si="143"/>
        <v>0</v>
      </c>
      <c r="BJ290" s="183">
        <f t="shared" si="144"/>
        <v>0</v>
      </c>
      <c r="BK290" s="183">
        <f t="shared" si="145"/>
        <v>0</v>
      </c>
      <c r="BL290" s="183">
        <f t="shared" si="146"/>
        <v>0</v>
      </c>
    </row>
    <row r="291" spans="1:64" s="187" customFormat="1" ht="15.75" hidden="1" customHeight="1" outlineLevel="3" x14ac:dyDescent="0.3">
      <c r="A291" s="185"/>
      <c r="B291" s="185"/>
      <c r="C291" s="185"/>
      <c r="D291" s="185"/>
      <c r="E291" s="185" t="s">
        <v>2678</v>
      </c>
      <c r="F291" s="185" t="s">
        <v>83</v>
      </c>
      <c r="G291" s="185">
        <v>84</v>
      </c>
      <c r="H291" s="185" t="str">
        <f>IFERROR(VLOOKUP(G291,'2022. tervsor'!C:D,2,0)," ")</f>
        <v>Számítástechnikai oktatási szolg.</v>
      </c>
      <c r="I291" s="353">
        <f t="shared" si="152"/>
        <v>0</v>
      </c>
      <c r="J291" s="353">
        <f t="shared" si="141"/>
        <v>0</v>
      </c>
      <c r="K291" s="166">
        <f t="shared" si="147"/>
        <v>0</v>
      </c>
      <c r="L291" s="166">
        <f t="shared" si="142"/>
        <v>0</v>
      </c>
      <c r="M291" s="182"/>
      <c r="N291" s="166"/>
      <c r="O291" s="166"/>
      <c r="P291" s="166"/>
      <c r="Q291" s="166"/>
      <c r="R291" s="166"/>
      <c r="S291" s="166"/>
      <c r="T291" s="166"/>
      <c r="U291" s="166"/>
      <c r="V291" s="166"/>
      <c r="W291" s="166"/>
      <c r="X291" s="166"/>
      <c r="Y291" s="166"/>
      <c r="Z291" s="166"/>
      <c r="AA291" s="166"/>
      <c r="AB291" s="166"/>
      <c r="AC291" s="166"/>
      <c r="AD291" s="166"/>
      <c r="AE291" s="166"/>
      <c r="AF291" s="166"/>
      <c r="AG291" s="166"/>
      <c r="AH291" s="166"/>
      <c r="AI291" s="166"/>
      <c r="AJ291" s="166"/>
      <c r="AK291" s="166"/>
      <c r="AL291" s="166"/>
      <c r="AM291" s="166"/>
      <c r="AN291" s="166"/>
      <c r="AO291" s="166"/>
      <c r="AP291" s="166"/>
      <c r="AQ291" s="166"/>
      <c r="AR291" s="166"/>
      <c r="AS291" s="166"/>
      <c r="AT291" s="166"/>
      <c r="AU291" s="166"/>
      <c r="AV291" s="166"/>
      <c r="AW291" s="166"/>
      <c r="AX291" s="166"/>
      <c r="AY291" s="166"/>
      <c r="AZ291" s="186"/>
      <c r="BA291" s="186"/>
      <c r="BB291" s="186"/>
      <c r="BC291" s="186"/>
      <c r="BD291" s="186"/>
      <c r="BE291" s="186"/>
      <c r="BF291" s="186"/>
      <c r="BG291" s="186"/>
      <c r="BH291" s="186"/>
      <c r="BI291" s="183">
        <f t="shared" si="143"/>
        <v>0</v>
      </c>
      <c r="BJ291" s="183">
        <f t="shared" si="144"/>
        <v>0</v>
      </c>
      <c r="BK291" s="183">
        <f t="shared" si="145"/>
        <v>0</v>
      </c>
      <c r="BL291" s="183">
        <f t="shared" si="146"/>
        <v>0</v>
      </c>
    </row>
    <row r="292" spans="1:64" s="187" customFormat="1" ht="15.75" hidden="1" customHeight="1" outlineLevel="3" x14ac:dyDescent="0.3">
      <c r="A292" s="185"/>
      <c r="B292" s="185"/>
      <c r="C292" s="185"/>
      <c r="D292" s="185"/>
      <c r="E292" s="185" t="s">
        <v>2678</v>
      </c>
      <c r="F292" s="185" t="s">
        <v>83</v>
      </c>
      <c r="G292" s="185">
        <v>85</v>
      </c>
      <c r="H292" s="185" t="str">
        <f>IFERROR(VLOOKUP(G292,'2022. tervsor'!C:D,2,0)," ")</f>
        <v>Inform.eszközök, szolg.bérlet,lízingelés ktg.</v>
      </c>
      <c r="I292" s="353">
        <f t="shared" si="152"/>
        <v>0</v>
      </c>
      <c r="J292" s="353">
        <f t="shared" si="141"/>
        <v>0</v>
      </c>
      <c r="K292" s="166">
        <f t="shared" si="147"/>
        <v>0</v>
      </c>
      <c r="L292" s="166">
        <f t="shared" si="142"/>
        <v>0</v>
      </c>
      <c r="M292" s="182"/>
      <c r="N292" s="166"/>
      <c r="O292" s="166"/>
      <c r="P292" s="166"/>
      <c r="Q292" s="166"/>
      <c r="R292" s="166"/>
      <c r="S292" s="166"/>
      <c r="T292" s="166"/>
      <c r="U292" s="166"/>
      <c r="V292" s="166"/>
      <c r="W292" s="166"/>
      <c r="X292" s="166"/>
      <c r="Y292" s="166"/>
      <c r="Z292" s="166"/>
      <c r="AA292" s="166"/>
      <c r="AB292" s="166"/>
      <c r="AC292" s="166"/>
      <c r="AD292" s="166"/>
      <c r="AE292" s="166"/>
      <c r="AF292" s="166"/>
      <c r="AG292" s="166"/>
      <c r="AH292" s="166"/>
      <c r="AI292" s="166"/>
      <c r="AJ292" s="166"/>
      <c r="AK292" s="166"/>
      <c r="AL292" s="166"/>
      <c r="AM292" s="166"/>
      <c r="AN292" s="166"/>
      <c r="AO292" s="166"/>
      <c r="AP292" s="166"/>
      <c r="AQ292" s="166"/>
      <c r="AR292" s="166"/>
      <c r="AS292" s="166"/>
      <c r="AT292" s="166"/>
      <c r="AU292" s="166"/>
      <c r="AV292" s="166"/>
      <c r="AW292" s="166"/>
      <c r="AX292" s="166"/>
      <c r="AY292" s="166"/>
      <c r="AZ292" s="186"/>
      <c r="BA292" s="186"/>
      <c r="BB292" s="186"/>
      <c r="BC292" s="186"/>
      <c r="BD292" s="186"/>
      <c r="BE292" s="186"/>
      <c r="BF292" s="186"/>
      <c r="BG292" s="186"/>
      <c r="BH292" s="186"/>
      <c r="BI292" s="183">
        <f t="shared" si="143"/>
        <v>0</v>
      </c>
      <c r="BJ292" s="183">
        <f t="shared" si="144"/>
        <v>0</v>
      </c>
      <c r="BK292" s="183">
        <f t="shared" si="145"/>
        <v>0</v>
      </c>
      <c r="BL292" s="183">
        <f t="shared" si="146"/>
        <v>0</v>
      </c>
    </row>
    <row r="293" spans="1:64" s="187" customFormat="1" ht="15.75" hidden="1" customHeight="1" outlineLevel="3" x14ac:dyDescent="0.3">
      <c r="A293" s="185"/>
      <c r="B293" s="185"/>
      <c r="C293" s="185"/>
      <c r="D293" s="185"/>
      <c r="E293" s="185" t="s">
        <v>2678</v>
      </c>
      <c r="F293" s="185" t="s">
        <v>83</v>
      </c>
      <c r="G293" s="185">
        <v>86</v>
      </c>
      <c r="H293" s="185" t="str">
        <f>IFERROR(VLOOKUP(G293,'2022. tervsor'!C:D,2,0)," ")</f>
        <v>Informatikai eszközök karbantartása. kisjav.</v>
      </c>
      <c r="I293" s="353">
        <f t="shared" si="152"/>
        <v>0</v>
      </c>
      <c r="J293" s="353">
        <f t="shared" si="141"/>
        <v>0</v>
      </c>
      <c r="K293" s="166">
        <f t="shared" si="147"/>
        <v>0</v>
      </c>
      <c r="L293" s="166">
        <f t="shared" si="142"/>
        <v>0</v>
      </c>
      <c r="M293" s="182"/>
      <c r="N293" s="166"/>
      <c r="O293" s="166"/>
      <c r="P293" s="166"/>
      <c r="Q293" s="166"/>
      <c r="R293" s="166"/>
      <c r="S293" s="166"/>
      <c r="T293" s="166"/>
      <c r="U293" s="166"/>
      <c r="V293" s="166"/>
      <c r="W293" s="166"/>
      <c r="X293" s="166"/>
      <c r="Y293" s="166"/>
      <c r="Z293" s="166"/>
      <c r="AA293" s="166"/>
      <c r="AB293" s="166"/>
      <c r="AC293" s="166"/>
      <c r="AD293" s="166"/>
      <c r="AE293" s="166"/>
      <c r="AF293" s="166"/>
      <c r="AG293" s="166"/>
      <c r="AH293" s="166"/>
      <c r="AI293" s="166"/>
      <c r="AJ293" s="166"/>
      <c r="AK293" s="166"/>
      <c r="AL293" s="166"/>
      <c r="AM293" s="166"/>
      <c r="AN293" s="166"/>
      <c r="AO293" s="166"/>
      <c r="AP293" s="166"/>
      <c r="AQ293" s="166"/>
      <c r="AR293" s="166"/>
      <c r="AS293" s="166"/>
      <c r="AT293" s="166"/>
      <c r="AU293" s="166"/>
      <c r="AV293" s="166"/>
      <c r="AW293" s="166"/>
      <c r="AX293" s="166"/>
      <c r="AY293" s="166"/>
      <c r="AZ293" s="186"/>
      <c r="BA293" s="186"/>
      <c r="BB293" s="186"/>
      <c r="BC293" s="186"/>
      <c r="BD293" s="186"/>
      <c r="BE293" s="186"/>
      <c r="BF293" s="186"/>
      <c r="BG293" s="186"/>
      <c r="BH293" s="186"/>
      <c r="BI293" s="183">
        <f t="shared" si="143"/>
        <v>0</v>
      </c>
      <c r="BJ293" s="183">
        <f t="shared" si="144"/>
        <v>0</v>
      </c>
      <c r="BK293" s="183">
        <f t="shared" si="145"/>
        <v>0</v>
      </c>
      <c r="BL293" s="183">
        <f t="shared" si="146"/>
        <v>0</v>
      </c>
    </row>
    <row r="294" spans="1:64" s="187" customFormat="1" ht="15.75" hidden="1" customHeight="1" outlineLevel="3" x14ac:dyDescent="0.3">
      <c r="A294" s="185"/>
      <c r="B294" s="185"/>
      <c r="C294" s="185"/>
      <c r="D294" s="185"/>
      <c r="E294" s="185" t="s">
        <v>2678</v>
      </c>
      <c r="F294" s="185" t="s">
        <v>83</v>
      </c>
      <c r="G294" s="185">
        <v>87</v>
      </c>
      <c r="H294" s="185" t="str">
        <f>IFERROR(VLOOKUP(G294,'2022. tervsor'!C:D,2,0)," ")</f>
        <v>Adatfeldolgozási szolgáltatások</v>
      </c>
      <c r="I294" s="353">
        <f t="shared" si="152"/>
        <v>0</v>
      </c>
      <c r="J294" s="353">
        <f t="shared" si="141"/>
        <v>0</v>
      </c>
      <c r="K294" s="166">
        <f t="shared" si="147"/>
        <v>0</v>
      </c>
      <c r="L294" s="166">
        <f t="shared" si="142"/>
        <v>0</v>
      </c>
      <c r="M294" s="182"/>
      <c r="N294" s="166"/>
      <c r="O294" s="166"/>
      <c r="P294" s="166"/>
      <c r="Q294" s="166"/>
      <c r="R294" s="166"/>
      <c r="S294" s="166"/>
      <c r="T294" s="166"/>
      <c r="U294" s="166"/>
      <c r="V294" s="166"/>
      <c r="W294" s="166"/>
      <c r="X294" s="166"/>
      <c r="Y294" s="166"/>
      <c r="Z294" s="166"/>
      <c r="AA294" s="166"/>
      <c r="AB294" s="166"/>
      <c r="AC294" s="166"/>
      <c r="AD294" s="166"/>
      <c r="AE294" s="166"/>
      <c r="AF294" s="166"/>
      <c r="AG294" s="166"/>
      <c r="AH294" s="166"/>
      <c r="AI294" s="166"/>
      <c r="AJ294" s="166"/>
      <c r="AK294" s="166"/>
      <c r="AL294" s="166"/>
      <c r="AM294" s="166"/>
      <c r="AN294" s="166"/>
      <c r="AO294" s="166"/>
      <c r="AP294" s="166"/>
      <c r="AQ294" s="166"/>
      <c r="AR294" s="166"/>
      <c r="AS294" s="166"/>
      <c r="AT294" s="166"/>
      <c r="AU294" s="166"/>
      <c r="AV294" s="166"/>
      <c r="AW294" s="166"/>
      <c r="AX294" s="166"/>
      <c r="AY294" s="166"/>
      <c r="AZ294" s="186"/>
      <c r="BA294" s="186"/>
      <c r="BB294" s="186"/>
      <c r="BC294" s="186"/>
      <c r="BD294" s="186"/>
      <c r="BE294" s="186"/>
      <c r="BF294" s="186"/>
      <c r="BG294" s="186"/>
      <c r="BH294" s="186"/>
      <c r="BI294" s="183">
        <f t="shared" si="143"/>
        <v>0</v>
      </c>
      <c r="BJ294" s="183">
        <f t="shared" si="144"/>
        <v>0</v>
      </c>
      <c r="BK294" s="183">
        <f t="shared" si="145"/>
        <v>0</v>
      </c>
      <c r="BL294" s="183">
        <f t="shared" si="146"/>
        <v>0</v>
      </c>
    </row>
    <row r="295" spans="1:64" s="187" customFormat="1" ht="15.75" hidden="1" customHeight="1" outlineLevel="3" x14ac:dyDescent="0.3">
      <c r="A295" s="185"/>
      <c r="B295" s="185"/>
      <c r="C295" s="185"/>
      <c r="D295" s="185"/>
      <c r="E295" s="185" t="s">
        <v>2678</v>
      </c>
      <c r="F295" s="185" t="s">
        <v>83</v>
      </c>
      <c r="G295" s="185">
        <v>88</v>
      </c>
      <c r="H295" s="185" t="str">
        <f>IFERROR(VLOOKUP(G295,'2022. tervsor'!C:D,2,0)," ")</f>
        <v>Adatátviteli célú távközlési díjak</v>
      </c>
      <c r="I295" s="353">
        <f t="shared" si="152"/>
        <v>0</v>
      </c>
      <c r="J295" s="353">
        <f t="shared" si="141"/>
        <v>0</v>
      </c>
      <c r="K295" s="166">
        <f t="shared" ref="K295:K368" si="153">+I295-J295</f>
        <v>0</v>
      </c>
      <c r="L295" s="166">
        <f t="shared" si="142"/>
        <v>0</v>
      </c>
      <c r="M295" s="182"/>
      <c r="N295" s="166"/>
      <c r="O295" s="166"/>
      <c r="P295" s="166"/>
      <c r="Q295" s="166"/>
      <c r="R295" s="166"/>
      <c r="S295" s="166"/>
      <c r="T295" s="166"/>
      <c r="U295" s="166"/>
      <c r="V295" s="166"/>
      <c r="W295" s="166"/>
      <c r="X295" s="166"/>
      <c r="Y295" s="166"/>
      <c r="Z295" s="166"/>
      <c r="AA295" s="166"/>
      <c r="AB295" s="166"/>
      <c r="AC295" s="166"/>
      <c r="AD295" s="166"/>
      <c r="AE295" s="166"/>
      <c r="AF295" s="166"/>
      <c r="AG295" s="166"/>
      <c r="AH295" s="166"/>
      <c r="AI295" s="166"/>
      <c r="AJ295" s="166"/>
      <c r="AK295" s="166"/>
      <c r="AL295" s="166"/>
      <c r="AM295" s="166"/>
      <c r="AN295" s="166"/>
      <c r="AO295" s="166"/>
      <c r="AP295" s="166"/>
      <c r="AQ295" s="166"/>
      <c r="AR295" s="166"/>
      <c r="AS295" s="166"/>
      <c r="AT295" s="166"/>
      <c r="AU295" s="166"/>
      <c r="AV295" s="166"/>
      <c r="AW295" s="166"/>
      <c r="AX295" s="166"/>
      <c r="AY295" s="166"/>
      <c r="AZ295" s="186"/>
      <c r="BA295" s="186"/>
      <c r="BB295" s="186"/>
      <c r="BC295" s="186"/>
      <c r="BD295" s="186"/>
      <c r="BE295" s="186"/>
      <c r="BF295" s="186"/>
      <c r="BG295" s="186"/>
      <c r="BH295" s="186"/>
      <c r="BI295" s="183">
        <f t="shared" si="143"/>
        <v>0</v>
      </c>
      <c r="BJ295" s="183">
        <f t="shared" si="144"/>
        <v>0</v>
      </c>
      <c r="BK295" s="183">
        <f t="shared" si="145"/>
        <v>0</v>
      </c>
      <c r="BL295" s="183">
        <f t="shared" si="146"/>
        <v>0</v>
      </c>
    </row>
    <row r="296" spans="1:64" s="187" customFormat="1" ht="15.75" hidden="1" customHeight="1" outlineLevel="3" x14ac:dyDescent="0.3">
      <c r="A296" s="185"/>
      <c r="B296" s="185"/>
      <c r="C296" s="185"/>
      <c r="D296" s="185"/>
      <c r="E296" s="185" t="s">
        <v>2678</v>
      </c>
      <c r="F296" s="185" t="s">
        <v>83</v>
      </c>
      <c r="G296" s="185">
        <v>90</v>
      </c>
      <c r="H296" s="185" t="str">
        <f>IFERROR(VLOOKUP(G296,'2022. tervsor'!C:D,2,0)," ")</f>
        <v>TV előfizetési díj</v>
      </c>
      <c r="I296" s="353">
        <f t="shared" si="152"/>
        <v>0</v>
      </c>
      <c r="J296" s="353">
        <f t="shared" si="141"/>
        <v>0</v>
      </c>
      <c r="K296" s="166">
        <f t="shared" si="153"/>
        <v>0</v>
      </c>
      <c r="L296" s="166">
        <f t="shared" si="142"/>
        <v>0</v>
      </c>
      <c r="M296" s="182"/>
      <c r="N296" s="166"/>
      <c r="O296" s="166"/>
      <c r="P296" s="166"/>
      <c r="Q296" s="166"/>
      <c r="R296" s="166"/>
      <c r="S296" s="166"/>
      <c r="T296" s="166"/>
      <c r="U296" s="166"/>
      <c r="V296" s="166"/>
      <c r="W296" s="166"/>
      <c r="X296" s="166"/>
      <c r="Y296" s="166"/>
      <c r="Z296" s="166"/>
      <c r="AA296" s="166"/>
      <c r="AB296" s="166"/>
      <c r="AC296" s="166"/>
      <c r="AD296" s="166"/>
      <c r="AE296" s="166"/>
      <c r="AF296" s="166"/>
      <c r="AG296" s="166"/>
      <c r="AH296" s="166"/>
      <c r="AI296" s="166"/>
      <c r="AJ296" s="166"/>
      <c r="AK296" s="166"/>
      <c r="AL296" s="166"/>
      <c r="AM296" s="166"/>
      <c r="AN296" s="166"/>
      <c r="AO296" s="166"/>
      <c r="AP296" s="166"/>
      <c r="AQ296" s="166"/>
      <c r="AR296" s="166"/>
      <c r="AS296" s="166"/>
      <c r="AT296" s="166"/>
      <c r="AU296" s="166"/>
      <c r="AV296" s="166"/>
      <c r="AW296" s="166"/>
      <c r="AX296" s="166"/>
      <c r="AY296" s="166"/>
      <c r="AZ296" s="186"/>
      <c r="BA296" s="186"/>
      <c r="BB296" s="186"/>
      <c r="BC296" s="186"/>
      <c r="BD296" s="186"/>
      <c r="BE296" s="186"/>
      <c r="BF296" s="186"/>
      <c r="BG296" s="186"/>
      <c r="BH296" s="186"/>
      <c r="BI296" s="183">
        <f t="shared" si="143"/>
        <v>0</v>
      </c>
      <c r="BJ296" s="183">
        <f t="shared" si="144"/>
        <v>0</v>
      </c>
      <c r="BK296" s="183">
        <f t="shared" si="145"/>
        <v>0</v>
      </c>
      <c r="BL296" s="183">
        <f t="shared" si="146"/>
        <v>0</v>
      </c>
    </row>
    <row r="297" spans="1:64" s="187" customFormat="1" ht="15.75" hidden="1" customHeight="1" outlineLevel="3" x14ac:dyDescent="0.3">
      <c r="A297" s="185"/>
      <c r="B297" s="185"/>
      <c r="C297" s="185"/>
      <c r="D297" s="185"/>
      <c r="E297" s="185" t="s">
        <v>2678</v>
      </c>
      <c r="F297" s="185" t="s">
        <v>83</v>
      </c>
      <c r="G297" s="185">
        <v>91</v>
      </c>
      <c r="H297" s="185" t="str">
        <f>IFERROR(VLOOKUP(G297,'2022. tervsor'!C:D,2,0)," ")</f>
        <v>Egyéb kommunikációs szolgáltatások</v>
      </c>
      <c r="I297" s="353">
        <f t="shared" si="152"/>
        <v>0</v>
      </c>
      <c r="J297" s="353">
        <f t="shared" si="141"/>
        <v>0</v>
      </c>
      <c r="K297" s="166">
        <f t="shared" si="153"/>
        <v>0</v>
      </c>
      <c r="L297" s="166">
        <f t="shared" si="142"/>
        <v>0</v>
      </c>
      <c r="M297" s="182"/>
      <c r="N297" s="166"/>
      <c r="O297" s="166"/>
      <c r="P297" s="166"/>
      <c r="Q297" s="166"/>
      <c r="R297" s="166"/>
      <c r="S297" s="166"/>
      <c r="T297" s="166"/>
      <c r="U297" s="166"/>
      <c r="V297" s="166"/>
      <c r="W297" s="166"/>
      <c r="X297" s="166"/>
      <c r="Y297" s="166"/>
      <c r="Z297" s="166"/>
      <c r="AA297" s="166"/>
      <c r="AB297" s="166"/>
      <c r="AC297" s="166"/>
      <c r="AD297" s="166"/>
      <c r="AE297" s="166"/>
      <c r="AF297" s="166"/>
      <c r="AG297" s="166"/>
      <c r="AH297" s="166"/>
      <c r="AI297" s="166"/>
      <c r="AJ297" s="166"/>
      <c r="AK297" s="166"/>
      <c r="AL297" s="166"/>
      <c r="AM297" s="166"/>
      <c r="AN297" s="166"/>
      <c r="AO297" s="166"/>
      <c r="AP297" s="166"/>
      <c r="AQ297" s="166"/>
      <c r="AR297" s="166"/>
      <c r="AS297" s="166"/>
      <c r="AT297" s="166"/>
      <c r="AU297" s="166"/>
      <c r="AV297" s="166"/>
      <c r="AW297" s="166"/>
      <c r="AX297" s="166"/>
      <c r="AY297" s="166"/>
      <c r="AZ297" s="186"/>
      <c r="BA297" s="186"/>
      <c r="BB297" s="186"/>
      <c r="BC297" s="186"/>
      <c r="BD297" s="186"/>
      <c r="BE297" s="186"/>
      <c r="BF297" s="186"/>
      <c r="BG297" s="186"/>
      <c r="BH297" s="186"/>
      <c r="BI297" s="183">
        <f t="shared" si="143"/>
        <v>0</v>
      </c>
      <c r="BJ297" s="183">
        <f t="shared" si="144"/>
        <v>0</v>
      </c>
      <c r="BK297" s="183">
        <f t="shared" si="145"/>
        <v>0</v>
      </c>
      <c r="BL297" s="183">
        <f t="shared" si="146"/>
        <v>0</v>
      </c>
    </row>
    <row r="298" spans="1:64" s="187" customFormat="1" ht="15.75" hidden="1" customHeight="1" outlineLevel="3" x14ac:dyDescent="0.3">
      <c r="A298" s="185"/>
      <c r="B298" s="185"/>
      <c r="C298" s="185"/>
      <c r="D298" s="185"/>
      <c r="E298" s="185" t="s">
        <v>2678</v>
      </c>
      <c r="F298" s="185" t="s">
        <v>83</v>
      </c>
      <c r="G298" s="185">
        <v>92</v>
      </c>
      <c r="H298" s="185" t="str">
        <f>IFERROR(VLOOKUP(G298,'2022. tervsor'!C:D,2,0)," ")</f>
        <v>Nem adatátviteli célú távközlési díjak</v>
      </c>
      <c r="I298" s="353">
        <f t="shared" si="152"/>
        <v>0</v>
      </c>
      <c r="J298" s="353">
        <f t="shared" si="141"/>
        <v>0</v>
      </c>
      <c r="K298" s="166">
        <f t="shared" si="153"/>
        <v>0</v>
      </c>
      <c r="L298" s="166">
        <f t="shared" si="142"/>
        <v>0</v>
      </c>
      <c r="M298" s="182"/>
      <c r="N298" s="166"/>
      <c r="O298" s="166"/>
      <c r="P298" s="166"/>
      <c r="Q298" s="166"/>
      <c r="R298" s="166"/>
      <c r="S298" s="166"/>
      <c r="T298" s="166"/>
      <c r="U298" s="166"/>
      <c r="V298" s="166"/>
      <c r="W298" s="166"/>
      <c r="X298" s="166"/>
      <c r="Y298" s="166"/>
      <c r="Z298" s="166"/>
      <c r="AA298" s="166"/>
      <c r="AB298" s="166"/>
      <c r="AC298" s="166"/>
      <c r="AD298" s="166"/>
      <c r="AE298" s="166"/>
      <c r="AF298" s="166"/>
      <c r="AG298" s="166"/>
      <c r="AH298" s="166"/>
      <c r="AI298" s="166"/>
      <c r="AJ298" s="166"/>
      <c r="AK298" s="166"/>
      <c r="AL298" s="166"/>
      <c r="AM298" s="166"/>
      <c r="AN298" s="166"/>
      <c r="AO298" s="166"/>
      <c r="AP298" s="166"/>
      <c r="AQ298" s="166"/>
      <c r="AR298" s="166"/>
      <c r="AS298" s="166"/>
      <c r="AT298" s="166"/>
      <c r="AU298" s="166"/>
      <c r="AV298" s="166"/>
      <c r="AW298" s="166"/>
      <c r="AX298" s="166"/>
      <c r="AY298" s="166"/>
      <c r="AZ298" s="186"/>
      <c r="BA298" s="186"/>
      <c r="BB298" s="186"/>
      <c r="BC298" s="186"/>
      <c r="BD298" s="186"/>
      <c r="BE298" s="186"/>
      <c r="BF298" s="186"/>
      <c r="BG298" s="186"/>
      <c r="BH298" s="186"/>
      <c r="BI298" s="183">
        <f t="shared" si="143"/>
        <v>0</v>
      </c>
      <c r="BJ298" s="183">
        <f t="shared" si="144"/>
        <v>0</v>
      </c>
      <c r="BK298" s="183">
        <f t="shared" si="145"/>
        <v>0</v>
      </c>
      <c r="BL298" s="183">
        <f t="shared" si="146"/>
        <v>0</v>
      </c>
    </row>
    <row r="299" spans="1:64" s="187" customFormat="1" ht="15.75" hidden="1" customHeight="1" outlineLevel="3" x14ac:dyDescent="0.3">
      <c r="A299" s="185"/>
      <c r="B299" s="185"/>
      <c r="C299" s="185"/>
      <c r="D299" s="185"/>
      <c r="E299" s="185" t="s">
        <v>2678</v>
      </c>
      <c r="F299" s="185" t="s">
        <v>83</v>
      </c>
      <c r="G299" s="185">
        <v>93</v>
      </c>
      <c r="H299" s="185" t="str">
        <f>IFERROR(VLOOKUP(G299,'2022. tervsor'!C:D,2,0)," ")</f>
        <v>Nem járulékköteles távközlési díj</v>
      </c>
      <c r="I299" s="353">
        <f t="shared" si="152"/>
        <v>0</v>
      </c>
      <c r="J299" s="353">
        <f t="shared" si="141"/>
        <v>0</v>
      </c>
      <c r="K299" s="166">
        <f t="shared" si="153"/>
        <v>0</v>
      </c>
      <c r="L299" s="166">
        <f t="shared" si="142"/>
        <v>0</v>
      </c>
      <c r="M299" s="182"/>
      <c r="N299" s="166"/>
      <c r="O299" s="166"/>
      <c r="P299" s="166"/>
      <c r="Q299" s="166"/>
      <c r="R299" s="166"/>
      <c r="S299" s="166"/>
      <c r="T299" s="166"/>
      <c r="U299" s="166"/>
      <c r="V299" s="166"/>
      <c r="W299" s="166"/>
      <c r="X299" s="166"/>
      <c r="Y299" s="166"/>
      <c r="Z299" s="166"/>
      <c r="AA299" s="166"/>
      <c r="AB299" s="166"/>
      <c r="AC299" s="166"/>
      <c r="AD299" s="166"/>
      <c r="AE299" s="166"/>
      <c r="AF299" s="166"/>
      <c r="AG299" s="166"/>
      <c r="AH299" s="166"/>
      <c r="AI299" s="166"/>
      <c r="AJ299" s="166"/>
      <c r="AK299" s="166"/>
      <c r="AL299" s="166"/>
      <c r="AM299" s="166"/>
      <c r="AN299" s="166"/>
      <c r="AO299" s="166"/>
      <c r="AP299" s="166"/>
      <c r="AQ299" s="166"/>
      <c r="AR299" s="166"/>
      <c r="AS299" s="166"/>
      <c r="AT299" s="166"/>
      <c r="AU299" s="166"/>
      <c r="AV299" s="166"/>
      <c r="AW299" s="166"/>
      <c r="AX299" s="166"/>
      <c r="AY299" s="166"/>
      <c r="AZ299" s="186"/>
      <c r="BA299" s="186"/>
      <c r="BB299" s="186"/>
      <c r="BC299" s="186"/>
      <c r="BD299" s="186"/>
      <c r="BE299" s="186"/>
      <c r="BF299" s="186"/>
      <c r="BG299" s="186"/>
      <c r="BH299" s="186"/>
      <c r="BI299" s="183">
        <f t="shared" si="143"/>
        <v>0</v>
      </c>
      <c r="BJ299" s="183">
        <f t="shared" si="144"/>
        <v>0</v>
      </c>
      <c r="BK299" s="183">
        <f t="shared" si="145"/>
        <v>0</v>
      </c>
      <c r="BL299" s="183">
        <f t="shared" si="146"/>
        <v>0</v>
      </c>
    </row>
    <row r="300" spans="1:64" s="187" customFormat="1" ht="15.75" hidden="1" customHeight="1" outlineLevel="3" x14ac:dyDescent="0.3">
      <c r="A300" s="185"/>
      <c r="B300" s="185"/>
      <c r="C300" s="185"/>
      <c r="D300" s="185"/>
      <c r="E300" s="185" t="s">
        <v>2678</v>
      </c>
      <c r="F300" s="185" t="s">
        <v>83</v>
      </c>
      <c r="G300" s="185">
        <v>96</v>
      </c>
      <c r="H300" s="185" t="str">
        <f>IFERROR(VLOOKUP(G300,'2022. tervsor'!C:D,2,0)," ")</f>
        <v>Villamosenergia szolgáltatás díja</v>
      </c>
      <c r="I300" s="353">
        <f t="shared" si="152"/>
        <v>0</v>
      </c>
      <c r="J300" s="353">
        <f t="shared" si="141"/>
        <v>0</v>
      </c>
      <c r="K300" s="166">
        <f t="shared" si="153"/>
        <v>0</v>
      </c>
      <c r="L300" s="166">
        <f t="shared" si="142"/>
        <v>0</v>
      </c>
      <c r="M300" s="182"/>
      <c r="N300" s="166"/>
      <c r="O300" s="166"/>
      <c r="P300" s="166"/>
      <c r="Q300" s="166"/>
      <c r="R300" s="166"/>
      <c r="S300" s="166"/>
      <c r="T300" s="166"/>
      <c r="U300" s="166"/>
      <c r="V300" s="166"/>
      <c r="W300" s="166"/>
      <c r="X300" s="166"/>
      <c r="Y300" s="166"/>
      <c r="Z300" s="166"/>
      <c r="AA300" s="166"/>
      <c r="AB300" s="166"/>
      <c r="AC300" s="166"/>
      <c r="AD300" s="166"/>
      <c r="AE300" s="166"/>
      <c r="AF300" s="166"/>
      <c r="AG300" s="166"/>
      <c r="AH300" s="166"/>
      <c r="AI300" s="166"/>
      <c r="AJ300" s="166"/>
      <c r="AK300" s="166"/>
      <c r="AL300" s="166"/>
      <c r="AM300" s="166"/>
      <c r="AN300" s="166"/>
      <c r="AO300" s="166"/>
      <c r="AP300" s="166"/>
      <c r="AQ300" s="166"/>
      <c r="AR300" s="166"/>
      <c r="AS300" s="166"/>
      <c r="AT300" s="166"/>
      <c r="AU300" s="166"/>
      <c r="AV300" s="166"/>
      <c r="AW300" s="166"/>
      <c r="AX300" s="166"/>
      <c r="AY300" s="166"/>
      <c r="AZ300" s="186"/>
      <c r="BA300" s="186"/>
      <c r="BB300" s="186"/>
      <c r="BC300" s="186"/>
      <c r="BD300" s="186"/>
      <c r="BE300" s="186"/>
      <c r="BF300" s="186"/>
      <c r="BG300" s="186"/>
      <c r="BH300" s="186"/>
      <c r="BI300" s="183">
        <f t="shared" si="143"/>
        <v>0</v>
      </c>
      <c r="BJ300" s="183">
        <f t="shared" si="144"/>
        <v>0</v>
      </c>
      <c r="BK300" s="183">
        <f t="shared" si="145"/>
        <v>0</v>
      </c>
      <c r="BL300" s="183">
        <f t="shared" si="146"/>
        <v>0</v>
      </c>
    </row>
    <row r="301" spans="1:64" s="187" customFormat="1" ht="15.75" hidden="1" customHeight="1" outlineLevel="3" x14ac:dyDescent="0.3">
      <c r="A301" s="185"/>
      <c r="B301" s="185"/>
      <c r="C301" s="185"/>
      <c r="D301" s="185"/>
      <c r="E301" s="185" t="s">
        <v>2678</v>
      </c>
      <c r="F301" s="185" t="s">
        <v>83</v>
      </c>
      <c r="G301" s="185">
        <v>97</v>
      </c>
      <c r="H301" s="185" t="str">
        <f>IFERROR(VLOOKUP(G301,'2022. tervsor'!C:D,2,0)," ")</f>
        <v>Gázenergia szolgáltatás díja</v>
      </c>
      <c r="I301" s="353">
        <f t="shared" si="152"/>
        <v>0</v>
      </c>
      <c r="J301" s="353">
        <f t="shared" si="141"/>
        <v>0</v>
      </c>
      <c r="K301" s="166">
        <f t="shared" si="153"/>
        <v>0</v>
      </c>
      <c r="L301" s="166">
        <f t="shared" si="142"/>
        <v>0</v>
      </c>
      <c r="M301" s="182"/>
      <c r="N301" s="166"/>
      <c r="O301" s="166"/>
      <c r="P301" s="166"/>
      <c r="Q301" s="166"/>
      <c r="R301" s="166"/>
      <c r="S301" s="166"/>
      <c r="T301" s="166"/>
      <c r="U301" s="166"/>
      <c r="V301" s="166"/>
      <c r="W301" s="166"/>
      <c r="X301" s="166"/>
      <c r="Y301" s="166"/>
      <c r="Z301" s="166"/>
      <c r="AA301" s="166"/>
      <c r="AB301" s="166"/>
      <c r="AC301" s="166"/>
      <c r="AD301" s="166"/>
      <c r="AE301" s="166"/>
      <c r="AF301" s="166"/>
      <c r="AG301" s="166"/>
      <c r="AH301" s="166"/>
      <c r="AI301" s="166"/>
      <c r="AJ301" s="166"/>
      <c r="AK301" s="166"/>
      <c r="AL301" s="166"/>
      <c r="AM301" s="166"/>
      <c r="AN301" s="166"/>
      <c r="AO301" s="166"/>
      <c r="AP301" s="166"/>
      <c r="AQ301" s="166"/>
      <c r="AR301" s="166"/>
      <c r="AS301" s="166"/>
      <c r="AT301" s="166"/>
      <c r="AU301" s="166"/>
      <c r="AV301" s="166"/>
      <c r="AW301" s="166"/>
      <c r="AX301" s="166"/>
      <c r="AY301" s="166"/>
      <c r="AZ301" s="186"/>
      <c r="BA301" s="186"/>
      <c r="BB301" s="186"/>
      <c r="BC301" s="186"/>
      <c r="BD301" s="186"/>
      <c r="BE301" s="186"/>
      <c r="BF301" s="186"/>
      <c r="BG301" s="186"/>
      <c r="BH301" s="186"/>
      <c r="BI301" s="183">
        <f t="shared" si="143"/>
        <v>0</v>
      </c>
      <c r="BJ301" s="183">
        <f t="shared" si="144"/>
        <v>0</v>
      </c>
      <c r="BK301" s="183">
        <f t="shared" si="145"/>
        <v>0</v>
      </c>
      <c r="BL301" s="183">
        <f t="shared" si="146"/>
        <v>0</v>
      </c>
    </row>
    <row r="302" spans="1:64" s="187" customFormat="1" ht="15.75" hidden="1" customHeight="1" outlineLevel="3" x14ac:dyDescent="0.3">
      <c r="A302" s="185"/>
      <c r="B302" s="185"/>
      <c r="C302" s="185"/>
      <c r="D302" s="185"/>
      <c r="E302" s="185" t="s">
        <v>2678</v>
      </c>
      <c r="F302" s="185" t="s">
        <v>83</v>
      </c>
      <c r="G302" s="185">
        <v>98</v>
      </c>
      <c r="H302" s="185" t="str">
        <f>IFERROR(VLOOKUP(G302,'2022. tervsor'!C:D,2,0)," ")</f>
        <v>Távhő és melegvíz szolgáltatás díja</v>
      </c>
      <c r="I302" s="353">
        <f t="shared" si="152"/>
        <v>0</v>
      </c>
      <c r="J302" s="353">
        <f t="shared" si="141"/>
        <v>0</v>
      </c>
      <c r="K302" s="166">
        <f t="shared" si="153"/>
        <v>0</v>
      </c>
      <c r="L302" s="166">
        <f t="shared" si="142"/>
        <v>0</v>
      </c>
      <c r="M302" s="182"/>
      <c r="N302" s="166"/>
      <c r="O302" s="166"/>
      <c r="P302" s="166"/>
      <c r="Q302" s="166"/>
      <c r="R302" s="166"/>
      <c r="S302" s="166"/>
      <c r="T302" s="166"/>
      <c r="U302" s="166"/>
      <c r="V302" s="166"/>
      <c r="W302" s="166"/>
      <c r="X302" s="166"/>
      <c r="Y302" s="166"/>
      <c r="Z302" s="166"/>
      <c r="AA302" s="166"/>
      <c r="AB302" s="166"/>
      <c r="AC302" s="166"/>
      <c r="AD302" s="166"/>
      <c r="AE302" s="166"/>
      <c r="AF302" s="166"/>
      <c r="AG302" s="166"/>
      <c r="AH302" s="166"/>
      <c r="AI302" s="166"/>
      <c r="AJ302" s="166"/>
      <c r="AK302" s="166"/>
      <c r="AL302" s="166"/>
      <c r="AM302" s="166"/>
      <c r="AN302" s="166"/>
      <c r="AO302" s="166"/>
      <c r="AP302" s="166"/>
      <c r="AQ302" s="166"/>
      <c r="AR302" s="166"/>
      <c r="AS302" s="166"/>
      <c r="AT302" s="166"/>
      <c r="AU302" s="166"/>
      <c r="AV302" s="166"/>
      <c r="AW302" s="166"/>
      <c r="AX302" s="166"/>
      <c r="AY302" s="166"/>
      <c r="AZ302" s="186"/>
      <c r="BA302" s="186"/>
      <c r="BB302" s="186"/>
      <c r="BC302" s="186"/>
      <c r="BD302" s="186"/>
      <c r="BE302" s="186"/>
      <c r="BF302" s="186"/>
      <c r="BG302" s="186"/>
      <c r="BH302" s="186"/>
      <c r="BI302" s="183">
        <f t="shared" si="143"/>
        <v>0</v>
      </c>
      <c r="BJ302" s="183">
        <f t="shared" si="144"/>
        <v>0</v>
      </c>
      <c r="BK302" s="183">
        <f t="shared" si="145"/>
        <v>0</v>
      </c>
      <c r="BL302" s="183">
        <f t="shared" si="146"/>
        <v>0</v>
      </c>
    </row>
    <row r="303" spans="1:64" s="187" customFormat="1" ht="15.75" hidden="1" customHeight="1" outlineLevel="3" x14ac:dyDescent="0.3">
      <c r="A303" s="185"/>
      <c r="B303" s="185"/>
      <c r="C303" s="185"/>
      <c r="D303" s="185"/>
      <c r="E303" s="185" t="s">
        <v>2678</v>
      </c>
      <c r="F303" s="185" t="s">
        <v>83</v>
      </c>
      <c r="G303" s="185">
        <v>99</v>
      </c>
      <c r="H303" s="185" t="str">
        <f>IFERROR(VLOOKUP(G303,'2022. tervsor'!C:D,2,0)," ")</f>
        <v>Víz- és csatornadíjak</v>
      </c>
      <c r="I303" s="353">
        <f t="shared" si="152"/>
        <v>0</v>
      </c>
      <c r="J303" s="353">
        <f t="shared" si="141"/>
        <v>0</v>
      </c>
      <c r="K303" s="166">
        <f t="shared" si="153"/>
        <v>0</v>
      </c>
      <c r="L303" s="166">
        <f t="shared" si="142"/>
        <v>0</v>
      </c>
      <c r="M303" s="182"/>
      <c r="N303" s="166"/>
      <c r="O303" s="166"/>
      <c r="P303" s="166"/>
      <c r="Q303" s="166"/>
      <c r="R303" s="166"/>
      <c r="S303" s="166"/>
      <c r="T303" s="166"/>
      <c r="U303" s="166"/>
      <c r="V303" s="166"/>
      <c r="W303" s="166"/>
      <c r="X303" s="166"/>
      <c r="Y303" s="166"/>
      <c r="Z303" s="166"/>
      <c r="AA303" s="166"/>
      <c r="AB303" s="166"/>
      <c r="AC303" s="166"/>
      <c r="AD303" s="166"/>
      <c r="AE303" s="166"/>
      <c r="AF303" s="166"/>
      <c r="AG303" s="166"/>
      <c r="AH303" s="166"/>
      <c r="AI303" s="166"/>
      <c r="AJ303" s="166"/>
      <c r="AK303" s="166"/>
      <c r="AL303" s="166"/>
      <c r="AM303" s="166"/>
      <c r="AN303" s="166"/>
      <c r="AO303" s="166"/>
      <c r="AP303" s="166"/>
      <c r="AQ303" s="166"/>
      <c r="AR303" s="166"/>
      <c r="AS303" s="166"/>
      <c r="AT303" s="166"/>
      <c r="AU303" s="166"/>
      <c r="AV303" s="166"/>
      <c r="AW303" s="166"/>
      <c r="AX303" s="166"/>
      <c r="AY303" s="166"/>
      <c r="AZ303" s="186"/>
      <c r="BA303" s="186"/>
      <c r="BB303" s="186"/>
      <c r="BC303" s="186"/>
      <c r="BD303" s="186"/>
      <c r="BE303" s="186"/>
      <c r="BF303" s="186"/>
      <c r="BG303" s="186"/>
      <c r="BH303" s="186"/>
      <c r="BI303" s="183">
        <f t="shared" si="143"/>
        <v>0</v>
      </c>
      <c r="BJ303" s="183">
        <f t="shared" si="144"/>
        <v>0</v>
      </c>
      <c r="BK303" s="183">
        <f t="shared" si="145"/>
        <v>0</v>
      </c>
      <c r="BL303" s="183">
        <f t="shared" si="146"/>
        <v>0</v>
      </c>
    </row>
    <row r="304" spans="1:64" s="187" customFormat="1" ht="15.75" hidden="1" customHeight="1" outlineLevel="3" x14ac:dyDescent="0.3">
      <c r="A304" s="185"/>
      <c r="B304" s="185"/>
      <c r="C304" s="185"/>
      <c r="D304" s="185"/>
      <c r="E304" s="185" t="s">
        <v>2678</v>
      </c>
      <c r="F304" s="185" t="s">
        <v>83</v>
      </c>
      <c r="G304" s="185">
        <v>100</v>
      </c>
      <c r="H304" s="185" t="str">
        <f>IFERROR(VLOOKUP(G304,'2022. tervsor'!C:D,2,0)," ")</f>
        <v>ÁFA mentes villamosenergia szolgáltatás díja</v>
      </c>
      <c r="I304" s="353">
        <f t="shared" si="152"/>
        <v>0</v>
      </c>
      <c r="J304" s="353">
        <f t="shared" si="141"/>
        <v>0</v>
      </c>
      <c r="K304" s="166">
        <f t="shared" si="153"/>
        <v>0</v>
      </c>
      <c r="L304" s="166">
        <f t="shared" si="142"/>
        <v>0</v>
      </c>
      <c r="M304" s="182"/>
      <c r="N304" s="166"/>
      <c r="O304" s="166"/>
      <c r="P304" s="166"/>
      <c r="Q304" s="166"/>
      <c r="R304" s="166"/>
      <c r="S304" s="166"/>
      <c r="T304" s="166"/>
      <c r="U304" s="166"/>
      <c r="V304" s="166"/>
      <c r="W304" s="166"/>
      <c r="X304" s="166"/>
      <c r="Y304" s="166"/>
      <c r="Z304" s="166"/>
      <c r="AA304" s="166"/>
      <c r="AB304" s="166"/>
      <c r="AC304" s="166"/>
      <c r="AD304" s="166"/>
      <c r="AE304" s="166"/>
      <c r="AF304" s="166"/>
      <c r="AG304" s="166"/>
      <c r="AH304" s="166"/>
      <c r="AI304" s="166"/>
      <c r="AJ304" s="166"/>
      <c r="AK304" s="166"/>
      <c r="AL304" s="166"/>
      <c r="AM304" s="166"/>
      <c r="AN304" s="166"/>
      <c r="AO304" s="166"/>
      <c r="AP304" s="166"/>
      <c r="AQ304" s="166"/>
      <c r="AR304" s="166"/>
      <c r="AS304" s="166"/>
      <c r="AT304" s="166"/>
      <c r="AU304" s="166"/>
      <c r="AV304" s="166"/>
      <c r="AW304" s="166"/>
      <c r="AX304" s="166"/>
      <c r="AY304" s="166"/>
      <c r="AZ304" s="186"/>
      <c r="BA304" s="186"/>
      <c r="BB304" s="186"/>
      <c r="BC304" s="186"/>
      <c r="BD304" s="186"/>
      <c r="BE304" s="186"/>
      <c r="BF304" s="186"/>
      <c r="BG304" s="186"/>
      <c r="BH304" s="186"/>
      <c r="BI304" s="183">
        <f t="shared" si="143"/>
        <v>0</v>
      </c>
      <c r="BJ304" s="183">
        <f t="shared" si="144"/>
        <v>0</v>
      </c>
      <c r="BK304" s="183">
        <f t="shared" si="145"/>
        <v>0</v>
      </c>
      <c r="BL304" s="183">
        <f t="shared" si="146"/>
        <v>0</v>
      </c>
    </row>
    <row r="305" spans="1:64" s="187" customFormat="1" ht="15.75" hidden="1" customHeight="1" outlineLevel="3" x14ac:dyDescent="0.3">
      <c r="A305" s="185"/>
      <c r="B305" s="185"/>
      <c r="C305" s="185"/>
      <c r="D305" s="185"/>
      <c r="E305" s="185" t="s">
        <v>2678</v>
      </c>
      <c r="F305" s="185" t="s">
        <v>83</v>
      </c>
      <c r="G305" s="185">
        <v>102</v>
      </c>
      <c r="H305" s="185" t="str">
        <f>IFERROR(VLOOKUP(G305,'2022. tervsor'!C:D,2,0)," ")</f>
        <v>Vásárolt élelmezés</v>
      </c>
      <c r="I305" s="353">
        <f t="shared" si="152"/>
        <v>0</v>
      </c>
      <c r="J305" s="353">
        <f t="shared" si="141"/>
        <v>0</v>
      </c>
      <c r="K305" s="166">
        <f t="shared" si="153"/>
        <v>0</v>
      </c>
      <c r="L305" s="166">
        <f t="shared" si="142"/>
        <v>0</v>
      </c>
      <c r="M305" s="182"/>
      <c r="N305" s="166"/>
      <c r="O305" s="166"/>
      <c r="P305" s="166"/>
      <c r="Q305" s="166"/>
      <c r="R305" s="166"/>
      <c r="S305" s="166"/>
      <c r="T305" s="166"/>
      <c r="U305" s="166"/>
      <c r="V305" s="166"/>
      <c r="W305" s="166"/>
      <c r="X305" s="166"/>
      <c r="Y305" s="166"/>
      <c r="Z305" s="166"/>
      <c r="AA305" s="166"/>
      <c r="AB305" s="166"/>
      <c r="AC305" s="166"/>
      <c r="AD305" s="166"/>
      <c r="AE305" s="166"/>
      <c r="AF305" s="166"/>
      <c r="AG305" s="166"/>
      <c r="AH305" s="166"/>
      <c r="AI305" s="166"/>
      <c r="AJ305" s="166"/>
      <c r="AK305" s="166"/>
      <c r="AL305" s="166"/>
      <c r="AM305" s="166"/>
      <c r="AN305" s="166"/>
      <c r="AO305" s="166"/>
      <c r="AP305" s="166"/>
      <c r="AQ305" s="166"/>
      <c r="AR305" s="166"/>
      <c r="AS305" s="166"/>
      <c r="AT305" s="166"/>
      <c r="AU305" s="166"/>
      <c r="AV305" s="166"/>
      <c r="AW305" s="166"/>
      <c r="AX305" s="166"/>
      <c r="AY305" s="166"/>
      <c r="AZ305" s="186"/>
      <c r="BA305" s="186"/>
      <c r="BB305" s="186"/>
      <c r="BC305" s="186"/>
      <c r="BD305" s="186"/>
      <c r="BE305" s="186"/>
      <c r="BF305" s="186"/>
      <c r="BG305" s="186"/>
      <c r="BH305" s="186"/>
      <c r="BI305" s="183">
        <f t="shared" si="143"/>
        <v>0</v>
      </c>
      <c r="BJ305" s="183">
        <f t="shared" si="144"/>
        <v>0</v>
      </c>
      <c r="BK305" s="183">
        <f t="shared" si="145"/>
        <v>0</v>
      </c>
      <c r="BL305" s="183">
        <f t="shared" si="146"/>
        <v>0</v>
      </c>
    </row>
    <row r="306" spans="1:64" s="187" customFormat="1" ht="15.75" hidden="1" customHeight="1" outlineLevel="3" x14ac:dyDescent="0.3">
      <c r="A306" s="185"/>
      <c r="B306" s="185"/>
      <c r="C306" s="185"/>
      <c r="D306" s="185"/>
      <c r="E306" s="185" t="s">
        <v>2678</v>
      </c>
      <c r="F306" s="185" t="s">
        <v>83</v>
      </c>
      <c r="G306" s="185">
        <v>104</v>
      </c>
      <c r="H306" s="185" t="str">
        <f>IFERROR(VLOOKUP(G306,'2022. tervsor'!C:D,2,0)," ")</f>
        <v>PPP szolgáltatás</v>
      </c>
      <c r="I306" s="353">
        <f t="shared" si="152"/>
        <v>0</v>
      </c>
      <c r="J306" s="353">
        <f t="shared" si="141"/>
        <v>0</v>
      </c>
      <c r="K306" s="166">
        <f t="shared" si="153"/>
        <v>0</v>
      </c>
      <c r="L306" s="166">
        <f t="shared" si="142"/>
        <v>0</v>
      </c>
      <c r="M306" s="182"/>
      <c r="N306" s="166"/>
      <c r="O306" s="166"/>
      <c r="P306" s="166"/>
      <c r="Q306" s="166"/>
      <c r="R306" s="166"/>
      <c r="S306" s="166"/>
      <c r="T306" s="166"/>
      <c r="U306" s="166"/>
      <c r="V306" s="166"/>
      <c r="W306" s="166"/>
      <c r="X306" s="166"/>
      <c r="Y306" s="166"/>
      <c r="Z306" s="166"/>
      <c r="AA306" s="166"/>
      <c r="AB306" s="166"/>
      <c r="AC306" s="166"/>
      <c r="AD306" s="166"/>
      <c r="AE306" s="166"/>
      <c r="AF306" s="166"/>
      <c r="AG306" s="166"/>
      <c r="AH306" s="166"/>
      <c r="AI306" s="166"/>
      <c r="AJ306" s="166"/>
      <c r="AK306" s="166"/>
      <c r="AL306" s="166"/>
      <c r="AM306" s="166"/>
      <c r="AN306" s="166"/>
      <c r="AO306" s="166"/>
      <c r="AP306" s="166"/>
      <c r="AQ306" s="166"/>
      <c r="AR306" s="166"/>
      <c r="AS306" s="166"/>
      <c r="AT306" s="166"/>
      <c r="AU306" s="166"/>
      <c r="AV306" s="166"/>
      <c r="AW306" s="166"/>
      <c r="AX306" s="166"/>
      <c r="AY306" s="166"/>
      <c r="AZ306" s="186"/>
      <c r="BA306" s="186"/>
      <c r="BB306" s="186"/>
      <c r="BC306" s="186"/>
      <c r="BD306" s="186"/>
      <c r="BE306" s="186"/>
      <c r="BF306" s="186"/>
      <c r="BG306" s="186"/>
      <c r="BH306" s="186"/>
      <c r="BI306" s="183">
        <f t="shared" si="143"/>
        <v>0</v>
      </c>
      <c r="BJ306" s="183">
        <f t="shared" si="144"/>
        <v>0</v>
      </c>
      <c r="BK306" s="183">
        <f t="shared" si="145"/>
        <v>0</v>
      </c>
      <c r="BL306" s="183">
        <f t="shared" si="146"/>
        <v>0</v>
      </c>
    </row>
    <row r="307" spans="1:64" s="187" customFormat="1" ht="15.75" hidden="1" customHeight="1" outlineLevel="3" x14ac:dyDescent="0.3">
      <c r="A307" s="185"/>
      <c r="B307" s="185"/>
      <c r="C307" s="185"/>
      <c r="D307" s="185"/>
      <c r="E307" s="185" t="s">
        <v>2678</v>
      </c>
      <c r="F307" s="185" t="s">
        <v>83</v>
      </c>
      <c r="G307" s="185">
        <v>105</v>
      </c>
      <c r="H307" s="185" t="str">
        <f>IFERROR(VLOOKUP(G307,'2022. tervsor'!C:D,2,0)," ")</f>
        <v>Egyéb kül. bérleti és lízing díjak (PPP nélkül)</v>
      </c>
      <c r="I307" s="353">
        <f t="shared" si="152"/>
        <v>0</v>
      </c>
      <c r="J307" s="353">
        <f t="shared" si="141"/>
        <v>0</v>
      </c>
      <c r="K307" s="166">
        <f t="shared" si="153"/>
        <v>0</v>
      </c>
      <c r="L307" s="166">
        <f t="shared" si="142"/>
        <v>0</v>
      </c>
      <c r="M307" s="182"/>
      <c r="N307" s="166"/>
      <c r="O307" s="166"/>
      <c r="P307" s="166"/>
      <c r="Q307" s="166"/>
      <c r="R307" s="166"/>
      <c r="S307" s="166"/>
      <c r="T307" s="166"/>
      <c r="U307" s="166"/>
      <c r="V307" s="166"/>
      <c r="W307" s="166"/>
      <c r="X307" s="166"/>
      <c r="Y307" s="166"/>
      <c r="Z307" s="166"/>
      <c r="AA307" s="166"/>
      <c r="AB307" s="166"/>
      <c r="AC307" s="166"/>
      <c r="AD307" s="166"/>
      <c r="AE307" s="166"/>
      <c r="AF307" s="166"/>
      <c r="AG307" s="166"/>
      <c r="AH307" s="166"/>
      <c r="AI307" s="166"/>
      <c r="AJ307" s="166"/>
      <c r="AK307" s="166"/>
      <c r="AL307" s="166"/>
      <c r="AM307" s="166"/>
      <c r="AN307" s="166"/>
      <c r="AO307" s="166"/>
      <c r="AP307" s="166"/>
      <c r="AQ307" s="166"/>
      <c r="AR307" s="166"/>
      <c r="AS307" s="166"/>
      <c r="AT307" s="166"/>
      <c r="AU307" s="166"/>
      <c r="AV307" s="166"/>
      <c r="AW307" s="166"/>
      <c r="AX307" s="166"/>
      <c r="AY307" s="166"/>
      <c r="AZ307" s="186"/>
      <c r="BA307" s="186"/>
      <c r="BB307" s="186"/>
      <c r="BC307" s="186"/>
      <c r="BD307" s="186"/>
      <c r="BE307" s="186"/>
      <c r="BF307" s="186"/>
      <c r="BG307" s="186"/>
      <c r="BH307" s="186"/>
      <c r="BI307" s="183">
        <f t="shared" si="143"/>
        <v>0</v>
      </c>
      <c r="BJ307" s="183">
        <f t="shared" si="144"/>
        <v>0</v>
      </c>
      <c r="BK307" s="183">
        <f t="shared" si="145"/>
        <v>0</v>
      </c>
      <c r="BL307" s="183">
        <f t="shared" si="146"/>
        <v>0</v>
      </c>
    </row>
    <row r="308" spans="1:64" s="187" customFormat="1" ht="15.75" hidden="1" customHeight="1" outlineLevel="3" x14ac:dyDescent="0.3">
      <c r="A308" s="185"/>
      <c r="B308" s="185"/>
      <c r="C308" s="185"/>
      <c r="D308" s="185"/>
      <c r="E308" s="185" t="s">
        <v>2678</v>
      </c>
      <c r="F308" s="185" t="s">
        <v>83</v>
      </c>
      <c r="G308" s="185">
        <v>106</v>
      </c>
      <c r="H308" s="185" t="str">
        <f>IFERROR(VLOOKUP(G308,'2022. tervsor'!C:D,2,0)," ")</f>
        <v>Ingatlan bérleti díj költségei (Áfa mentes)</v>
      </c>
      <c r="I308" s="353">
        <f t="shared" si="152"/>
        <v>0</v>
      </c>
      <c r="J308" s="353">
        <f t="shared" si="141"/>
        <v>0</v>
      </c>
      <c r="K308" s="166">
        <f t="shared" si="153"/>
        <v>0</v>
      </c>
      <c r="L308" s="166">
        <f t="shared" si="142"/>
        <v>0</v>
      </c>
      <c r="M308" s="182"/>
      <c r="N308" s="166"/>
      <c r="O308" s="166"/>
      <c r="P308" s="166"/>
      <c r="Q308" s="166"/>
      <c r="R308" s="166"/>
      <c r="S308" s="166"/>
      <c r="T308" s="166"/>
      <c r="U308" s="166"/>
      <c r="V308" s="166"/>
      <c r="W308" s="166"/>
      <c r="X308" s="166"/>
      <c r="Y308" s="166"/>
      <c r="Z308" s="166"/>
      <c r="AA308" s="166"/>
      <c r="AB308" s="166"/>
      <c r="AC308" s="166"/>
      <c r="AD308" s="166"/>
      <c r="AE308" s="166"/>
      <c r="AF308" s="166"/>
      <c r="AG308" s="166"/>
      <c r="AH308" s="166"/>
      <c r="AI308" s="166"/>
      <c r="AJ308" s="166"/>
      <c r="AK308" s="166"/>
      <c r="AL308" s="166"/>
      <c r="AM308" s="166"/>
      <c r="AN308" s="166"/>
      <c r="AO308" s="166"/>
      <c r="AP308" s="166"/>
      <c r="AQ308" s="166"/>
      <c r="AR308" s="166"/>
      <c r="AS308" s="166"/>
      <c r="AT308" s="166"/>
      <c r="AU308" s="166"/>
      <c r="AV308" s="166"/>
      <c r="AW308" s="166"/>
      <c r="AX308" s="166"/>
      <c r="AY308" s="166"/>
      <c r="AZ308" s="186"/>
      <c r="BA308" s="186"/>
      <c r="BB308" s="186"/>
      <c r="BC308" s="186"/>
      <c r="BD308" s="186"/>
      <c r="BE308" s="186"/>
      <c r="BF308" s="186"/>
      <c r="BG308" s="186"/>
      <c r="BH308" s="186"/>
      <c r="BI308" s="183">
        <f t="shared" si="143"/>
        <v>0</v>
      </c>
      <c r="BJ308" s="183">
        <f t="shared" si="144"/>
        <v>0</v>
      </c>
      <c r="BK308" s="183">
        <f t="shared" si="145"/>
        <v>0</v>
      </c>
      <c r="BL308" s="183">
        <f t="shared" si="146"/>
        <v>0</v>
      </c>
    </row>
    <row r="309" spans="1:64" s="187" customFormat="1" ht="15.75" hidden="1" customHeight="1" outlineLevel="3" x14ac:dyDescent="0.3">
      <c r="A309" s="185"/>
      <c r="B309" s="185"/>
      <c r="C309" s="185"/>
      <c r="D309" s="185"/>
      <c r="E309" s="185" t="s">
        <v>2678</v>
      </c>
      <c r="F309" s="185" t="s">
        <v>83</v>
      </c>
      <c r="G309" s="185">
        <v>108</v>
      </c>
      <c r="H309" s="185" t="str">
        <f>IFERROR(VLOOKUP(G309,'2022. tervsor'!C:D,2,0)," ")</f>
        <v>Ingatlanok karbantartása. kisjavítása</v>
      </c>
      <c r="I309" s="353">
        <f t="shared" si="152"/>
        <v>0</v>
      </c>
      <c r="J309" s="353">
        <f t="shared" si="141"/>
        <v>0</v>
      </c>
      <c r="K309" s="166">
        <f t="shared" si="153"/>
        <v>0</v>
      </c>
      <c r="L309" s="166">
        <f t="shared" si="142"/>
        <v>0</v>
      </c>
      <c r="M309" s="182"/>
      <c r="N309" s="166"/>
      <c r="O309" s="166"/>
      <c r="P309" s="166"/>
      <c r="Q309" s="166"/>
      <c r="R309" s="166"/>
      <c r="S309" s="166"/>
      <c r="T309" s="166"/>
      <c r="U309" s="166"/>
      <c r="V309" s="166"/>
      <c r="W309" s="166"/>
      <c r="X309" s="166"/>
      <c r="Y309" s="166"/>
      <c r="Z309" s="166"/>
      <c r="AA309" s="166"/>
      <c r="AB309" s="166"/>
      <c r="AC309" s="166"/>
      <c r="AD309" s="166"/>
      <c r="AE309" s="166"/>
      <c r="AF309" s="166"/>
      <c r="AG309" s="166"/>
      <c r="AH309" s="166"/>
      <c r="AI309" s="166"/>
      <c r="AJ309" s="166"/>
      <c r="AK309" s="166"/>
      <c r="AL309" s="166"/>
      <c r="AM309" s="166"/>
      <c r="AN309" s="166"/>
      <c r="AO309" s="166"/>
      <c r="AP309" s="166"/>
      <c r="AQ309" s="166"/>
      <c r="AR309" s="166"/>
      <c r="AS309" s="166"/>
      <c r="AT309" s="166"/>
      <c r="AU309" s="166"/>
      <c r="AV309" s="166"/>
      <c r="AW309" s="166"/>
      <c r="AX309" s="166"/>
      <c r="AY309" s="166"/>
      <c r="AZ309" s="186"/>
      <c r="BA309" s="186"/>
      <c r="BB309" s="186"/>
      <c r="BC309" s="186"/>
      <c r="BD309" s="186"/>
      <c r="BE309" s="186"/>
      <c r="BF309" s="186"/>
      <c r="BG309" s="186"/>
      <c r="BH309" s="186"/>
      <c r="BI309" s="183">
        <f t="shared" si="143"/>
        <v>0</v>
      </c>
      <c r="BJ309" s="183">
        <f t="shared" si="144"/>
        <v>0</v>
      </c>
      <c r="BK309" s="183">
        <f t="shared" si="145"/>
        <v>0</v>
      </c>
      <c r="BL309" s="183">
        <f t="shared" si="146"/>
        <v>0</v>
      </c>
    </row>
    <row r="310" spans="1:64" s="187" customFormat="1" ht="15.75" hidden="1" customHeight="1" outlineLevel="3" x14ac:dyDescent="0.3">
      <c r="A310" s="185"/>
      <c r="B310" s="185"/>
      <c r="C310" s="185"/>
      <c r="D310" s="185"/>
      <c r="E310" s="185" t="s">
        <v>2678</v>
      </c>
      <c r="F310" s="185" t="s">
        <v>83</v>
      </c>
      <c r="G310" s="185">
        <v>109</v>
      </c>
      <c r="H310" s="185" t="str">
        <f>IFERROR(VLOOKUP(G310,'2022. tervsor'!C:D,2,0)," ")</f>
        <v>Gépek berendezések karbantartása, kisjavítása ktg.</v>
      </c>
      <c r="I310" s="353">
        <f t="shared" si="152"/>
        <v>0</v>
      </c>
      <c r="J310" s="353">
        <f t="shared" si="141"/>
        <v>0</v>
      </c>
      <c r="K310" s="166">
        <f t="shared" si="153"/>
        <v>0</v>
      </c>
      <c r="L310" s="166">
        <f t="shared" si="142"/>
        <v>0</v>
      </c>
      <c r="M310" s="182"/>
      <c r="N310" s="166"/>
      <c r="O310" s="166"/>
      <c r="P310" s="166"/>
      <c r="Q310" s="166"/>
      <c r="R310" s="166"/>
      <c r="S310" s="166"/>
      <c r="T310" s="166"/>
      <c r="U310" s="166"/>
      <c r="V310" s="166"/>
      <c r="W310" s="166"/>
      <c r="X310" s="166"/>
      <c r="Y310" s="166"/>
      <c r="Z310" s="166"/>
      <c r="AA310" s="166"/>
      <c r="AB310" s="166"/>
      <c r="AC310" s="166"/>
      <c r="AD310" s="166"/>
      <c r="AE310" s="166"/>
      <c r="AF310" s="166"/>
      <c r="AG310" s="166"/>
      <c r="AH310" s="166"/>
      <c r="AI310" s="166"/>
      <c r="AJ310" s="166"/>
      <c r="AK310" s="166"/>
      <c r="AL310" s="166"/>
      <c r="AM310" s="166"/>
      <c r="AN310" s="166"/>
      <c r="AO310" s="166"/>
      <c r="AP310" s="166"/>
      <c r="AQ310" s="166"/>
      <c r="AR310" s="166"/>
      <c r="AS310" s="166"/>
      <c r="AT310" s="166"/>
      <c r="AU310" s="166"/>
      <c r="AV310" s="166"/>
      <c r="AW310" s="166"/>
      <c r="AX310" s="166"/>
      <c r="AY310" s="166"/>
      <c r="AZ310" s="186"/>
      <c r="BA310" s="186"/>
      <c r="BB310" s="186"/>
      <c r="BC310" s="186"/>
      <c r="BD310" s="186"/>
      <c r="BE310" s="186"/>
      <c r="BF310" s="186"/>
      <c r="BG310" s="186"/>
      <c r="BH310" s="186"/>
      <c r="BI310" s="183">
        <f t="shared" si="143"/>
        <v>0</v>
      </c>
      <c r="BJ310" s="183">
        <f t="shared" si="144"/>
        <v>0</v>
      </c>
      <c r="BK310" s="183">
        <f t="shared" si="145"/>
        <v>0</v>
      </c>
      <c r="BL310" s="183">
        <f t="shared" si="146"/>
        <v>0</v>
      </c>
    </row>
    <row r="311" spans="1:64" s="187" customFormat="1" ht="15.75" hidden="1" customHeight="1" outlineLevel="3" x14ac:dyDescent="0.3">
      <c r="A311" s="185"/>
      <c r="B311" s="185"/>
      <c r="C311" s="185"/>
      <c r="D311" s="185"/>
      <c r="E311" s="185" t="s">
        <v>2678</v>
      </c>
      <c r="F311" s="185" t="s">
        <v>83</v>
      </c>
      <c r="G311" s="185">
        <v>110</v>
      </c>
      <c r="H311" s="185" t="str">
        <f>IFERROR(VLOOKUP(G311,'2022. tervsor'!C:D,2,0)," ")</f>
        <v>Járművekkel kapcsolatos karbantartási, kisjav. kiadások</v>
      </c>
      <c r="I311" s="353">
        <f t="shared" si="152"/>
        <v>0</v>
      </c>
      <c r="J311" s="353">
        <f t="shared" si="141"/>
        <v>0</v>
      </c>
      <c r="K311" s="166">
        <f t="shared" si="153"/>
        <v>0</v>
      </c>
      <c r="L311" s="166">
        <f t="shared" si="142"/>
        <v>0</v>
      </c>
      <c r="M311" s="182"/>
      <c r="N311" s="166"/>
      <c r="O311" s="166"/>
      <c r="P311" s="166"/>
      <c r="Q311" s="166"/>
      <c r="R311" s="166"/>
      <c r="S311" s="166"/>
      <c r="T311" s="166"/>
      <c r="U311" s="166"/>
      <c r="V311" s="166"/>
      <c r="W311" s="166"/>
      <c r="X311" s="166"/>
      <c r="Y311" s="166"/>
      <c r="Z311" s="166"/>
      <c r="AA311" s="166"/>
      <c r="AB311" s="166"/>
      <c r="AC311" s="166"/>
      <c r="AD311" s="166"/>
      <c r="AE311" s="166"/>
      <c r="AF311" s="166"/>
      <c r="AG311" s="166"/>
      <c r="AH311" s="166"/>
      <c r="AI311" s="166"/>
      <c r="AJ311" s="166"/>
      <c r="AK311" s="166"/>
      <c r="AL311" s="166"/>
      <c r="AM311" s="166"/>
      <c r="AN311" s="166"/>
      <c r="AO311" s="166"/>
      <c r="AP311" s="166"/>
      <c r="AQ311" s="166"/>
      <c r="AR311" s="166"/>
      <c r="AS311" s="166"/>
      <c r="AT311" s="166"/>
      <c r="AU311" s="166"/>
      <c r="AV311" s="166"/>
      <c r="AW311" s="166"/>
      <c r="AX311" s="166"/>
      <c r="AY311" s="166"/>
      <c r="AZ311" s="186"/>
      <c r="BA311" s="186"/>
      <c r="BB311" s="186"/>
      <c r="BC311" s="186"/>
      <c r="BD311" s="186"/>
      <c r="BE311" s="186"/>
      <c r="BF311" s="186"/>
      <c r="BG311" s="186"/>
      <c r="BH311" s="186"/>
      <c r="BI311" s="183">
        <f t="shared" si="143"/>
        <v>0</v>
      </c>
      <c r="BJ311" s="183">
        <f t="shared" si="144"/>
        <v>0</v>
      </c>
      <c r="BK311" s="183">
        <f t="shared" si="145"/>
        <v>0</v>
      </c>
      <c r="BL311" s="183">
        <f t="shared" si="146"/>
        <v>0</v>
      </c>
    </row>
    <row r="312" spans="1:64" s="187" customFormat="1" ht="15.75" hidden="1" customHeight="1" outlineLevel="3" x14ac:dyDescent="0.3">
      <c r="A312" s="185"/>
      <c r="B312" s="185"/>
      <c r="C312" s="185"/>
      <c r="D312" s="185"/>
      <c r="E312" s="185" t="s">
        <v>2678</v>
      </c>
      <c r="F312" s="185" t="s">
        <v>83</v>
      </c>
      <c r="G312" s="185">
        <v>112</v>
      </c>
      <c r="H312" s="185" t="str">
        <f>IFERROR(VLOOKUP(G312,'2022. tervsor'!C:D,2,0)," ")</f>
        <v>AHT-n belüli közvetített szolgáltatások</v>
      </c>
      <c r="I312" s="353">
        <f t="shared" si="152"/>
        <v>0</v>
      </c>
      <c r="J312" s="353">
        <f t="shared" si="141"/>
        <v>0</v>
      </c>
      <c r="K312" s="166">
        <f t="shared" si="153"/>
        <v>0</v>
      </c>
      <c r="L312" s="166">
        <f t="shared" si="142"/>
        <v>0</v>
      </c>
      <c r="M312" s="182"/>
      <c r="N312" s="166"/>
      <c r="O312" s="166"/>
      <c r="P312" s="166"/>
      <c r="Q312" s="166"/>
      <c r="R312" s="166"/>
      <c r="S312" s="166"/>
      <c r="T312" s="166"/>
      <c r="U312" s="166"/>
      <c r="V312" s="166"/>
      <c r="W312" s="166"/>
      <c r="X312" s="166"/>
      <c r="Y312" s="166"/>
      <c r="Z312" s="166"/>
      <c r="AA312" s="166"/>
      <c r="AB312" s="166"/>
      <c r="AC312" s="166"/>
      <c r="AD312" s="166"/>
      <c r="AE312" s="166"/>
      <c r="AF312" s="166"/>
      <c r="AG312" s="166"/>
      <c r="AH312" s="166"/>
      <c r="AI312" s="166"/>
      <c r="AJ312" s="166"/>
      <c r="AK312" s="166"/>
      <c r="AL312" s="166"/>
      <c r="AM312" s="166"/>
      <c r="AN312" s="166"/>
      <c r="AO312" s="166"/>
      <c r="AP312" s="166"/>
      <c r="AQ312" s="166"/>
      <c r="AR312" s="166"/>
      <c r="AS312" s="166"/>
      <c r="AT312" s="166"/>
      <c r="AU312" s="166"/>
      <c r="AV312" s="166"/>
      <c r="AW312" s="166"/>
      <c r="AX312" s="166"/>
      <c r="AY312" s="166"/>
      <c r="AZ312" s="186"/>
      <c r="BA312" s="186"/>
      <c r="BB312" s="186"/>
      <c r="BC312" s="186"/>
      <c r="BD312" s="186"/>
      <c r="BE312" s="186"/>
      <c r="BF312" s="186"/>
      <c r="BG312" s="186"/>
      <c r="BH312" s="186"/>
      <c r="BI312" s="183">
        <f t="shared" si="143"/>
        <v>0</v>
      </c>
      <c r="BJ312" s="183">
        <f t="shared" si="144"/>
        <v>0</v>
      </c>
      <c r="BK312" s="183">
        <f t="shared" si="145"/>
        <v>0</v>
      </c>
      <c r="BL312" s="183">
        <f t="shared" si="146"/>
        <v>0</v>
      </c>
    </row>
    <row r="313" spans="1:64" s="187" customFormat="1" ht="15.75" hidden="1" customHeight="1" outlineLevel="3" x14ac:dyDescent="0.3">
      <c r="A313" s="185"/>
      <c r="B313" s="185"/>
      <c r="C313" s="185"/>
      <c r="D313" s="185"/>
      <c r="E313" s="185" t="s">
        <v>2678</v>
      </c>
      <c r="F313" s="185" t="s">
        <v>83</v>
      </c>
      <c r="G313" s="185">
        <v>113</v>
      </c>
      <c r="H313" s="185" t="str">
        <f>IFERROR(VLOOKUP(G313,'2022. tervsor'!C:D,2,0)," ")</f>
        <v>AHT-n kívüli közvetített szolgáltatások</v>
      </c>
      <c r="I313" s="353">
        <f t="shared" si="152"/>
        <v>0</v>
      </c>
      <c r="J313" s="353">
        <f t="shared" si="141"/>
        <v>0</v>
      </c>
      <c r="K313" s="166">
        <f t="shared" si="153"/>
        <v>0</v>
      </c>
      <c r="L313" s="166">
        <f t="shared" si="142"/>
        <v>0</v>
      </c>
      <c r="M313" s="182"/>
      <c r="N313" s="166"/>
      <c r="O313" s="166"/>
      <c r="P313" s="166"/>
      <c r="Q313" s="166"/>
      <c r="R313" s="166"/>
      <c r="S313" s="166"/>
      <c r="T313" s="166"/>
      <c r="U313" s="166"/>
      <c r="V313" s="166"/>
      <c r="W313" s="166"/>
      <c r="X313" s="166"/>
      <c r="Y313" s="166"/>
      <c r="Z313" s="166"/>
      <c r="AA313" s="166"/>
      <c r="AB313" s="166"/>
      <c r="AC313" s="166"/>
      <c r="AD313" s="166"/>
      <c r="AE313" s="166"/>
      <c r="AF313" s="166"/>
      <c r="AG313" s="166"/>
      <c r="AH313" s="166"/>
      <c r="AI313" s="166"/>
      <c r="AJ313" s="166"/>
      <c r="AK313" s="166"/>
      <c r="AL313" s="166"/>
      <c r="AM313" s="166"/>
      <c r="AN313" s="166"/>
      <c r="AO313" s="166"/>
      <c r="AP313" s="166"/>
      <c r="AQ313" s="166"/>
      <c r="AR313" s="166"/>
      <c r="AS313" s="166"/>
      <c r="AT313" s="166"/>
      <c r="AU313" s="166"/>
      <c r="AV313" s="166"/>
      <c r="AW313" s="166"/>
      <c r="AX313" s="166"/>
      <c r="AY313" s="166"/>
      <c r="AZ313" s="186"/>
      <c r="BA313" s="186"/>
      <c r="BB313" s="186"/>
      <c r="BC313" s="186"/>
      <c r="BD313" s="186"/>
      <c r="BE313" s="186"/>
      <c r="BF313" s="186"/>
      <c r="BG313" s="186"/>
      <c r="BH313" s="186"/>
      <c r="BI313" s="183">
        <f t="shared" si="143"/>
        <v>0</v>
      </c>
      <c r="BJ313" s="183">
        <f t="shared" si="144"/>
        <v>0</v>
      </c>
      <c r="BK313" s="183">
        <f t="shared" si="145"/>
        <v>0</v>
      </c>
      <c r="BL313" s="183">
        <f t="shared" si="146"/>
        <v>0</v>
      </c>
    </row>
    <row r="314" spans="1:64" s="187" customFormat="1" ht="15.75" hidden="1" customHeight="1" outlineLevel="3" x14ac:dyDescent="0.3">
      <c r="A314" s="185"/>
      <c r="B314" s="185"/>
      <c r="C314" s="185"/>
      <c r="D314" s="185"/>
      <c r="E314" s="185" t="s">
        <v>2678</v>
      </c>
      <c r="F314" s="185" t="s">
        <v>83</v>
      </c>
      <c r="G314" s="185">
        <v>115</v>
      </c>
      <c r="H314" s="185" t="str">
        <f>IFERROR(VLOOKUP(G314,'2022. tervsor'!C:D,2,0)," ")</f>
        <v>Vásárolt közszolgáltatások (pld. egészségügyi)</v>
      </c>
      <c r="I314" s="353">
        <f t="shared" si="152"/>
        <v>0</v>
      </c>
      <c r="J314" s="353">
        <f t="shared" si="141"/>
        <v>0</v>
      </c>
      <c r="K314" s="166">
        <f t="shared" si="153"/>
        <v>0</v>
      </c>
      <c r="L314" s="166">
        <f t="shared" si="142"/>
        <v>0</v>
      </c>
      <c r="M314" s="182"/>
      <c r="N314" s="166"/>
      <c r="O314" s="166"/>
      <c r="P314" s="166"/>
      <c r="Q314" s="166"/>
      <c r="R314" s="166"/>
      <c r="S314" s="166"/>
      <c r="T314" s="166"/>
      <c r="U314" s="166"/>
      <c r="V314" s="166"/>
      <c r="W314" s="166"/>
      <c r="X314" s="166"/>
      <c r="Y314" s="166"/>
      <c r="Z314" s="166"/>
      <c r="AA314" s="166"/>
      <c r="AB314" s="166"/>
      <c r="AC314" s="166"/>
      <c r="AD314" s="166"/>
      <c r="AE314" s="166"/>
      <c r="AF314" s="166"/>
      <c r="AG314" s="166"/>
      <c r="AH314" s="166"/>
      <c r="AI314" s="166"/>
      <c r="AJ314" s="166"/>
      <c r="AK314" s="166"/>
      <c r="AL314" s="166"/>
      <c r="AM314" s="166"/>
      <c r="AN314" s="166"/>
      <c r="AO314" s="166"/>
      <c r="AP314" s="166"/>
      <c r="AQ314" s="166"/>
      <c r="AR314" s="166"/>
      <c r="AS314" s="166"/>
      <c r="AT314" s="166"/>
      <c r="AU314" s="166"/>
      <c r="AV314" s="166"/>
      <c r="AW314" s="166"/>
      <c r="AX314" s="166"/>
      <c r="AY314" s="166"/>
      <c r="AZ314" s="186"/>
      <c r="BA314" s="186"/>
      <c r="BB314" s="186"/>
      <c r="BC314" s="186"/>
      <c r="BD314" s="186"/>
      <c r="BE314" s="186"/>
      <c r="BF314" s="186"/>
      <c r="BG314" s="186"/>
      <c r="BH314" s="186"/>
      <c r="BI314" s="183">
        <f t="shared" si="143"/>
        <v>0</v>
      </c>
      <c r="BJ314" s="183">
        <f t="shared" si="144"/>
        <v>0</v>
      </c>
      <c r="BK314" s="183">
        <f t="shared" si="145"/>
        <v>0</v>
      </c>
      <c r="BL314" s="183">
        <f t="shared" si="146"/>
        <v>0</v>
      </c>
    </row>
    <row r="315" spans="1:64" s="187" customFormat="1" ht="15.75" hidden="1" customHeight="1" outlineLevel="3" x14ac:dyDescent="0.3">
      <c r="A315" s="185"/>
      <c r="B315" s="185"/>
      <c r="C315" s="185"/>
      <c r="D315" s="185"/>
      <c r="E315" s="185" t="s">
        <v>2678</v>
      </c>
      <c r="F315" s="185" t="s">
        <v>83</v>
      </c>
      <c r="G315" s="185">
        <v>116</v>
      </c>
      <c r="H315" s="185" t="str">
        <f>IFERROR(VLOOKUP(G315,'2022. tervsor'!C:D,2,0)," ")</f>
        <v>Jogi szolgáltatások</v>
      </c>
      <c r="I315" s="353">
        <f t="shared" si="152"/>
        <v>0</v>
      </c>
      <c r="J315" s="353">
        <f t="shared" si="141"/>
        <v>0</v>
      </c>
      <c r="K315" s="166">
        <f t="shared" si="153"/>
        <v>0</v>
      </c>
      <c r="L315" s="166">
        <f t="shared" si="142"/>
        <v>0</v>
      </c>
      <c r="M315" s="182"/>
      <c r="N315" s="166"/>
      <c r="O315" s="166"/>
      <c r="P315" s="166"/>
      <c r="Q315" s="166"/>
      <c r="R315" s="166"/>
      <c r="S315" s="166"/>
      <c r="T315" s="166"/>
      <c r="U315" s="166"/>
      <c r="V315" s="166"/>
      <c r="W315" s="166"/>
      <c r="X315" s="166"/>
      <c r="Y315" s="166"/>
      <c r="Z315" s="166"/>
      <c r="AA315" s="166"/>
      <c r="AB315" s="166"/>
      <c r="AC315" s="166"/>
      <c r="AD315" s="166"/>
      <c r="AE315" s="166"/>
      <c r="AF315" s="166"/>
      <c r="AG315" s="166"/>
      <c r="AH315" s="166"/>
      <c r="AI315" s="166"/>
      <c r="AJ315" s="166"/>
      <c r="AK315" s="166"/>
      <c r="AL315" s="166"/>
      <c r="AM315" s="166"/>
      <c r="AN315" s="166"/>
      <c r="AO315" s="166"/>
      <c r="AP315" s="166"/>
      <c r="AQ315" s="166"/>
      <c r="AR315" s="166"/>
      <c r="AS315" s="166"/>
      <c r="AT315" s="166"/>
      <c r="AU315" s="166"/>
      <c r="AV315" s="166"/>
      <c r="AW315" s="166"/>
      <c r="AX315" s="166"/>
      <c r="AY315" s="166"/>
      <c r="AZ315" s="186"/>
      <c r="BA315" s="186"/>
      <c r="BB315" s="186"/>
      <c r="BC315" s="186"/>
      <c r="BD315" s="186"/>
      <c r="BE315" s="186"/>
      <c r="BF315" s="186"/>
      <c r="BG315" s="186"/>
      <c r="BH315" s="186"/>
      <c r="BI315" s="183">
        <f t="shared" si="143"/>
        <v>0</v>
      </c>
      <c r="BJ315" s="183">
        <f t="shared" si="144"/>
        <v>0</v>
      </c>
      <c r="BK315" s="183">
        <f t="shared" si="145"/>
        <v>0</v>
      </c>
      <c r="BL315" s="183">
        <f t="shared" si="146"/>
        <v>0</v>
      </c>
    </row>
    <row r="316" spans="1:64" s="187" customFormat="1" ht="15.75" hidden="1" customHeight="1" outlineLevel="3" x14ac:dyDescent="0.3">
      <c r="A316" s="185"/>
      <c r="B316" s="185"/>
      <c r="C316" s="185"/>
      <c r="D316" s="185"/>
      <c r="E316" s="185" t="s">
        <v>2678</v>
      </c>
      <c r="F316" s="185" t="s">
        <v>83</v>
      </c>
      <c r="G316" s="185">
        <v>117</v>
      </c>
      <c r="H316" s="185" t="str">
        <f>IFERROR(VLOOKUP(G316,'2022. tervsor'!C:D,2,0)," ")</f>
        <v>ÁFA mentes számlázott(okt.kut.)szellemi tev.kiad.</v>
      </c>
      <c r="I316" s="353">
        <f t="shared" si="152"/>
        <v>0</v>
      </c>
      <c r="J316" s="353">
        <f t="shared" si="141"/>
        <v>0</v>
      </c>
      <c r="K316" s="166">
        <f t="shared" si="153"/>
        <v>0</v>
      </c>
      <c r="L316" s="166">
        <f t="shared" si="142"/>
        <v>0</v>
      </c>
      <c r="M316" s="182"/>
      <c r="N316" s="166"/>
      <c r="O316" s="166"/>
      <c r="P316" s="166"/>
      <c r="Q316" s="166"/>
      <c r="R316" s="166"/>
      <c r="S316" s="166"/>
      <c r="T316" s="166"/>
      <c r="U316" s="166"/>
      <c r="V316" s="166"/>
      <c r="W316" s="166"/>
      <c r="X316" s="166"/>
      <c r="Y316" s="166"/>
      <c r="Z316" s="166"/>
      <c r="AA316" s="166"/>
      <c r="AB316" s="166"/>
      <c r="AC316" s="166"/>
      <c r="AD316" s="166"/>
      <c r="AE316" s="166"/>
      <c r="AF316" s="166"/>
      <c r="AG316" s="166"/>
      <c r="AH316" s="166"/>
      <c r="AI316" s="166"/>
      <c r="AJ316" s="166"/>
      <c r="AK316" s="166"/>
      <c r="AL316" s="166"/>
      <c r="AM316" s="166"/>
      <c r="AN316" s="166"/>
      <c r="AO316" s="166"/>
      <c r="AP316" s="166"/>
      <c r="AQ316" s="166"/>
      <c r="AR316" s="166"/>
      <c r="AS316" s="166"/>
      <c r="AT316" s="166"/>
      <c r="AU316" s="166"/>
      <c r="AV316" s="166"/>
      <c r="AW316" s="166"/>
      <c r="AX316" s="166"/>
      <c r="AY316" s="166"/>
      <c r="AZ316" s="186"/>
      <c r="BA316" s="186"/>
      <c r="BB316" s="186"/>
      <c r="BC316" s="186"/>
      <c r="BD316" s="186"/>
      <c r="BE316" s="186"/>
      <c r="BF316" s="186"/>
      <c r="BG316" s="186"/>
      <c r="BH316" s="186"/>
      <c r="BI316" s="183">
        <f t="shared" si="143"/>
        <v>0</v>
      </c>
      <c r="BJ316" s="183">
        <f t="shared" si="144"/>
        <v>0</v>
      </c>
      <c r="BK316" s="183">
        <f t="shared" si="145"/>
        <v>0</v>
      </c>
      <c r="BL316" s="183">
        <f t="shared" si="146"/>
        <v>0</v>
      </c>
    </row>
    <row r="317" spans="1:64" s="187" customFormat="1" ht="15.75" hidden="1" customHeight="1" outlineLevel="3" x14ac:dyDescent="0.3">
      <c r="A317" s="185"/>
      <c r="B317" s="185"/>
      <c r="C317" s="185"/>
      <c r="D317" s="185"/>
      <c r="E317" s="185" t="s">
        <v>2678</v>
      </c>
      <c r="F317" s="185" t="s">
        <v>83</v>
      </c>
      <c r="G317" s="185">
        <v>118</v>
      </c>
      <c r="H317" s="185" t="str">
        <f>IFERROR(VLOOKUP(G317,'2022. tervsor'!C:D,2,0)," ")</f>
        <v>ÁFA-s számlázott(okt.kut.)szellemi tev.kiad.</v>
      </c>
      <c r="I317" s="353">
        <f t="shared" si="152"/>
        <v>0</v>
      </c>
      <c r="J317" s="353">
        <f t="shared" si="141"/>
        <v>0</v>
      </c>
      <c r="K317" s="166">
        <f t="shared" si="153"/>
        <v>0</v>
      </c>
      <c r="L317" s="166">
        <f t="shared" si="142"/>
        <v>0</v>
      </c>
      <c r="M317" s="182"/>
      <c r="N317" s="166"/>
      <c r="O317" s="166"/>
      <c r="P317" s="166"/>
      <c r="Q317" s="166"/>
      <c r="R317" s="166"/>
      <c r="S317" s="166"/>
      <c r="T317" s="166"/>
      <c r="U317" s="166"/>
      <c r="V317" s="166"/>
      <c r="W317" s="166"/>
      <c r="X317" s="166"/>
      <c r="Y317" s="166"/>
      <c r="Z317" s="166"/>
      <c r="AA317" s="166"/>
      <c r="AB317" s="166"/>
      <c r="AC317" s="166"/>
      <c r="AD317" s="166"/>
      <c r="AE317" s="166"/>
      <c r="AF317" s="166"/>
      <c r="AG317" s="166"/>
      <c r="AH317" s="166"/>
      <c r="AI317" s="166"/>
      <c r="AJ317" s="166"/>
      <c r="AK317" s="166"/>
      <c r="AL317" s="166"/>
      <c r="AM317" s="166"/>
      <c r="AN317" s="166"/>
      <c r="AO317" s="166"/>
      <c r="AP317" s="166"/>
      <c r="AQ317" s="166"/>
      <c r="AR317" s="166"/>
      <c r="AS317" s="166"/>
      <c r="AT317" s="166"/>
      <c r="AU317" s="166"/>
      <c r="AV317" s="166"/>
      <c r="AW317" s="166"/>
      <c r="AX317" s="166"/>
      <c r="AY317" s="166"/>
      <c r="AZ317" s="186"/>
      <c r="BA317" s="186"/>
      <c r="BB317" s="186"/>
      <c r="BC317" s="186"/>
      <c r="BD317" s="186"/>
      <c r="BE317" s="186"/>
      <c r="BF317" s="186"/>
      <c r="BG317" s="186"/>
      <c r="BH317" s="186"/>
      <c r="BI317" s="183">
        <f t="shared" si="143"/>
        <v>0</v>
      </c>
      <c r="BJ317" s="183">
        <f t="shared" si="144"/>
        <v>0</v>
      </c>
      <c r="BK317" s="183">
        <f t="shared" si="145"/>
        <v>0</v>
      </c>
      <c r="BL317" s="183">
        <f t="shared" si="146"/>
        <v>0</v>
      </c>
    </row>
    <row r="318" spans="1:64" s="187" customFormat="1" ht="15.75" hidden="1" customHeight="1" outlineLevel="3" x14ac:dyDescent="0.3">
      <c r="A318" s="185"/>
      <c r="B318" s="185"/>
      <c r="C318" s="185"/>
      <c r="D318" s="185"/>
      <c r="E318" s="185" t="s">
        <v>2678</v>
      </c>
      <c r="F318" s="185" t="s">
        <v>83</v>
      </c>
      <c r="G318" s="185">
        <v>119</v>
      </c>
      <c r="H318" s="185" t="str">
        <f>IFERROR(VLOOKUP(G318,'2022. tervsor'!C:D,2,0)," ")</f>
        <v>Sport és kulturális szolgáltatás</v>
      </c>
      <c r="I318" s="353">
        <f t="shared" si="152"/>
        <v>0</v>
      </c>
      <c r="J318" s="353">
        <f t="shared" si="141"/>
        <v>0</v>
      </c>
      <c r="K318" s="166">
        <f t="shared" si="153"/>
        <v>0</v>
      </c>
      <c r="L318" s="166">
        <f t="shared" si="142"/>
        <v>0</v>
      </c>
      <c r="M318" s="182"/>
      <c r="N318" s="166"/>
      <c r="O318" s="166"/>
      <c r="P318" s="166"/>
      <c r="Q318" s="166"/>
      <c r="R318" s="166"/>
      <c r="S318" s="166"/>
      <c r="T318" s="166"/>
      <c r="U318" s="166"/>
      <c r="V318" s="166"/>
      <c r="W318" s="166"/>
      <c r="X318" s="166"/>
      <c r="Y318" s="166"/>
      <c r="Z318" s="166"/>
      <c r="AA318" s="166"/>
      <c r="AB318" s="166"/>
      <c r="AC318" s="166"/>
      <c r="AD318" s="166"/>
      <c r="AE318" s="166"/>
      <c r="AF318" s="166"/>
      <c r="AG318" s="166"/>
      <c r="AH318" s="166"/>
      <c r="AI318" s="166"/>
      <c r="AJ318" s="166"/>
      <c r="AK318" s="166"/>
      <c r="AL318" s="166"/>
      <c r="AM318" s="166"/>
      <c r="AN318" s="166"/>
      <c r="AO318" s="166"/>
      <c r="AP318" s="166"/>
      <c r="AQ318" s="166"/>
      <c r="AR318" s="166"/>
      <c r="AS318" s="166"/>
      <c r="AT318" s="166"/>
      <c r="AU318" s="166"/>
      <c r="AV318" s="166"/>
      <c r="AW318" s="166"/>
      <c r="AX318" s="166"/>
      <c r="AY318" s="166"/>
      <c r="AZ318" s="186"/>
      <c r="BA318" s="186"/>
      <c r="BB318" s="186"/>
      <c r="BC318" s="186"/>
      <c r="BD318" s="186"/>
      <c r="BE318" s="186"/>
      <c r="BF318" s="186"/>
      <c r="BG318" s="186"/>
      <c r="BH318" s="186"/>
      <c r="BI318" s="183">
        <f t="shared" si="143"/>
        <v>0</v>
      </c>
      <c r="BJ318" s="183">
        <f t="shared" si="144"/>
        <v>0</v>
      </c>
      <c r="BK318" s="183">
        <f t="shared" si="145"/>
        <v>0</v>
      </c>
      <c r="BL318" s="183">
        <f t="shared" si="146"/>
        <v>0</v>
      </c>
    </row>
    <row r="319" spans="1:64" s="187" customFormat="1" ht="15.75" hidden="1" customHeight="1" outlineLevel="3" x14ac:dyDescent="0.3">
      <c r="A319" s="185"/>
      <c r="B319" s="185"/>
      <c r="C319" s="185"/>
      <c r="D319" s="185"/>
      <c r="E319" s="185" t="s">
        <v>2678</v>
      </c>
      <c r="F319" s="185" t="s">
        <v>83</v>
      </c>
      <c r="G319" s="185">
        <v>120</v>
      </c>
      <c r="H319" s="185" t="str">
        <f>IFERROR(VLOOKUP(G319,'2022. tervsor'!C:D,2,0)," ")</f>
        <v>Szakmai szolg. tanfolyamok, továbbképzések</v>
      </c>
      <c r="I319" s="353">
        <f t="shared" si="152"/>
        <v>0</v>
      </c>
      <c r="J319" s="353">
        <f t="shared" si="141"/>
        <v>0</v>
      </c>
      <c r="K319" s="166">
        <f t="shared" si="153"/>
        <v>0</v>
      </c>
      <c r="L319" s="166">
        <f t="shared" si="142"/>
        <v>0</v>
      </c>
      <c r="M319" s="182"/>
      <c r="N319" s="166"/>
      <c r="O319" s="166"/>
      <c r="P319" s="166"/>
      <c r="Q319" s="166"/>
      <c r="R319" s="166"/>
      <c r="S319" s="166"/>
      <c r="T319" s="166"/>
      <c r="U319" s="166"/>
      <c r="V319" s="166"/>
      <c r="W319" s="166"/>
      <c r="X319" s="166"/>
      <c r="Y319" s="166"/>
      <c r="Z319" s="166"/>
      <c r="AA319" s="166"/>
      <c r="AB319" s="166"/>
      <c r="AC319" s="166"/>
      <c r="AD319" s="166"/>
      <c r="AE319" s="166"/>
      <c r="AF319" s="166"/>
      <c r="AG319" s="166"/>
      <c r="AH319" s="166"/>
      <c r="AI319" s="166"/>
      <c r="AJ319" s="166"/>
      <c r="AK319" s="166"/>
      <c r="AL319" s="166"/>
      <c r="AM319" s="166"/>
      <c r="AN319" s="166"/>
      <c r="AO319" s="166"/>
      <c r="AP319" s="166"/>
      <c r="AQ319" s="166"/>
      <c r="AR319" s="166"/>
      <c r="AS319" s="166"/>
      <c r="AT319" s="166"/>
      <c r="AU319" s="166"/>
      <c r="AV319" s="166"/>
      <c r="AW319" s="166"/>
      <c r="AX319" s="166"/>
      <c r="AY319" s="166"/>
      <c r="AZ319" s="186"/>
      <c r="BA319" s="186"/>
      <c r="BB319" s="186"/>
      <c r="BC319" s="186"/>
      <c r="BD319" s="186"/>
      <c r="BE319" s="186"/>
      <c r="BF319" s="186"/>
      <c r="BG319" s="186"/>
      <c r="BH319" s="186"/>
      <c r="BI319" s="183">
        <f t="shared" si="143"/>
        <v>0</v>
      </c>
      <c r="BJ319" s="183">
        <f t="shared" si="144"/>
        <v>0</v>
      </c>
      <c r="BK319" s="183">
        <f t="shared" si="145"/>
        <v>0</v>
      </c>
      <c r="BL319" s="183">
        <f t="shared" si="146"/>
        <v>0</v>
      </c>
    </row>
    <row r="320" spans="1:64" s="187" customFormat="1" ht="15.75" hidden="1" customHeight="1" outlineLevel="3" x14ac:dyDescent="0.3">
      <c r="A320" s="185"/>
      <c r="B320" s="185"/>
      <c r="C320" s="185"/>
      <c r="D320" s="185"/>
      <c r="E320" s="185" t="s">
        <v>2678</v>
      </c>
      <c r="F320" s="185" t="s">
        <v>83</v>
      </c>
      <c r="G320" s="185">
        <v>122</v>
      </c>
      <c r="H320" s="185" t="str">
        <f>IFERROR(VLOOKUP(G320,'2022. tervsor'!C:D,2,0)," ")</f>
        <v>Egyéb pénzügyi szoltáltatások (bankktg.)</v>
      </c>
      <c r="I320" s="353">
        <f t="shared" si="152"/>
        <v>0</v>
      </c>
      <c r="J320" s="353">
        <f t="shared" si="141"/>
        <v>0</v>
      </c>
      <c r="K320" s="166">
        <f t="shared" si="153"/>
        <v>0</v>
      </c>
      <c r="L320" s="166">
        <f t="shared" si="142"/>
        <v>0</v>
      </c>
      <c r="M320" s="182"/>
      <c r="N320" s="166"/>
      <c r="O320" s="166"/>
      <c r="P320" s="166"/>
      <c r="Q320" s="166"/>
      <c r="R320" s="166"/>
      <c r="S320" s="166"/>
      <c r="T320" s="166"/>
      <c r="U320" s="166"/>
      <c r="V320" s="166"/>
      <c r="W320" s="166"/>
      <c r="X320" s="166"/>
      <c r="Y320" s="166"/>
      <c r="Z320" s="166"/>
      <c r="AA320" s="166"/>
      <c r="AB320" s="166"/>
      <c r="AC320" s="166"/>
      <c r="AD320" s="166"/>
      <c r="AE320" s="166"/>
      <c r="AF320" s="166"/>
      <c r="AG320" s="166"/>
      <c r="AH320" s="166"/>
      <c r="AI320" s="166"/>
      <c r="AJ320" s="166"/>
      <c r="AK320" s="166"/>
      <c r="AL320" s="166"/>
      <c r="AM320" s="166"/>
      <c r="AN320" s="166"/>
      <c r="AO320" s="166"/>
      <c r="AP320" s="166"/>
      <c r="AQ320" s="166"/>
      <c r="AR320" s="166"/>
      <c r="AS320" s="166"/>
      <c r="AT320" s="166"/>
      <c r="AU320" s="166"/>
      <c r="AV320" s="166"/>
      <c r="AW320" s="166"/>
      <c r="AX320" s="166"/>
      <c r="AY320" s="166"/>
      <c r="AZ320" s="186"/>
      <c r="BA320" s="186"/>
      <c r="BB320" s="186"/>
      <c r="BC320" s="186"/>
      <c r="BD320" s="186"/>
      <c r="BE320" s="186"/>
      <c r="BF320" s="186"/>
      <c r="BG320" s="186"/>
      <c r="BH320" s="186"/>
      <c r="BI320" s="183">
        <f t="shared" si="143"/>
        <v>0</v>
      </c>
      <c r="BJ320" s="183">
        <f t="shared" si="144"/>
        <v>0</v>
      </c>
      <c r="BK320" s="183">
        <f t="shared" si="145"/>
        <v>0</v>
      </c>
      <c r="BL320" s="183">
        <f t="shared" si="146"/>
        <v>0</v>
      </c>
    </row>
    <row r="321" spans="1:64" s="187" customFormat="1" ht="15.75" hidden="1" customHeight="1" outlineLevel="3" x14ac:dyDescent="0.3">
      <c r="A321" s="185"/>
      <c r="B321" s="185"/>
      <c r="C321" s="185"/>
      <c r="D321" s="185"/>
      <c r="E321" s="185" t="s">
        <v>2678</v>
      </c>
      <c r="F321" s="185" t="s">
        <v>83</v>
      </c>
      <c r="G321" s="185">
        <v>123</v>
      </c>
      <c r="H321" s="185" t="str">
        <f>IFERROR(VLOOKUP(G321,'2022. tervsor'!C:D,2,0)," ")</f>
        <v>Anyag- és áruszállítás költségei</v>
      </c>
      <c r="I321" s="353">
        <f t="shared" si="152"/>
        <v>0</v>
      </c>
      <c r="J321" s="353">
        <f t="shared" si="141"/>
        <v>0</v>
      </c>
      <c r="K321" s="166">
        <f t="shared" si="153"/>
        <v>0</v>
      </c>
      <c r="L321" s="166">
        <f t="shared" si="142"/>
        <v>0</v>
      </c>
      <c r="M321" s="182"/>
      <c r="N321" s="166"/>
      <c r="O321" s="166"/>
      <c r="P321" s="166"/>
      <c r="Q321" s="166"/>
      <c r="R321" s="166"/>
      <c r="S321" s="166"/>
      <c r="T321" s="166"/>
      <c r="U321" s="166"/>
      <c r="V321" s="166"/>
      <c r="W321" s="166"/>
      <c r="X321" s="166"/>
      <c r="Y321" s="166"/>
      <c r="Z321" s="166"/>
      <c r="AA321" s="166"/>
      <c r="AB321" s="166"/>
      <c r="AC321" s="166"/>
      <c r="AD321" s="166"/>
      <c r="AE321" s="166"/>
      <c r="AF321" s="166"/>
      <c r="AG321" s="166"/>
      <c r="AH321" s="166"/>
      <c r="AI321" s="166"/>
      <c r="AJ321" s="166"/>
      <c r="AK321" s="166"/>
      <c r="AL321" s="166"/>
      <c r="AM321" s="166"/>
      <c r="AN321" s="166"/>
      <c r="AO321" s="166"/>
      <c r="AP321" s="166"/>
      <c r="AQ321" s="166"/>
      <c r="AR321" s="166"/>
      <c r="AS321" s="166"/>
      <c r="AT321" s="166"/>
      <c r="AU321" s="166"/>
      <c r="AV321" s="166"/>
      <c r="AW321" s="166"/>
      <c r="AX321" s="166"/>
      <c r="AY321" s="166"/>
      <c r="AZ321" s="186"/>
      <c r="BA321" s="186"/>
      <c r="BB321" s="186"/>
      <c r="BC321" s="186"/>
      <c r="BD321" s="186"/>
      <c r="BE321" s="186"/>
      <c r="BF321" s="186"/>
      <c r="BG321" s="186"/>
      <c r="BH321" s="186"/>
      <c r="BI321" s="183">
        <f t="shared" si="143"/>
        <v>0</v>
      </c>
      <c r="BJ321" s="183">
        <f t="shared" si="144"/>
        <v>0</v>
      </c>
      <c r="BK321" s="183">
        <f t="shared" si="145"/>
        <v>0</v>
      </c>
      <c r="BL321" s="183">
        <f t="shared" si="146"/>
        <v>0</v>
      </c>
    </row>
    <row r="322" spans="1:64" s="187" customFormat="1" ht="15.75" hidden="1" customHeight="1" outlineLevel="3" x14ac:dyDescent="0.3">
      <c r="A322" s="185"/>
      <c r="B322" s="185"/>
      <c r="C322" s="185"/>
      <c r="D322" s="185"/>
      <c r="E322" s="185" t="s">
        <v>2678</v>
      </c>
      <c r="F322" s="185" t="s">
        <v>83</v>
      </c>
      <c r="G322" s="185">
        <v>124</v>
      </c>
      <c r="H322" s="185" t="str">
        <f>IFERROR(VLOOKUP(G322,'2022. tervsor'!C:D,2,0)," ")</f>
        <v>Egyéb szállítás költségei</v>
      </c>
      <c r="I322" s="353">
        <f t="shared" si="152"/>
        <v>0</v>
      </c>
      <c r="J322" s="353">
        <f t="shared" ref="J322:J353" si="154">SUM(N322:AM322)</f>
        <v>0</v>
      </c>
      <c r="K322" s="166">
        <f t="shared" si="153"/>
        <v>0</v>
      </c>
      <c r="L322" s="166">
        <f t="shared" ref="L322:L353" si="155">SUM(N322:BH322)</f>
        <v>0</v>
      </c>
      <c r="M322" s="182"/>
      <c r="N322" s="166"/>
      <c r="O322" s="166"/>
      <c r="P322" s="166"/>
      <c r="Q322" s="166"/>
      <c r="R322" s="166"/>
      <c r="S322" s="166"/>
      <c r="T322" s="166"/>
      <c r="U322" s="166"/>
      <c r="V322" s="166"/>
      <c r="W322" s="166"/>
      <c r="X322" s="166"/>
      <c r="Y322" s="166"/>
      <c r="Z322" s="166"/>
      <c r="AA322" s="166"/>
      <c r="AB322" s="166"/>
      <c r="AC322" s="166"/>
      <c r="AD322" s="166"/>
      <c r="AE322" s="166"/>
      <c r="AF322" s="166"/>
      <c r="AG322" s="166"/>
      <c r="AH322" s="166"/>
      <c r="AI322" s="166"/>
      <c r="AJ322" s="166"/>
      <c r="AK322" s="166"/>
      <c r="AL322" s="166"/>
      <c r="AM322" s="166"/>
      <c r="AN322" s="166"/>
      <c r="AO322" s="166"/>
      <c r="AP322" s="166"/>
      <c r="AQ322" s="166"/>
      <c r="AR322" s="166"/>
      <c r="AS322" s="166"/>
      <c r="AT322" s="166"/>
      <c r="AU322" s="166"/>
      <c r="AV322" s="166"/>
      <c r="AW322" s="166"/>
      <c r="AX322" s="166"/>
      <c r="AY322" s="166"/>
      <c r="AZ322" s="186"/>
      <c r="BA322" s="186"/>
      <c r="BB322" s="186"/>
      <c r="BC322" s="186"/>
      <c r="BD322" s="186"/>
      <c r="BE322" s="186"/>
      <c r="BF322" s="186"/>
      <c r="BG322" s="186"/>
      <c r="BH322" s="186"/>
      <c r="BI322" s="183">
        <f t="shared" ref="BI322:BI385" si="156">+SUM(N322:AA322)</f>
        <v>0</v>
      </c>
      <c r="BJ322" s="183">
        <f t="shared" ref="BJ322:BJ385" si="157">+AB322</f>
        <v>0</v>
      </c>
      <c r="BK322" s="183">
        <f t="shared" ref="BK322:BK385" si="158">+SUM(AC322:AM322)</f>
        <v>0</v>
      </c>
      <c r="BL322" s="183">
        <f t="shared" ref="BL322:BL385" si="159">+SUM(AN322:BH322)</f>
        <v>0</v>
      </c>
    </row>
    <row r="323" spans="1:64" s="187" customFormat="1" ht="15.75" hidden="1" customHeight="1" outlineLevel="3" x14ac:dyDescent="0.3">
      <c r="A323" s="185"/>
      <c r="B323" s="185"/>
      <c r="C323" s="185"/>
      <c r="D323" s="185"/>
      <c r="E323" s="185" t="s">
        <v>2678</v>
      </c>
      <c r="F323" s="185" t="s">
        <v>83</v>
      </c>
      <c r="G323" s="185">
        <v>125</v>
      </c>
      <c r="H323" s="185" t="str">
        <f>IFERROR(VLOOKUP(G323,'2022. tervsor'!C:D,2,0)," ")</f>
        <v>Postai levél. csomag. feladott távirat</v>
      </c>
      <c r="I323" s="353">
        <f t="shared" si="152"/>
        <v>0</v>
      </c>
      <c r="J323" s="353">
        <f t="shared" si="154"/>
        <v>0</v>
      </c>
      <c r="K323" s="166">
        <f t="shared" si="153"/>
        <v>0</v>
      </c>
      <c r="L323" s="166">
        <f t="shared" si="155"/>
        <v>0</v>
      </c>
      <c r="M323" s="182"/>
      <c r="N323" s="166"/>
      <c r="O323" s="166"/>
      <c r="P323" s="166"/>
      <c r="Q323" s="166"/>
      <c r="R323" s="166"/>
      <c r="S323" s="166"/>
      <c r="T323" s="166"/>
      <c r="U323" s="166"/>
      <c r="V323" s="166"/>
      <c r="W323" s="166"/>
      <c r="X323" s="166"/>
      <c r="Y323" s="166"/>
      <c r="Z323" s="166"/>
      <c r="AA323" s="166"/>
      <c r="AB323" s="166"/>
      <c r="AC323" s="166"/>
      <c r="AD323" s="166"/>
      <c r="AE323" s="166"/>
      <c r="AF323" s="166"/>
      <c r="AG323" s="166"/>
      <c r="AH323" s="166"/>
      <c r="AI323" s="166"/>
      <c r="AJ323" s="166"/>
      <c r="AK323" s="166"/>
      <c r="AL323" s="166"/>
      <c r="AM323" s="166"/>
      <c r="AN323" s="166"/>
      <c r="AO323" s="166"/>
      <c r="AP323" s="166"/>
      <c r="AQ323" s="166"/>
      <c r="AR323" s="166"/>
      <c r="AS323" s="166"/>
      <c r="AT323" s="166"/>
      <c r="AU323" s="166"/>
      <c r="AV323" s="166"/>
      <c r="AW323" s="166"/>
      <c r="AX323" s="166"/>
      <c r="AY323" s="166"/>
      <c r="AZ323" s="186"/>
      <c r="BA323" s="186"/>
      <c r="BB323" s="186"/>
      <c r="BC323" s="186"/>
      <c r="BD323" s="186"/>
      <c r="BE323" s="186"/>
      <c r="BF323" s="186"/>
      <c r="BG323" s="186"/>
      <c r="BH323" s="186"/>
      <c r="BI323" s="183">
        <f t="shared" si="156"/>
        <v>0</v>
      </c>
      <c r="BJ323" s="183">
        <f t="shared" si="157"/>
        <v>0</v>
      </c>
      <c r="BK323" s="183">
        <f t="shared" si="158"/>
        <v>0</v>
      </c>
      <c r="BL323" s="183">
        <f t="shared" si="159"/>
        <v>0</v>
      </c>
    </row>
    <row r="324" spans="1:64" s="187" customFormat="1" ht="15.75" hidden="1" customHeight="1" outlineLevel="3" x14ac:dyDescent="0.3">
      <c r="A324" s="185"/>
      <c r="B324" s="185"/>
      <c r="C324" s="185"/>
      <c r="D324" s="185"/>
      <c r="E324" s="185" t="s">
        <v>2678</v>
      </c>
      <c r="F324" s="185" t="s">
        <v>83</v>
      </c>
      <c r="G324" s="185">
        <v>126</v>
      </c>
      <c r="H324" s="185" t="str">
        <f>IFERROR(VLOOKUP(G324,'2022. tervsor'!C:D,2,0)," ")</f>
        <v>Takarítás</v>
      </c>
      <c r="I324" s="353">
        <f t="shared" si="152"/>
        <v>0</v>
      </c>
      <c r="J324" s="353">
        <f t="shared" si="154"/>
        <v>0</v>
      </c>
      <c r="K324" s="166">
        <f t="shared" si="153"/>
        <v>0</v>
      </c>
      <c r="L324" s="166">
        <f t="shared" si="155"/>
        <v>0</v>
      </c>
      <c r="M324" s="182"/>
      <c r="N324" s="166"/>
      <c r="O324" s="166"/>
      <c r="P324" s="166"/>
      <c r="Q324" s="166"/>
      <c r="R324" s="166"/>
      <c r="S324" s="166"/>
      <c r="T324" s="166"/>
      <c r="U324" s="166"/>
      <c r="V324" s="166"/>
      <c r="W324" s="166"/>
      <c r="X324" s="166"/>
      <c r="Y324" s="166"/>
      <c r="Z324" s="166"/>
      <c r="AA324" s="166"/>
      <c r="AB324" s="166"/>
      <c r="AC324" s="166"/>
      <c r="AD324" s="166"/>
      <c r="AE324" s="166"/>
      <c r="AF324" s="166"/>
      <c r="AG324" s="166"/>
      <c r="AH324" s="166"/>
      <c r="AI324" s="166"/>
      <c r="AJ324" s="166"/>
      <c r="AK324" s="166"/>
      <c r="AL324" s="166"/>
      <c r="AM324" s="166"/>
      <c r="AN324" s="166"/>
      <c r="AO324" s="166"/>
      <c r="AP324" s="166"/>
      <c r="AQ324" s="166"/>
      <c r="AR324" s="166"/>
      <c r="AS324" s="166"/>
      <c r="AT324" s="166"/>
      <c r="AU324" s="166"/>
      <c r="AV324" s="166"/>
      <c r="AW324" s="166"/>
      <c r="AX324" s="166"/>
      <c r="AY324" s="166"/>
      <c r="AZ324" s="186"/>
      <c r="BA324" s="186"/>
      <c r="BB324" s="186"/>
      <c r="BC324" s="186"/>
      <c r="BD324" s="186"/>
      <c r="BE324" s="186"/>
      <c r="BF324" s="186"/>
      <c r="BG324" s="186"/>
      <c r="BH324" s="186"/>
      <c r="BI324" s="183">
        <f t="shared" si="156"/>
        <v>0</v>
      </c>
      <c r="BJ324" s="183">
        <f t="shared" si="157"/>
        <v>0</v>
      </c>
      <c r="BK324" s="183">
        <f t="shared" si="158"/>
        <v>0</v>
      </c>
      <c r="BL324" s="183">
        <f t="shared" si="159"/>
        <v>0</v>
      </c>
    </row>
    <row r="325" spans="1:64" s="187" customFormat="1" ht="15.75" hidden="1" customHeight="1" outlineLevel="3" x14ac:dyDescent="0.3">
      <c r="A325" s="185"/>
      <c r="B325" s="185"/>
      <c r="C325" s="185"/>
      <c r="D325" s="185"/>
      <c r="E325" s="185" t="s">
        <v>2678</v>
      </c>
      <c r="F325" s="185" t="s">
        <v>83</v>
      </c>
      <c r="G325" s="185">
        <v>127</v>
      </c>
      <c r="H325" s="185" t="str">
        <f>IFERROR(VLOOKUP(G325,'2022. tervsor'!C:D,2,0)," ")</f>
        <v>Rovarirtás</v>
      </c>
      <c r="I325" s="353">
        <f t="shared" si="152"/>
        <v>0</v>
      </c>
      <c r="J325" s="353">
        <f t="shared" si="154"/>
        <v>0</v>
      </c>
      <c r="K325" s="166">
        <f t="shared" si="153"/>
        <v>0</v>
      </c>
      <c r="L325" s="166">
        <f t="shared" si="155"/>
        <v>0</v>
      </c>
      <c r="M325" s="182"/>
      <c r="N325" s="166"/>
      <c r="O325" s="166"/>
      <c r="P325" s="166"/>
      <c r="Q325" s="166"/>
      <c r="R325" s="166"/>
      <c r="S325" s="166"/>
      <c r="T325" s="166"/>
      <c r="U325" s="166"/>
      <c r="V325" s="166"/>
      <c r="W325" s="166"/>
      <c r="X325" s="166"/>
      <c r="Y325" s="166"/>
      <c r="Z325" s="166"/>
      <c r="AA325" s="166"/>
      <c r="AB325" s="166"/>
      <c r="AC325" s="166"/>
      <c r="AD325" s="166"/>
      <c r="AE325" s="166"/>
      <c r="AF325" s="166"/>
      <c r="AG325" s="166"/>
      <c r="AH325" s="166"/>
      <c r="AI325" s="166"/>
      <c r="AJ325" s="166"/>
      <c r="AK325" s="166"/>
      <c r="AL325" s="166"/>
      <c r="AM325" s="166"/>
      <c r="AN325" s="166"/>
      <c r="AO325" s="166"/>
      <c r="AP325" s="166"/>
      <c r="AQ325" s="166"/>
      <c r="AR325" s="166"/>
      <c r="AS325" s="166"/>
      <c r="AT325" s="166"/>
      <c r="AU325" s="166"/>
      <c r="AV325" s="166"/>
      <c r="AW325" s="166"/>
      <c r="AX325" s="166"/>
      <c r="AY325" s="166"/>
      <c r="AZ325" s="186"/>
      <c r="BA325" s="186"/>
      <c r="BB325" s="186"/>
      <c r="BC325" s="186"/>
      <c r="BD325" s="186"/>
      <c r="BE325" s="186"/>
      <c r="BF325" s="186"/>
      <c r="BG325" s="186"/>
      <c r="BH325" s="186"/>
      <c r="BI325" s="183">
        <f t="shared" si="156"/>
        <v>0</v>
      </c>
      <c r="BJ325" s="183">
        <f t="shared" si="157"/>
        <v>0</v>
      </c>
      <c r="BK325" s="183">
        <f t="shared" si="158"/>
        <v>0</v>
      </c>
      <c r="BL325" s="183">
        <f t="shared" si="159"/>
        <v>0</v>
      </c>
    </row>
    <row r="326" spans="1:64" s="187" customFormat="1" ht="15.75" hidden="1" customHeight="1" outlineLevel="3" x14ac:dyDescent="0.3">
      <c r="A326" s="185"/>
      <c r="B326" s="185"/>
      <c r="C326" s="185"/>
      <c r="D326" s="185"/>
      <c r="E326" s="185" t="s">
        <v>2678</v>
      </c>
      <c r="F326" s="185" t="s">
        <v>83</v>
      </c>
      <c r="G326" s="185">
        <v>128</v>
      </c>
      <c r="H326" s="185" t="str">
        <f>IFERROR(VLOOKUP(G326,'2022. tervsor'!C:D,2,0)," ")</f>
        <v>Kommunális hulladék szállítási költségei</v>
      </c>
      <c r="I326" s="353">
        <f t="shared" si="152"/>
        <v>0</v>
      </c>
      <c r="J326" s="353">
        <f t="shared" si="154"/>
        <v>0</v>
      </c>
      <c r="K326" s="166">
        <f t="shared" si="153"/>
        <v>0</v>
      </c>
      <c r="L326" s="166">
        <f t="shared" si="155"/>
        <v>0</v>
      </c>
      <c r="M326" s="182"/>
      <c r="N326" s="166"/>
      <c r="O326" s="166"/>
      <c r="P326" s="166"/>
      <c r="Q326" s="166"/>
      <c r="R326" s="166"/>
      <c r="S326" s="166"/>
      <c r="T326" s="166"/>
      <c r="U326" s="166"/>
      <c r="V326" s="166"/>
      <c r="W326" s="166"/>
      <c r="X326" s="166"/>
      <c r="Y326" s="166"/>
      <c r="Z326" s="166"/>
      <c r="AA326" s="166"/>
      <c r="AB326" s="166"/>
      <c r="AC326" s="166"/>
      <c r="AD326" s="166"/>
      <c r="AE326" s="166"/>
      <c r="AF326" s="166"/>
      <c r="AG326" s="166"/>
      <c r="AH326" s="166"/>
      <c r="AI326" s="166"/>
      <c r="AJ326" s="166"/>
      <c r="AK326" s="166"/>
      <c r="AL326" s="166"/>
      <c r="AM326" s="166"/>
      <c r="AN326" s="166"/>
      <c r="AO326" s="166"/>
      <c r="AP326" s="166"/>
      <c r="AQ326" s="166"/>
      <c r="AR326" s="166"/>
      <c r="AS326" s="166"/>
      <c r="AT326" s="166"/>
      <c r="AU326" s="166"/>
      <c r="AV326" s="166"/>
      <c r="AW326" s="166"/>
      <c r="AX326" s="166"/>
      <c r="AY326" s="166"/>
      <c r="AZ326" s="186"/>
      <c r="BA326" s="186"/>
      <c r="BB326" s="186"/>
      <c r="BC326" s="186"/>
      <c r="BD326" s="186"/>
      <c r="BE326" s="186"/>
      <c r="BF326" s="186"/>
      <c r="BG326" s="186"/>
      <c r="BH326" s="186"/>
      <c r="BI326" s="183">
        <f t="shared" si="156"/>
        <v>0</v>
      </c>
      <c r="BJ326" s="183">
        <f t="shared" si="157"/>
        <v>0</v>
      </c>
      <c r="BK326" s="183">
        <f t="shared" si="158"/>
        <v>0</v>
      </c>
      <c r="BL326" s="183">
        <f t="shared" si="159"/>
        <v>0</v>
      </c>
    </row>
    <row r="327" spans="1:64" s="187" customFormat="1" ht="15.75" hidden="1" customHeight="1" outlineLevel="3" x14ac:dyDescent="0.3">
      <c r="A327" s="185"/>
      <c r="B327" s="185"/>
      <c r="C327" s="185"/>
      <c r="D327" s="185"/>
      <c r="E327" s="185" t="s">
        <v>2678</v>
      </c>
      <c r="F327" s="185" t="s">
        <v>83</v>
      </c>
      <c r="G327" s="185">
        <v>129</v>
      </c>
      <c r="H327" s="185" t="str">
        <f>IFERROR(VLOOKUP(G327,'2022. tervsor'!C:D,2,0)," ")</f>
        <v>Kéményseprési díjak költségei</v>
      </c>
      <c r="I327" s="353">
        <f t="shared" si="152"/>
        <v>0</v>
      </c>
      <c r="J327" s="353">
        <f t="shared" si="154"/>
        <v>0</v>
      </c>
      <c r="K327" s="166">
        <f t="shared" si="153"/>
        <v>0</v>
      </c>
      <c r="L327" s="166">
        <f t="shared" si="155"/>
        <v>0</v>
      </c>
      <c r="M327" s="182"/>
      <c r="N327" s="166"/>
      <c r="O327" s="166"/>
      <c r="P327" s="166"/>
      <c r="Q327" s="166"/>
      <c r="R327" s="166"/>
      <c r="S327" s="166"/>
      <c r="T327" s="166"/>
      <c r="U327" s="166"/>
      <c r="V327" s="166"/>
      <c r="W327" s="166"/>
      <c r="X327" s="166"/>
      <c r="Y327" s="166"/>
      <c r="Z327" s="166"/>
      <c r="AA327" s="166"/>
      <c r="AB327" s="166"/>
      <c r="AC327" s="166"/>
      <c r="AD327" s="166"/>
      <c r="AE327" s="166"/>
      <c r="AF327" s="166"/>
      <c r="AG327" s="166"/>
      <c r="AH327" s="166"/>
      <c r="AI327" s="166"/>
      <c r="AJ327" s="166"/>
      <c r="AK327" s="166"/>
      <c r="AL327" s="166"/>
      <c r="AM327" s="166"/>
      <c r="AN327" s="166"/>
      <c r="AO327" s="166"/>
      <c r="AP327" s="166"/>
      <c r="AQ327" s="166"/>
      <c r="AR327" s="166"/>
      <c r="AS327" s="166"/>
      <c r="AT327" s="166"/>
      <c r="AU327" s="166"/>
      <c r="AV327" s="166"/>
      <c r="AW327" s="166"/>
      <c r="AX327" s="166"/>
      <c r="AY327" s="166"/>
      <c r="AZ327" s="186"/>
      <c r="BA327" s="186"/>
      <c r="BB327" s="186"/>
      <c r="BC327" s="186"/>
      <c r="BD327" s="186"/>
      <c r="BE327" s="186"/>
      <c r="BF327" s="186"/>
      <c r="BG327" s="186"/>
      <c r="BH327" s="186"/>
      <c r="BI327" s="183">
        <f t="shared" si="156"/>
        <v>0</v>
      </c>
      <c r="BJ327" s="183">
        <f t="shared" si="157"/>
        <v>0</v>
      </c>
      <c r="BK327" s="183">
        <f t="shared" si="158"/>
        <v>0</v>
      </c>
      <c r="BL327" s="183">
        <f t="shared" si="159"/>
        <v>0</v>
      </c>
    </row>
    <row r="328" spans="1:64" s="187" customFormat="1" ht="15.75" hidden="1" customHeight="1" outlineLevel="3" x14ac:dyDescent="0.3">
      <c r="A328" s="185"/>
      <c r="B328" s="185"/>
      <c r="C328" s="185"/>
      <c r="D328" s="185"/>
      <c r="E328" s="185" t="s">
        <v>2678</v>
      </c>
      <c r="F328" s="185" t="s">
        <v>83</v>
      </c>
      <c r="G328" s="185">
        <v>130</v>
      </c>
      <c r="H328" s="185" t="str">
        <f>IFERROR(VLOOKUP(G328,'2022. tervsor'!C:D,2,0)," ")</f>
        <v>Nyomdai költség</v>
      </c>
      <c r="I328" s="353">
        <f t="shared" si="152"/>
        <v>0</v>
      </c>
      <c r="J328" s="353">
        <f t="shared" si="154"/>
        <v>0</v>
      </c>
      <c r="K328" s="166">
        <f t="shared" si="153"/>
        <v>0</v>
      </c>
      <c r="L328" s="166">
        <f t="shared" si="155"/>
        <v>0</v>
      </c>
      <c r="M328" s="182"/>
      <c r="N328" s="166"/>
      <c r="O328" s="166"/>
      <c r="P328" s="166"/>
      <c r="Q328" s="166"/>
      <c r="R328" s="166"/>
      <c r="S328" s="166"/>
      <c r="T328" s="166"/>
      <c r="U328" s="166"/>
      <c r="V328" s="166"/>
      <c r="W328" s="166"/>
      <c r="X328" s="166"/>
      <c r="Y328" s="166"/>
      <c r="Z328" s="166"/>
      <c r="AA328" s="166"/>
      <c r="AB328" s="166"/>
      <c r="AC328" s="166"/>
      <c r="AD328" s="166"/>
      <c r="AE328" s="166"/>
      <c r="AF328" s="166"/>
      <c r="AG328" s="166"/>
      <c r="AH328" s="166"/>
      <c r="AI328" s="166"/>
      <c r="AJ328" s="166"/>
      <c r="AK328" s="166"/>
      <c r="AL328" s="166"/>
      <c r="AM328" s="166"/>
      <c r="AN328" s="166"/>
      <c r="AO328" s="166"/>
      <c r="AP328" s="166"/>
      <c r="AQ328" s="166"/>
      <c r="AR328" s="166"/>
      <c r="AS328" s="166"/>
      <c r="AT328" s="166"/>
      <c r="AU328" s="166"/>
      <c r="AV328" s="166"/>
      <c r="AW328" s="166"/>
      <c r="AX328" s="166"/>
      <c r="AY328" s="166"/>
      <c r="AZ328" s="186"/>
      <c r="BA328" s="186"/>
      <c r="BB328" s="186"/>
      <c r="BC328" s="186"/>
      <c r="BD328" s="186"/>
      <c r="BE328" s="186"/>
      <c r="BF328" s="186"/>
      <c r="BG328" s="186"/>
      <c r="BH328" s="186"/>
      <c r="BI328" s="183">
        <f t="shared" si="156"/>
        <v>0</v>
      </c>
      <c r="BJ328" s="183">
        <f t="shared" si="157"/>
        <v>0</v>
      </c>
      <c r="BK328" s="183">
        <f t="shared" si="158"/>
        <v>0</v>
      </c>
      <c r="BL328" s="183">
        <f t="shared" si="159"/>
        <v>0</v>
      </c>
    </row>
    <row r="329" spans="1:64" s="187" customFormat="1" ht="15.75" hidden="1" customHeight="1" outlineLevel="3" x14ac:dyDescent="0.3">
      <c r="A329" s="185"/>
      <c r="B329" s="185"/>
      <c r="C329" s="185"/>
      <c r="D329" s="185"/>
      <c r="E329" s="185" t="s">
        <v>2678</v>
      </c>
      <c r="F329" s="185" t="s">
        <v>83</v>
      </c>
      <c r="G329" s="185">
        <v>131</v>
      </c>
      <c r="H329" s="185" t="str">
        <f>IFERROR(VLOOKUP(G329,'2022. tervsor'!C:D,2,0)," ")</f>
        <v>Ingatlanok üzemelt. fenntartási kiad.</v>
      </c>
      <c r="I329" s="353">
        <f t="shared" si="152"/>
        <v>0</v>
      </c>
      <c r="J329" s="353">
        <f t="shared" si="154"/>
        <v>0</v>
      </c>
      <c r="K329" s="166">
        <f t="shared" si="153"/>
        <v>0</v>
      </c>
      <c r="L329" s="166">
        <f t="shared" si="155"/>
        <v>0</v>
      </c>
      <c r="M329" s="182"/>
      <c r="N329" s="166"/>
      <c r="O329" s="166"/>
      <c r="P329" s="166"/>
      <c r="Q329" s="166"/>
      <c r="R329" s="166"/>
      <c r="S329" s="166"/>
      <c r="T329" s="166"/>
      <c r="U329" s="166"/>
      <c r="V329" s="166"/>
      <c r="W329" s="166"/>
      <c r="X329" s="166"/>
      <c r="Y329" s="166"/>
      <c r="Z329" s="166"/>
      <c r="AA329" s="166"/>
      <c r="AB329" s="166"/>
      <c r="AC329" s="166"/>
      <c r="AD329" s="166"/>
      <c r="AE329" s="166"/>
      <c r="AF329" s="166"/>
      <c r="AG329" s="166"/>
      <c r="AH329" s="166"/>
      <c r="AI329" s="166"/>
      <c r="AJ329" s="166"/>
      <c r="AK329" s="166"/>
      <c r="AL329" s="166"/>
      <c r="AM329" s="166"/>
      <c r="AN329" s="166"/>
      <c r="AO329" s="166"/>
      <c r="AP329" s="166"/>
      <c r="AQ329" s="166"/>
      <c r="AR329" s="166"/>
      <c r="AS329" s="166"/>
      <c r="AT329" s="166"/>
      <c r="AU329" s="166"/>
      <c r="AV329" s="166"/>
      <c r="AW329" s="166"/>
      <c r="AX329" s="166"/>
      <c r="AY329" s="166"/>
      <c r="AZ329" s="186"/>
      <c r="BA329" s="186"/>
      <c r="BB329" s="186"/>
      <c r="BC329" s="186"/>
      <c r="BD329" s="186"/>
      <c r="BE329" s="186"/>
      <c r="BF329" s="186"/>
      <c r="BG329" s="186"/>
      <c r="BH329" s="186"/>
      <c r="BI329" s="183">
        <f t="shared" si="156"/>
        <v>0</v>
      </c>
      <c r="BJ329" s="183">
        <f t="shared" si="157"/>
        <v>0</v>
      </c>
      <c r="BK329" s="183">
        <f t="shared" si="158"/>
        <v>0</v>
      </c>
      <c r="BL329" s="183">
        <f t="shared" si="159"/>
        <v>0</v>
      </c>
    </row>
    <row r="330" spans="1:64" s="187" customFormat="1" ht="15.75" hidden="1" customHeight="1" outlineLevel="3" x14ac:dyDescent="0.3">
      <c r="A330" s="185"/>
      <c r="B330" s="185"/>
      <c r="C330" s="185"/>
      <c r="D330" s="185"/>
      <c r="E330" s="185" t="s">
        <v>2678</v>
      </c>
      <c r="F330" s="185" t="s">
        <v>83</v>
      </c>
      <c r="G330" s="185">
        <v>132</v>
      </c>
      <c r="H330" s="185" t="str">
        <f>IFERROR(VLOOKUP(G330,'2022. tervsor'!C:D,2,0)," ")</f>
        <v>Egyéb üzemelt. Kiadások (mosás, rakodás)</v>
      </c>
      <c r="I330" s="353">
        <f t="shared" si="152"/>
        <v>0</v>
      </c>
      <c r="J330" s="353">
        <f t="shared" si="154"/>
        <v>0</v>
      </c>
      <c r="K330" s="166">
        <f t="shared" si="153"/>
        <v>0</v>
      </c>
      <c r="L330" s="166">
        <f t="shared" si="155"/>
        <v>0</v>
      </c>
      <c r="M330" s="182"/>
      <c r="N330" s="166"/>
      <c r="O330" s="166"/>
      <c r="P330" s="166"/>
      <c r="Q330" s="166"/>
      <c r="R330" s="166"/>
      <c r="S330" s="166"/>
      <c r="T330" s="166"/>
      <c r="U330" s="166"/>
      <c r="V330" s="166"/>
      <c r="W330" s="166"/>
      <c r="X330" s="166"/>
      <c r="Y330" s="166"/>
      <c r="Z330" s="166"/>
      <c r="AA330" s="166"/>
      <c r="AB330" s="166"/>
      <c r="AC330" s="166"/>
      <c r="AD330" s="166"/>
      <c r="AE330" s="166"/>
      <c r="AF330" s="166"/>
      <c r="AG330" s="166"/>
      <c r="AH330" s="166"/>
      <c r="AI330" s="166"/>
      <c r="AJ330" s="166"/>
      <c r="AK330" s="166"/>
      <c r="AL330" s="166"/>
      <c r="AM330" s="166"/>
      <c r="AN330" s="166"/>
      <c r="AO330" s="166"/>
      <c r="AP330" s="166"/>
      <c r="AQ330" s="166"/>
      <c r="AR330" s="166"/>
      <c r="AS330" s="166"/>
      <c r="AT330" s="166"/>
      <c r="AU330" s="166"/>
      <c r="AV330" s="166"/>
      <c r="AW330" s="166"/>
      <c r="AX330" s="166"/>
      <c r="AY330" s="166"/>
      <c r="AZ330" s="186"/>
      <c r="BA330" s="186"/>
      <c r="BB330" s="186"/>
      <c r="BC330" s="186"/>
      <c r="BD330" s="186"/>
      <c r="BE330" s="186"/>
      <c r="BF330" s="186"/>
      <c r="BG330" s="186"/>
      <c r="BH330" s="186"/>
      <c r="BI330" s="183">
        <f t="shared" si="156"/>
        <v>0</v>
      </c>
      <c r="BJ330" s="183">
        <f t="shared" si="157"/>
        <v>0</v>
      </c>
      <c r="BK330" s="183">
        <f t="shared" si="158"/>
        <v>0</v>
      </c>
      <c r="BL330" s="183">
        <f t="shared" si="159"/>
        <v>0</v>
      </c>
    </row>
    <row r="331" spans="1:64" s="187" customFormat="1" ht="15.75" hidden="1" customHeight="1" outlineLevel="3" x14ac:dyDescent="0.3">
      <c r="A331" s="185"/>
      <c r="B331" s="185"/>
      <c r="C331" s="185"/>
      <c r="D331" s="185"/>
      <c r="E331" s="185" t="s">
        <v>2678</v>
      </c>
      <c r="F331" s="185" t="s">
        <v>83</v>
      </c>
      <c r="G331" s="185">
        <v>133</v>
      </c>
      <c r="H331" s="185" t="str">
        <f>IFERROR(VLOOKUP(G331,'2022. tervsor'!C:D,2,0)," ")</f>
        <v>Egyéb más jellegű szolg. Költségei (audit, ell.)</v>
      </c>
      <c r="I331" s="353">
        <f t="shared" si="152"/>
        <v>0</v>
      </c>
      <c r="J331" s="353">
        <f t="shared" si="154"/>
        <v>0</v>
      </c>
      <c r="K331" s="166">
        <f t="shared" si="153"/>
        <v>0</v>
      </c>
      <c r="L331" s="166">
        <f t="shared" si="155"/>
        <v>0</v>
      </c>
      <c r="M331" s="182"/>
      <c r="N331" s="166"/>
      <c r="O331" s="166"/>
      <c r="P331" s="166"/>
      <c r="Q331" s="166"/>
      <c r="R331" s="166"/>
      <c r="S331" s="166"/>
      <c r="T331" s="166"/>
      <c r="U331" s="166"/>
      <c r="V331" s="166"/>
      <c r="W331" s="166"/>
      <c r="X331" s="166"/>
      <c r="Y331" s="166"/>
      <c r="Z331" s="166"/>
      <c r="AA331" s="166"/>
      <c r="AB331" s="166"/>
      <c r="AC331" s="166"/>
      <c r="AD331" s="166"/>
      <c r="AE331" s="166"/>
      <c r="AF331" s="166"/>
      <c r="AG331" s="166"/>
      <c r="AH331" s="166"/>
      <c r="AI331" s="166"/>
      <c r="AJ331" s="166"/>
      <c r="AK331" s="166"/>
      <c r="AL331" s="166"/>
      <c r="AM331" s="166"/>
      <c r="AN331" s="166"/>
      <c r="AO331" s="166"/>
      <c r="AP331" s="166"/>
      <c r="AQ331" s="166"/>
      <c r="AR331" s="166"/>
      <c r="AS331" s="166"/>
      <c r="AT331" s="166"/>
      <c r="AU331" s="166"/>
      <c r="AV331" s="166"/>
      <c r="AW331" s="166"/>
      <c r="AX331" s="166"/>
      <c r="AY331" s="166"/>
      <c r="AZ331" s="186"/>
      <c r="BA331" s="186"/>
      <c r="BB331" s="186"/>
      <c r="BC331" s="186"/>
      <c r="BD331" s="186"/>
      <c r="BE331" s="186"/>
      <c r="BF331" s="186"/>
      <c r="BG331" s="186"/>
      <c r="BH331" s="186"/>
      <c r="BI331" s="183">
        <f t="shared" si="156"/>
        <v>0</v>
      </c>
      <c r="BJ331" s="183">
        <f t="shared" si="157"/>
        <v>0</v>
      </c>
      <c r="BK331" s="183">
        <f t="shared" si="158"/>
        <v>0</v>
      </c>
      <c r="BL331" s="183">
        <f t="shared" si="159"/>
        <v>0</v>
      </c>
    </row>
    <row r="332" spans="1:64" s="187" customFormat="1" ht="15.75" hidden="1" customHeight="1" outlineLevel="3" x14ac:dyDescent="0.3">
      <c r="A332" s="185"/>
      <c r="B332" s="185"/>
      <c r="C332" s="185"/>
      <c r="D332" s="185"/>
      <c r="E332" s="185" t="s">
        <v>2678</v>
      </c>
      <c r="F332" s="185" t="s">
        <v>83</v>
      </c>
      <c r="G332" s="185">
        <v>134</v>
      </c>
      <c r="H332" s="185" t="str">
        <f>IFERROR(VLOOKUP(G332,'2022. tervsor'!C:D,2,0)," ")</f>
        <v>Biztosítási díj (központilag fizetett vagyonbiztosítás)</v>
      </c>
      <c r="I332" s="353">
        <f t="shared" si="152"/>
        <v>0</v>
      </c>
      <c r="J332" s="353">
        <f t="shared" si="154"/>
        <v>0</v>
      </c>
      <c r="K332" s="166">
        <f t="shared" si="153"/>
        <v>0</v>
      </c>
      <c r="L332" s="166">
        <f t="shared" si="155"/>
        <v>0</v>
      </c>
      <c r="M332" s="182"/>
      <c r="N332" s="166"/>
      <c r="O332" s="166"/>
      <c r="P332" s="166"/>
      <c r="Q332" s="166"/>
      <c r="R332" s="166"/>
      <c r="S332" s="166"/>
      <c r="T332" s="166"/>
      <c r="U332" s="166"/>
      <c r="V332" s="166"/>
      <c r="W332" s="166"/>
      <c r="X332" s="166"/>
      <c r="Y332" s="166"/>
      <c r="Z332" s="166"/>
      <c r="AA332" s="166"/>
      <c r="AB332" s="166"/>
      <c r="AC332" s="166"/>
      <c r="AD332" s="166"/>
      <c r="AE332" s="166"/>
      <c r="AF332" s="166"/>
      <c r="AG332" s="166"/>
      <c r="AH332" s="166"/>
      <c r="AI332" s="166"/>
      <c r="AJ332" s="166"/>
      <c r="AK332" s="166"/>
      <c r="AL332" s="166"/>
      <c r="AM332" s="166"/>
      <c r="AN332" s="166"/>
      <c r="AO332" s="166"/>
      <c r="AP332" s="166"/>
      <c r="AQ332" s="166"/>
      <c r="AR332" s="166"/>
      <c r="AS332" s="166"/>
      <c r="AT332" s="166"/>
      <c r="AU332" s="166"/>
      <c r="AV332" s="166"/>
      <c r="AW332" s="166"/>
      <c r="AX332" s="166"/>
      <c r="AY332" s="166"/>
      <c r="AZ332" s="186"/>
      <c r="BA332" s="186"/>
      <c r="BB332" s="186"/>
      <c r="BC332" s="186"/>
      <c r="BD332" s="186"/>
      <c r="BE332" s="186"/>
      <c r="BF332" s="186"/>
      <c r="BG332" s="186"/>
      <c r="BH332" s="186"/>
      <c r="BI332" s="183">
        <f t="shared" si="156"/>
        <v>0</v>
      </c>
      <c r="BJ332" s="183">
        <f t="shared" si="157"/>
        <v>0</v>
      </c>
      <c r="BK332" s="183">
        <f t="shared" si="158"/>
        <v>0</v>
      </c>
      <c r="BL332" s="183">
        <f t="shared" si="159"/>
        <v>0</v>
      </c>
    </row>
    <row r="333" spans="1:64" s="187" customFormat="1" ht="15.75" hidden="1" customHeight="1" outlineLevel="3" x14ac:dyDescent="0.3">
      <c r="A333" s="185"/>
      <c r="B333" s="185"/>
      <c r="C333" s="185"/>
      <c r="D333" s="185"/>
      <c r="E333" s="185" t="s">
        <v>2678</v>
      </c>
      <c r="F333" s="185" t="s">
        <v>83</v>
      </c>
      <c r="G333" s="185">
        <v>137</v>
      </c>
      <c r="H333" s="185" t="str">
        <f>IFERROR(VLOOKUP(G333,'2022. tervsor'!C:D,2,0)," ")</f>
        <v>Külföldi kiküldetések kiadásai</v>
      </c>
      <c r="I333" s="353">
        <f t="shared" si="152"/>
        <v>0</v>
      </c>
      <c r="J333" s="353">
        <f t="shared" si="154"/>
        <v>0</v>
      </c>
      <c r="K333" s="166">
        <f t="shared" si="153"/>
        <v>0</v>
      </c>
      <c r="L333" s="166">
        <f t="shared" si="155"/>
        <v>0</v>
      </c>
      <c r="M333" s="182"/>
      <c r="N333" s="166"/>
      <c r="O333" s="166"/>
      <c r="P333" s="166"/>
      <c r="Q333" s="166"/>
      <c r="R333" s="166"/>
      <c r="S333" s="166"/>
      <c r="T333" s="166"/>
      <c r="U333" s="166"/>
      <c r="V333" s="166"/>
      <c r="W333" s="166"/>
      <c r="X333" s="166"/>
      <c r="Y333" s="166"/>
      <c r="Z333" s="166"/>
      <c r="AA333" s="166"/>
      <c r="AB333" s="166"/>
      <c r="AC333" s="166"/>
      <c r="AD333" s="166"/>
      <c r="AE333" s="166"/>
      <c r="AF333" s="166"/>
      <c r="AG333" s="166"/>
      <c r="AH333" s="166"/>
      <c r="AI333" s="166"/>
      <c r="AJ333" s="166"/>
      <c r="AK333" s="166"/>
      <c r="AL333" s="166"/>
      <c r="AM333" s="166"/>
      <c r="AN333" s="166"/>
      <c r="AO333" s="166"/>
      <c r="AP333" s="166"/>
      <c r="AQ333" s="166"/>
      <c r="AR333" s="166"/>
      <c r="AS333" s="166"/>
      <c r="AT333" s="166"/>
      <c r="AU333" s="166"/>
      <c r="AV333" s="166"/>
      <c r="AW333" s="166"/>
      <c r="AX333" s="166"/>
      <c r="AY333" s="166"/>
      <c r="AZ333" s="186"/>
      <c r="BA333" s="186"/>
      <c r="BB333" s="186"/>
      <c r="BC333" s="186"/>
      <c r="BD333" s="186"/>
      <c r="BE333" s="186"/>
      <c r="BF333" s="186"/>
      <c r="BG333" s="186"/>
      <c r="BH333" s="186"/>
      <c r="BI333" s="183">
        <f t="shared" si="156"/>
        <v>0</v>
      </c>
      <c r="BJ333" s="183">
        <f t="shared" si="157"/>
        <v>0</v>
      </c>
      <c r="BK333" s="183">
        <f t="shared" si="158"/>
        <v>0</v>
      </c>
      <c r="BL333" s="183">
        <f t="shared" si="159"/>
        <v>0</v>
      </c>
    </row>
    <row r="334" spans="1:64" s="187" customFormat="1" ht="15.75" hidden="1" customHeight="1" outlineLevel="3" x14ac:dyDescent="0.3">
      <c r="A334" s="185"/>
      <c r="B334" s="185"/>
      <c r="C334" s="185"/>
      <c r="D334" s="185"/>
      <c r="E334" s="185" t="s">
        <v>2678</v>
      </c>
      <c r="F334" s="185" t="s">
        <v>83</v>
      </c>
      <c r="G334" s="185">
        <v>138</v>
      </c>
      <c r="H334" s="185" t="str">
        <f>IFERROR(VLOOKUP(G334,'2022. tervsor'!C:D,2,0)," ")</f>
        <v>Belföldi kiküldetések kiadásai</v>
      </c>
      <c r="I334" s="353">
        <f t="shared" si="152"/>
        <v>0</v>
      </c>
      <c r="J334" s="353">
        <f t="shared" si="154"/>
        <v>0</v>
      </c>
      <c r="K334" s="166">
        <f t="shared" si="153"/>
        <v>0</v>
      </c>
      <c r="L334" s="166">
        <f t="shared" si="155"/>
        <v>0</v>
      </c>
      <c r="M334" s="182"/>
      <c r="N334" s="166"/>
      <c r="O334" s="166"/>
      <c r="P334" s="166"/>
      <c r="Q334" s="166"/>
      <c r="R334" s="166"/>
      <c r="S334" s="166"/>
      <c r="T334" s="166"/>
      <c r="U334" s="166"/>
      <c r="V334" s="166"/>
      <c r="W334" s="166"/>
      <c r="X334" s="166"/>
      <c r="Y334" s="166"/>
      <c r="Z334" s="166"/>
      <c r="AA334" s="166"/>
      <c r="AB334" s="166"/>
      <c r="AC334" s="166"/>
      <c r="AD334" s="166"/>
      <c r="AE334" s="166"/>
      <c r="AF334" s="166"/>
      <c r="AG334" s="166"/>
      <c r="AH334" s="166"/>
      <c r="AI334" s="166"/>
      <c r="AJ334" s="166"/>
      <c r="AK334" s="166"/>
      <c r="AL334" s="166"/>
      <c r="AM334" s="166"/>
      <c r="AN334" s="166"/>
      <c r="AO334" s="166"/>
      <c r="AP334" s="166"/>
      <c r="AQ334" s="166"/>
      <c r="AR334" s="166"/>
      <c r="AS334" s="166"/>
      <c r="AT334" s="166"/>
      <c r="AU334" s="166"/>
      <c r="AV334" s="166"/>
      <c r="AW334" s="166"/>
      <c r="AX334" s="166"/>
      <c r="AY334" s="166"/>
      <c r="AZ334" s="186"/>
      <c r="BA334" s="186"/>
      <c r="BB334" s="186"/>
      <c r="BC334" s="186"/>
      <c r="BD334" s="186"/>
      <c r="BE334" s="186"/>
      <c r="BF334" s="186"/>
      <c r="BG334" s="186"/>
      <c r="BH334" s="186"/>
      <c r="BI334" s="183">
        <f t="shared" si="156"/>
        <v>0</v>
      </c>
      <c r="BJ334" s="183">
        <f t="shared" si="157"/>
        <v>0</v>
      </c>
      <c r="BK334" s="183">
        <f t="shared" si="158"/>
        <v>0</v>
      </c>
      <c r="BL334" s="183">
        <f t="shared" si="159"/>
        <v>0</v>
      </c>
    </row>
    <row r="335" spans="1:64" s="187" customFormat="1" ht="15.75" hidden="1" customHeight="1" outlineLevel="3" x14ac:dyDescent="0.3">
      <c r="A335" s="185"/>
      <c r="B335" s="185"/>
      <c r="C335" s="185"/>
      <c r="D335" s="185"/>
      <c r="E335" s="185" t="s">
        <v>2678</v>
      </c>
      <c r="F335" s="185" t="s">
        <v>83</v>
      </c>
      <c r="G335" s="185">
        <v>139</v>
      </c>
      <c r="H335" s="185" t="str">
        <f>IFERROR(VLOOKUP(G335,'2022. tervsor'!C:D,2,0)," ")</f>
        <v>Reklám- és propaganda költségei</v>
      </c>
      <c r="I335" s="353">
        <f t="shared" si="152"/>
        <v>0</v>
      </c>
      <c r="J335" s="353">
        <f t="shared" si="154"/>
        <v>0</v>
      </c>
      <c r="K335" s="166">
        <f t="shared" si="153"/>
        <v>0</v>
      </c>
      <c r="L335" s="166">
        <f t="shared" si="155"/>
        <v>0</v>
      </c>
      <c r="M335" s="182"/>
      <c r="N335" s="166"/>
      <c r="O335" s="166"/>
      <c r="P335" s="166"/>
      <c r="Q335" s="166"/>
      <c r="R335" s="166"/>
      <c r="S335" s="166"/>
      <c r="T335" s="166"/>
      <c r="U335" s="166"/>
      <c r="V335" s="166"/>
      <c r="W335" s="166"/>
      <c r="X335" s="166"/>
      <c r="Y335" s="166"/>
      <c r="Z335" s="166"/>
      <c r="AA335" s="166"/>
      <c r="AB335" s="166"/>
      <c r="AC335" s="166"/>
      <c r="AD335" s="166"/>
      <c r="AE335" s="166"/>
      <c r="AF335" s="166"/>
      <c r="AG335" s="166"/>
      <c r="AH335" s="166"/>
      <c r="AI335" s="166"/>
      <c r="AJ335" s="166"/>
      <c r="AK335" s="166"/>
      <c r="AL335" s="166"/>
      <c r="AM335" s="166"/>
      <c r="AN335" s="166"/>
      <c r="AO335" s="166"/>
      <c r="AP335" s="166"/>
      <c r="AQ335" s="166"/>
      <c r="AR335" s="166"/>
      <c r="AS335" s="166"/>
      <c r="AT335" s="166"/>
      <c r="AU335" s="166"/>
      <c r="AV335" s="166"/>
      <c r="AW335" s="166"/>
      <c r="AX335" s="166"/>
      <c r="AY335" s="166"/>
      <c r="AZ335" s="186"/>
      <c r="BA335" s="186"/>
      <c r="BB335" s="186"/>
      <c r="BC335" s="186"/>
      <c r="BD335" s="186"/>
      <c r="BE335" s="186"/>
      <c r="BF335" s="186"/>
      <c r="BG335" s="186"/>
      <c r="BH335" s="186"/>
      <c r="BI335" s="183">
        <f t="shared" si="156"/>
        <v>0</v>
      </c>
      <c r="BJ335" s="183">
        <f t="shared" si="157"/>
        <v>0</v>
      </c>
      <c r="BK335" s="183">
        <f t="shared" si="158"/>
        <v>0</v>
      </c>
      <c r="BL335" s="183">
        <f t="shared" si="159"/>
        <v>0</v>
      </c>
    </row>
    <row r="336" spans="1:64" s="187" customFormat="1" ht="15.75" hidden="1" customHeight="1" outlineLevel="3" x14ac:dyDescent="0.3">
      <c r="A336" s="185"/>
      <c r="B336" s="185"/>
      <c r="C336" s="185"/>
      <c r="D336" s="185"/>
      <c r="E336" s="185" t="s">
        <v>2678</v>
      </c>
      <c r="F336" s="185" t="s">
        <v>83</v>
      </c>
      <c r="G336" s="185">
        <v>141</v>
      </c>
      <c r="H336" s="185" t="str">
        <f>IFERROR(VLOOKUP(G336,'2022. tervsor'!C:D,2,0)," ")</f>
        <v>Nem levonható egyenes adós ÁFA anyag, szolg.</v>
      </c>
      <c r="I336" s="353">
        <f t="shared" si="152"/>
        <v>0</v>
      </c>
      <c r="J336" s="353">
        <f t="shared" si="154"/>
        <v>0</v>
      </c>
      <c r="K336" s="166">
        <f t="shared" si="153"/>
        <v>0</v>
      </c>
      <c r="L336" s="166">
        <f t="shared" si="155"/>
        <v>0</v>
      </c>
      <c r="M336" s="182"/>
      <c r="N336" s="166">
        <f t="shared" ref="N336:AM336" si="160">+(SUM(N277:N279,N281:N294,N296:N301,N303,N305:N307,N309:N319,N321:N322,N324:N331,N334:N335)*0.27)+SUM(N280,N295,N302)*0.05+N245*0.27</f>
        <v>0</v>
      </c>
      <c r="O336" s="166">
        <f t="shared" si="160"/>
        <v>0</v>
      </c>
      <c r="P336" s="166">
        <f t="shared" si="160"/>
        <v>0</v>
      </c>
      <c r="Q336" s="166">
        <f t="shared" si="160"/>
        <v>0</v>
      </c>
      <c r="R336" s="166">
        <f t="shared" si="160"/>
        <v>0</v>
      </c>
      <c r="S336" s="166">
        <f t="shared" si="160"/>
        <v>0</v>
      </c>
      <c r="T336" s="166">
        <f t="shared" si="160"/>
        <v>0</v>
      </c>
      <c r="U336" s="166">
        <f t="shared" si="160"/>
        <v>0</v>
      </c>
      <c r="V336" s="166">
        <f t="shared" si="160"/>
        <v>0</v>
      </c>
      <c r="W336" s="166">
        <f t="shared" si="160"/>
        <v>0</v>
      </c>
      <c r="X336" s="166">
        <f t="shared" si="160"/>
        <v>0</v>
      </c>
      <c r="Y336" s="166">
        <f t="shared" si="160"/>
        <v>0</v>
      </c>
      <c r="Z336" s="166">
        <f t="shared" si="160"/>
        <v>0</v>
      </c>
      <c r="AA336" s="166">
        <f t="shared" si="160"/>
        <v>0</v>
      </c>
      <c r="AB336" s="166">
        <f t="shared" si="160"/>
        <v>0</v>
      </c>
      <c r="AC336" s="166">
        <f t="shared" si="160"/>
        <v>0</v>
      </c>
      <c r="AD336" s="166">
        <f t="shared" si="160"/>
        <v>0</v>
      </c>
      <c r="AE336" s="166">
        <f t="shared" si="160"/>
        <v>0</v>
      </c>
      <c r="AF336" s="166">
        <f t="shared" si="160"/>
        <v>0</v>
      </c>
      <c r="AG336" s="166">
        <f t="shared" si="160"/>
        <v>0</v>
      </c>
      <c r="AH336" s="166">
        <f t="shared" si="160"/>
        <v>0</v>
      </c>
      <c r="AI336" s="166">
        <f t="shared" si="160"/>
        <v>0</v>
      </c>
      <c r="AJ336" s="166">
        <f t="shared" si="160"/>
        <v>0</v>
      </c>
      <c r="AK336" s="166">
        <f t="shared" si="160"/>
        <v>0</v>
      </c>
      <c r="AL336" s="166">
        <f t="shared" si="160"/>
        <v>0</v>
      </c>
      <c r="AM336" s="166">
        <f t="shared" si="160"/>
        <v>0</v>
      </c>
      <c r="AN336" s="166"/>
      <c r="AO336" s="166"/>
      <c r="AP336" s="166"/>
      <c r="AQ336" s="166"/>
      <c r="AR336" s="166"/>
      <c r="AS336" s="166"/>
      <c r="AT336" s="166"/>
      <c r="AU336" s="166"/>
      <c r="AV336" s="166"/>
      <c r="AW336" s="166"/>
      <c r="AX336" s="166"/>
      <c r="AY336" s="166"/>
      <c r="AZ336" s="186"/>
      <c r="BA336" s="186"/>
      <c r="BB336" s="186"/>
      <c r="BC336" s="186"/>
      <c r="BD336" s="186"/>
      <c r="BE336" s="186"/>
      <c r="BF336" s="186"/>
      <c r="BG336" s="186"/>
      <c r="BH336" s="186"/>
      <c r="BI336" s="183">
        <f t="shared" si="156"/>
        <v>0</v>
      </c>
      <c r="BJ336" s="183">
        <f t="shared" si="157"/>
        <v>0</v>
      </c>
      <c r="BK336" s="183">
        <f t="shared" si="158"/>
        <v>0</v>
      </c>
      <c r="BL336" s="183">
        <f t="shared" si="159"/>
        <v>0</v>
      </c>
    </row>
    <row r="337" spans="1:64" s="187" customFormat="1" ht="15.75" hidden="1" customHeight="1" outlineLevel="3" x14ac:dyDescent="0.3">
      <c r="A337" s="185"/>
      <c r="B337" s="185"/>
      <c r="C337" s="185"/>
      <c r="D337" s="185"/>
      <c r="E337" s="185" t="s">
        <v>2678</v>
      </c>
      <c r="F337" s="185" t="s">
        <v>83</v>
      </c>
      <c r="G337" s="185">
        <v>142</v>
      </c>
      <c r="H337" s="185" t="str">
        <f>IFERROR(VLOOKUP(G337,'2022. tervsor'!C:D,2,0)," ")</f>
        <v>Egyenes adózású ÁFA befizetés</v>
      </c>
      <c r="I337" s="353">
        <f t="shared" si="152"/>
        <v>0</v>
      </c>
      <c r="J337" s="353">
        <f t="shared" si="154"/>
        <v>0</v>
      </c>
      <c r="K337" s="166">
        <f t="shared" si="153"/>
        <v>0</v>
      </c>
      <c r="L337" s="166">
        <f t="shared" si="155"/>
        <v>0</v>
      </c>
      <c r="M337" s="182"/>
      <c r="N337" s="166"/>
      <c r="O337" s="166"/>
      <c r="P337" s="166"/>
      <c r="Q337" s="166"/>
      <c r="R337" s="166"/>
      <c r="S337" s="166"/>
      <c r="T337" s="166"/>
      <c r="U337" s="166"/>
      <c r="V337" s="166"/>
      <c r="W337" s="166"/>
      <c r="X337" s="166"/>
      <c r="Y337" s="166"/>
      <c r="Z337" s="166"/>
      <c r="AA337" s="166"/>
      <c r="AB337" s="166"/>
      <c r="AC337" s="166"/>
      <c r="AD337" s="166"/>
      <c r="AE337" s="166"/>
      <c r="AF337" s="166"/>
      <c r="AG337" s="166"/>
      <c r="AH337" s="166"/>
      <c r="AI337" s="166"/>
      <c r="AJ337" s="166"/>
      <c r="AK337" s="166"/>
      <c r="AL337" s="166"/>
      <c r="AM337" s="166"/>
      <c r="AN337" s="166"/>
      <c r="AO337" s="166"/>
      <c r="AP337" s="166"/>
      <c r="AQ337" s="166"/>
      <c r="AR337" s="166"/>
      <c r="AS337" s="166"/>
      <c r="AT337" s="166"/>
      <c r="AU337" s="166"/>
      <c r="AV337" s="166"/>
      <c r="AW337" s="166"/>
      <c r="AX337" s="166"/>
      <c r="AY337" s="166"/>
      <c r="AZ337" s="186"/>
      <c r="BA337" s="186"/>
      <c r="BB337" s="186"/>
      <c r="BC337" s="186"/>
      <c r="BD337" s="186"/>
      <c r="BE337" s="186"/>
      <c r="BF337" s="186"/>
      <c r="BG337" s="186"/>
      <c r="BH337" s="186"/>
      <c r="BI337" s="183">
        <f t="shared" si="156"/>
        <v>0</v>
      </c>
      <c r="BJ337" s="183">
        <f t="shared" si="157"/>
        <v>0</v>
      </c>
      <c r="BK337" s="183">
        <f t="shared" si="158"/>
        <v>0</v>
      </c>
      <c r="BL337" s="183">
        <f t="shared" si="159"/>
        <v>0</v>
      </c>
    </row>
    <row r="338" spans="1:64" s="187" customFormat="1" ht="15.75" hidden="1" customHeight="1" outlineLevel="3" x14ac:dyDescent="0.3">
      <c r="A338" s="185"/>
      <c r="B338" s="185"/>
      <c r="C338" s="185"/>
      <c r="D338" s="185"/>
      <c r="E338" s="185" t="s">
        <v>2678</v>
      </c>
      <c r="F338" s="185" t="s">
        <v>83</v>
      </c>
      <c r="G338" s="185">
        <v>144</v>
      </c>
      <c r="H338" s="185" t="str">
        <f>IFERROR(VLOOKUP(G338,'2022. tervsor'!C:D,2,0)," ")</f>
        <v>Külf.pénzért.szóló köt.p.ügy.real.árfoly.veszt.</v>
      </c>
      <c r="I338" s="353">
        <f t="shared" si="152"/>
        <v>0</v>
      </c>
      <c r="J338" s="353">
        <f t="shared" si="154"/>
        <v>0</v>
      </c>
      <c r="K338" s="166">
        <f t="shared" si="153"/>
        <v>0</v>
      </c>
      <c r="L338" s="166">
        <f t="shared" si="155"/>
        <v>0</v>
      </c>
      <c r="M338" s="182"/>
      <c r="N338" s="166"/>
      <c r="O338" s="166"/>
      <c r="P338" s="166"/>
      <c r="Q338" s="166"/>
      <c r="R338" s="166"/>
      <c r="S338" s="166"/>
      <c r="T338" s="166"/>
      <c r="U338" s="166"/>
      <c r="V338" s="166"/>
      <c r="W338" s="166"/>
      <c r="X338" s="166"/>
      <c r="Y338" s="166"/>
      <c r="Z338" s="166"/>
      <c r="AA338" s="166"/>
      <c r="AB338" s="166"/>
      <c r="AC338" s="166"/>
      <c r="AD338" s="166"/>
      <c r="AE338" s="166"/>
      <c r="AF338" s="166"/>
      <c r="AG338" s="166"/>
      <c r="AH338" s="166"/>
      <c r="AI338" s="166"/>
      <c r="AJ338" s="166"/>
      <c r="AK338" s="166"/>
      <c r="AL338" s="166"/>
      <c r="AM338" s="166"/>
      <c r="AN338" s="166"/>
      <c r="AO338" s="166"/>
      <c r="AP338" s="166"/>
      <c r="AQ338" s="166"/>
      <c r="AR338" s="166"/>
      <c r="AS338" s="166"/>
      <c r="AT338" s="166"/>
      <c r="AU338" s="166"/>
      <c r="AV338" s="166"/>
      <c r="AW338" s="166"/>
      <c r="AX338" s="166"/>
      <c r="AY338" s="166"/>
      <c r="AZ338" s="186"/>
      <c r="BA338" s="186"/>
      <c r="BB338" s="186"/>
      <c r="BC338" s="186"/>
      <c r="BD338" s="186"/>
      <c r="BE338" s="186"/>
      <c r="BF338" s="186"/>
      <c r="BG338" s="186"/>
      <c r="BH338" s="186"/>
      <c r="BI338" s="183">
        <f t="shared" si="156"/>
        <v>0</v>
      </c>
      <c r="BJ338" s="183">
        <f t="shared" si="157"/>
        <v>0</v>
      </c>
      <c r="BK338" s="183">
        <f t="shared" si="158"/>
        <v>0</v>
      </c>
      <c r="BL338" s="183">
        <f t="shared" si="159"/>
        <v>0</v>
      </c>
    </row>
    <row r="339" spans="1:64" s="187" customFormat="1" ht="15.75" hidden="1" customHeight="1" outlineLevel="3" x14ac:dyDescent="0.3">
      <c r="A339" s="185"/>
      <c r="B339" s="185"/>
      <c r="C339" s="185"/>
      <c r="D339" s="185"/>
      <c r="E339" s="185" t="s">
        <v>2678</v>
      </c>
      <c r="F339" s="185" t="s">
        <v>83</v>
      </c>
      <c r="G339" s="185">
        <v>145</v>
      </c>
      <c r="H339" s="185" t="str">
        <f>IFERROR(VLOOKUP(G339,'2022. tervsor'!C:D,2,0)," ")</f>
        <v>H. adók.e. vám, illeték és adójell. befiz. ráf.</v>
      </c>
      <c r="I339" s="353">
        <f t="shared" si="152"/>
        <v>0</v>
      </c>
      <c r="J339" s="353">
        <f t="shared" si="154"/>
        <v>0</v>
      </c>
      <c r="K339" s="166">
        <f t="shared" si="153"/>
        <v>0</v>
      </c>
      <c r="L339" s="166">
        <f t="shared" si="155"/>
        <v>0</v>
      </c>
      <c r="M339" s="182"/>
      <c r="N339" s="166"/>
      <c r="O339" s="166"/>
      <c r="P339" s="166"/>
      <c r="Q339" s="166"/>
      <c r="R339" s="166"/>
      <c r="S339" s="166"/>
      <c r="T339" s="166"/>
      <c r="U339" s="166"/>
      <c r="V339" s="166"/>
      <c r="W339" s="166"/>
      <c r="X339" s="166"/>
      <c r="Y339" s="166"/>
      <c r="Z339" s="166"/>
      <c r="AA339" s="166"/>
      <c r="AB339" s="166"/>
      <c r="AC339" s="166"/>
      <c r="AD339" s="166"/>
      <c r="AE339" s="166"/>
      <c r="AF339" s="166"/>
      <c r="AG339" s="166"/>
      <c r="AH339" s="166"/>
      <c r="AI339" s="166"/>
      <c r="AJ339" s="166"/>
      <c r="AK339" s="166"/>
      <c r="AL339" s="166"/>
      <c r="AM339" s="166"/>
      <c r="AN339" s="166"/>
      <c r="AO339" s="166"/>
      <c r="AP339" s="166"/>
      <c r="AQ339" s="166"/>
      <c r="AR339" s="166"/>
      <c r="AS339" s="166"/>
      <c r="AT339" s="166"/>
      <c r="AU339" s="166"/>
      <c r="AV339" s="166"/>
      <c r="AW339" s="166"/>
      <c r="AX339" s="166"/>
      <c r="AY339" s="166"/>
      <c r="AZ339" s="186"/>
      <c r="BA339" s="186"/>
      <c r="BB339" s="186"/>
      <c r="BC339" s="186"/>
      <c r="BD339" s="186"/>
      <c r="BE339" s="186"/>
      <c r="BF339" s="186"/>
      <c r="BG339" s="186"/>
      <c r="BH339" s="186"/>
      <c r="BI339" s="183">
        <f t="shared" si="156"/>
        <v>0</v>
      </c>
      <c r="BJ339" s="183">
        <f t="shared" si="157"/>
        <v>0</v>
      </c>
      <c r="BK339" s="183">
        <f t="shared" si="158"/>
        <v>0</v>
      </c>
      <c r="BL339" s="183">
        <f t="shared" si="159"/>
        <v>0</v>
      </c>
    </row>
    <row r="340" spans="1:64" s="187" customFormat="1" ht="15.75" hidden="1" customHeight="1" outlineLevel="3" x14ac:dyDescent="0.3">
      <c r="A340" s="185"/>
      <c r="B340" s="185"/>
      <c r="C340" s="185"/>
      <c r="D340" s="185"/>
      <c r="E340" s="185" t="s">
        <v>2678</v>
      </c>
      <c r="F340" s="185" t="s">
        <v>83</v>
      </c>
      <c r="G340" s="185">
        <v>146</v>
      </c>
      <c r="H340" s="185" t="str">
        <f>IFERROR(VLOOKUP(G340,'2022. tervsor'!C:D,2,0)," ")</f>
        <v>Díjak, egyéb befiz., ráford. tagsági díjak kiad.</v>
      </c>
      <c r="I340" s="353">
        <f t="shared" si="152"/>
        <v>0</v>
      </c>
      <c r="J340" s="353">
        <f t="shared" si="154"/>
        <v>0</v>
      </c>
      <c r="K340" s="166">
        <f t="shared" si="153"/>
        <v>0</v>
      </c>
      <c r="L340" s="166">
        <f t="shared" si="155"/>
        <v>0</v>
      </c>
      <c r="M340" s="182"/>
      <c r="N340" s="166"/>
      <c r="O340" s="166"/>
      <c r="P340" s="166"/>
      <c r="Q340" s="166"/>
      <c r="R340" s="166"/>
      <c r="S340" s="166"/>
      <c r="T340" s="166"/>
      <c r="U340" s="166"/>
      <c r="V340" s="166"/>
      <c r="W340" s="166"/>
      <c r="X340" s="166"/>
      <c r="Y340" s="166"/>
      <c r="Z340" s="166"/>
      <c r="AA340" s="166"/>
      <c r="AB340" s="166"/>
      <c r="AC340" s="166"/>
      <c r="AD340" s="166"/>
      <c r="AE340" s="166"/>
      <c r="AF340" s="166"/>
      <c r="AG340" s="166"/>
      <c r="AH340" s="166"/>
      <c r="AI340" s="166"/>
      <c r="AJ340" s="166"/>
      <c r="AK340" s="166"/>
      <c r="AL340" s="166"/>
      <c r="AM340" s="166"/>
      <c r="AN340" s="166"/>
      <c r="AO340" s="166"/>
      <c r="AP340" s="166"/>
      <c r="AQ340" s="166"/>
      <c r="AR340" s="166"/>
      <c r="AS340" s="166"/>
      <c r="AT340" s="166"/>
      <c r="AU340" s="166"/>
      <c r="AV340" s="166"/>
      <c r="AW340" s="166"/>
      <c r="AX340" s="166"/>
      <c r="AY340" s="166"/>
      <c r="AZ340" s="186"/>
      <c r="BA340" s="186"/>
      <c r="BB340" s="186"/>
      <c r="BC340" s="186"/>
      <c r="BD340" s="186"/>
      <c r="BE340" s="186"/>
      <c r="BF340" s="186"/>
      <c r="BG340" s="186"/>
      <c r="BH340" s="186"/>
      <c r="BI340" s="183">
        <f t="shared" si="156"/>
        <v>0</v>
      </c>
      <c r="BJ340" s="183">
        <f t="shared" si="157"/>
        <v>0</v>
      </c>
      <c r="BK340" s="183">
        <f t="shared" si="158"/>
        <v>0</v>
      </c>
      <c r="BL340" s="183">
        <f t="shared" si="159"/>
        <v>0</v>
      </c>
    </row>
    <row r="341" spans="1:64" s="187" customFormat="1" ht="15.75" hidden="1" customHeight="1" outlineLevel="3" x14ac:dyDescent="0.3">
      <c r="A341" s="185"/>
      <c r="B341" s="185"/>
      <c r="C341" s="185"/>
      <c r="D341" s="185"/>
      <c r="E341" s="185" t="s">
        <v>2678</v>
      </c>
      <c r="F341" s="185" t="s">
        <v>83</v>
      </c>
      <c r="G341" s="185">
        <v>147</v>
      </c>
      <c r="H341" s="185" t="str">
        <f>IFERROR(VLOOKUP(G341,'2022. tervsor'!C:D,2,0)," ")</f>
        <v>Turizmusfejlesztési hozzájárulás (4%)</v>
      </c>
      <c r="I341" s="353">
        <f t="shared" si="152"/>
        <v>0</v>
      </c>
      <c r="J341" s="353">
        <f t="shared" si="154"/>
        <v>0</v>
      </c>
      <c r="K341" s="166">
        <f t="shared" si="153"/>
        <v>0</v>
      </c>
      <c r="L341" s="166">
        <f t="shared" si="155"/>
        <v>0</v>
      </c>
      <c r="M341" s="182"/>
      <c r="N341" s="166"/>
      <c r="O341" s="166"/>
      <c r="P341" s="166"/>
      <c r="Q341" s="166"/>
      <c r="R341" s="166"/>
      <c r="S341" s="166"/>
      <c r="T341" s="166"/>
      <c r="U341" s="166"/>
      <c r="V341" s="166"/>
      <c r="W341" s="166"/>
      <c r="X341" s="166"/>
      <c r="Y341" s="166"/>
      <c r="Z341" s="166"/>
      <c r="AA341" s="166"/>
      <c r="AB341" s="166"/>
      <c r="AC341" s="166"/>
      <c r="AD341" s="166"/>
      <c r="AE341" s="166"/>
      <c r="AF341" s="166"/>
      <c r="AG341" s="166"/>
      <c r="AH341" s="166"/>
      <c r="AI341" s="166"/>
      <c r="AJ341" s="166"/>
      <c r="AK341" s="166"/>
      <c r="AL341" s="166"/>
      <c r="AM341" s="166"/>
      <c r="AN341" s="166"/>
      <c r="AO341" s="166"/>
      <c r="AP341" s="166"/>
      <c r="AQ341" s="166"/>
      <c r="AR341" s="166"/>
      <c r="AS341" s="166"/>
      <c r="AT341" s="166"/>
      <c r="AU341" s="166"/>
      <c r="AV341" s="166"/>
      <c r="AW341" s="166"/>
      <c r="AX341" s="166"/>
      <c r="AY341" s="166"/>
      <c r="AZ341" s="186"/>
      <c r="BA341" s="186"/>
      <c r="BB341" s="186"/>
      <c r="BC341" s="186"/>
      <c r="BD341" s="186"/>
      <c r="BE341" s="186"/>
      <c r="BF341" s="186"/>
      <c r="BG341" s="186"/>
      <c r="BH341" s="186"/>
      <c r="BI341" s="183">
        <f t="shared" si="156"/>
        <v>0</v>
      </c>
      <c r="BJ341" s="183">
        <f t="shared" si="157"/>
        <v>0</v>
      </c>
      <c r="BK341" s="183">
        <f t="shared" si="158"/>
        <v>0</v>
      </c>
      <c r="BL341" s="183">
        <f t="shared" si="159"/>
        <v>0</v>
      </c>
    </row>
    <row r="342" spans="1:64" s="187" customFormat="1" ht="15.75" hidden="1" customHeight="1" outlineLevel="3" x14ac:dyDescent="0.3">
      <c r="A342" s="185"/>
      <c r="B342" s="185"/>
      <c r="C342" s="185"/>
      <c r="D342" s="185"/>
      <c r="E342" s="185" t="s">
        <v>2678</v>
      </c>
      <c r="F342" s="185" t="s">
        <v>83</v>
      </c>
      <c r="G342" s="185">
        <v>148</v>
      </c>
      <c r="H342" s="185" t="str">
        <f>IFERROR(VLOOKUP(G342,'2022. tervsor'!C:D,2,0)," ")</f>
        <v>Különféle egyéb dologi kiad. miatti egyéb ráfordítások</v>
      </c>
      <c r="I342" s="353">
        <f>+J342</f>
        <v>0</v>
      </c>
      <c r="J342" s="353">
        <f t="shared" si="154"/>
        <v>0</v>
      </c>
      <c r="K342" s="166">
        <f t="shared" si="153"/>
        <v>0</v>
      </c>
      <c r="L342" s="166">
        <f t="shared" si="155"/>
        <v>0</v>
      </c>
      <c r="M342" s="182"/>
      <c r="N342" s="166"/>
      <c r="O342" s="166"/>
      <c r="P342" s="166"/>
      <c r="Q342" s="166"/>
      <c r="R342" s="166"/>
      <c r="S342" s="166"/>
      <c r="T342" s="166"/>
      <c r="U342" s="166"/>
      <c r="V342" s="166"/>
      <c r="W342" s="166"/>
      <c r="X342" s="166"/>
      <c r="Y342" s="166"/>
      <c r="Z342" s="166"/>
      <c r="AA342" s="166"/>
      <c r="AB342" s="166"/>
      <c r="AC342" s="166"/>
      <c r="AD342" s="166"/>
      <c r="AE342" s="166"/>
      <c r="AF342" s="166"/>
      <c r="AG342" s="166"/>
      <c r="AH342" s="166"/>
      <c r="AI342" s="166"/>
      <c r="AJ342" s="166"/>
      <c r="AK342" s="166"/>
      <c r="AL342" s="166"/>
      <c r="AM342" s="166"/>
      <c r="AN342" s="166"/>
      <c r="AO342" s="166"/>
      <c r="AP342" s="166"/>
      <c r="AQ342" s="166"/>
      <c r="AR342" s="166"/>
      <c r="AS342" s="166"/>
      <c r="AT342" s="166"/>
      <c r="AU342" s="166"/>
      <c r="AV342" s="166"/>
      <c r="AW342" s="166"/>
      <c r="AX342" s="166"/>
      <c r="AY342" s="166"/>
      <c r="AZ342" s="186"/>
      <c r="BA342" s="186"/>
      <c r="BB342" s="186"/>
      <c r="BC342" s="186"/>
      <c r="BD342" s="186"/>
      <c r="BE342" s="186"/>
      <c r="BF342" s="186"/>
      <c r="BG342" s="186"/>
      <c r="BH342" s="186"/>
      <c r="BI342" s="183">
        <f t="shared" si="156"/>
        <v>0</v>
      </c>
      <c r="BJ342" s="183">
        <f t="shared" si="157"/>
        <v>0</v>
      </c>
      <c r="BK342" s="183">
        <f t="shared" si="158"/>
        <v>0</v>
      </c>
      <c r="BL342" s="183">
        <f t="shared" si="159"/>
        <v>0</v>
      </c>
    </row>
    <row r="343" spans="1:64" s="187" customFormat="1" ht="15.75" hidden="1" customHeight="1" outlineLevel="3" x14ac:dyDescent="0.3">
      <c r="A343" s="185"/>
      <c r="B343" s="185"/>
      <c r="C343" s="185"/>
      <c r="D343" s="185"/>
      <c r="E343" s="185" t="s">
        <v>2678</v>
      </c>
      <c r="F343" s="185" t="s">
        <v>83</v>
      </c>
      <c r="G343" s="185">
        <v>149</v>
      </c>
      <c r="H343" s="185" t="str">
        <f>IFERROR(VLOOKUP(G343,'2022. tervsor'!C:D,2,0)," ")</f>
        <v>Kollégiumok FK keret fele</v>
      </c>
      <c r="I343" s="353">
        <f>+J343</f>
        <v>0</v>
      </c>
      <c r="J343" s="353">
        <f t="shared" si="154"/>
        <v>0</v>
      </c>
      <c r="K343" s="166">
        <f t="shared" si="153"/>
        <v>0</v>
      </c>
      <c r="L343" s="166">
        <f t="shared" si="155"/>
        <v>0</v>
      </c>
      <c r="M343" s="182"/>
      <c r="N343" s="166"/>
      <c r="O343" s="166"/>
      <c r="P343" s="166"/>
      <c r="Q343" s="166"/>
      <c r="R343" s="166"/>
      <c r="S343" s="166"/>
      <c r="T343" s="166"/>
      <c r="U343" s="166"/>
      <c r="V343" s="166"/>
      <c r="W343" s="166"/>
      <c r="X343" s="166"/>
      <c r="Y343" s="166"/>
      <c r="Z343" s="166"/>
      <c r="AA343" s="166"/>
      <c r="AB343" s="166"/>
      <c r="AC343" s="166"/>
      <c r="AD343" s="166"/>
      <c r="AE343" s="166"/>
      <c r="AF343" s="166"/>
      <c r="AG343" s="166"/>
      <c r="AH343" s="166"/>
      <c r="AI343" s="166"/>
      <c r="AJ343" s="166"/>
      <c r="AK343" s="166"/>
      <c r="AL343" s="166"/>
      <c r="AM343" s="166"/>
      <c r="AN343" s="166"/>
      <c r="AO343" s="166"/>
      <c r="AP343" s="166"/>
      <c r="AQ343" s="166"/>
      <c r="AR343" s="166"/>
      <c r="AS343" s="166"/>
      <c r="AT343" s="166"/>
      <c r="AU343" s="166"/>
      <c r="AV343" s="166"/>
      <c r="AW343" s="166"/>
      <c r="AX343" s="166"/>
      <c r="AY343" s="166"/>
      <c r="AZ343" s="186"/>
      <c r="BA343" s="186"/>
      <c r="BB343" s="186"/>
      <c r="BC343" s="186"/>
      <c r="BD343" s="186"/>
      <c r="BE343" s="186"/>
      <c r="BF343" s="186"/>
      <c r="BG343" s="186"/>
      <c r="BH343" s="186"/>
      <c r="BI343" s="183">
        <f t="shared" si="156"/>
        <v>0</v>
      </c>
      <c r="BJ343" s="183">
        <f t="shared" si="157"/>
        <v>0</v>
      </c>
      <c r="BK343" s="183">
        <f t="shared" si="158"/>
        <v>0</v>
      </c>
      <c r="BL343" s="183">
        <f t="shared" si="159"/>
        <v>0</v>
      </c>
    </row>
    <row r="344" spans="1:64" s="187" customFormat="1" ht="15.75" hidden="1" customHeight="1" outlineLevel="3" x14ac:dyDescent="0.3">
      <c r="A344" s="185"/>
      <c r="B344" s="185"/>
      <c r="C344" s="185"/>
      <c r="D344" s="185"/>
      <c r="E344" s="185" t="s">
        <v>2678</v>
      </c>
      <c r="F344" s="185" t="s">
        <v>83</v>
      </c>
      <c r="G344" s="185">
        <v>158</v>
      </c>
      <c r="H344" s="185" t="str">
        <f>IFERROR(VLOOKUP(G344,'2022. tervsor'!C:D,2,0)," ")</f>
        <v>Szakmai gyakorlat</v>
      </c>
      <c r="I344" s="353">
        <f>+J344</f>
        <v>0</v>
      </c>
      <c r="J344" s="353">
        <f t="shared" si="154"/>
        <v>0</v>
      </c>
      <c r="K344" s="166">
        <f>+I344-J344</f>
        <v>0</v>
      </c>
      <c r="L344" s="166">
        <f t="shared" si="155"/>
        <v>0</v>
      </c>
      <c r="M344" s="182"/>
      <c r="N344" s="166"/>
      <c r="O344" s="166"/>
      <c r="P344" s="166"/>
      <c r="Q344" s="166"/>
      <c r="R344" s="166"/>
      <c r="S344" s="166"/>
      <c r="T344" s="166"/>
      <c r="U344" s="166"/>
      <c r="V344" s="166"/>
      <c r="W344" s="166"/>
      <c r="X344" s="166"/>
      <c r="Y344" s="166"/>
      <c r="Z344" s="166"/>
      <c r="AA344" s="166"/>
      <c r="AB344" s="166"/>
      <c r="AC344" s="166"/>
      <c r="AD344" s="166"/>
      <c r="AE344" s="166"/>
      <c r="AF344" s="166"/>
      <c r="AG344" s="166"/>
      <c r="AH344" s="166"/>
      <c r="AI344" s="166"/>
      <c r="AJ344" s="166"/>
      <c r="AK344" s="166"/>
      <c r="AL344" s="166"/>
      <c r="AM344" s="166"/>
      <c r="AN344" s="166"/>
      <c r="AO344" s="166"/>
      <c r="AP344" s="166"/>
      <c r="AQ344" s="166"/>
      <c r="AR344" s="166"/>
      <c r="AS344" s="166"/>
      <c r="AT344" s="166"/>
      <c r="AU344" s="166"/>
      <c r="AV344" s="166"/>
      <c r="AW344" s="166"/>
      <c r="AX344" s="166"/>
      <c r="AY344" s="166"/>
      <c r="AZ344" s="186"/>
      <c r="BA344" s="186"/>
      <c r="BB344" s="186"/>
      <c r="BC344" s="186"/>
      <c r="BD344" s="186"/>
      <c r="BE344" s="186"/>
      <c r="BF344" s="186"/>
      <c r="BG344" s="186"/>
      <c r="BH344" s="186"/>
      <c r="BI344" s="183">
        <f t="shared" si="156"/>
        <v>0</v>
      </c>
      <c r="BJ344" s="183">
        <f t="shared" si="157"/>
        <v>0</v>
      </c>
      <c r="BK344" s="183">
        <f t="shared" si="158"/>
        <v>0</v>
      </c>
      <c r="BL344" s="183">
        <f t="shared" si="159"/>
        <v>0</v>
      </c>
    </row>
    <row r="345" spans="1:64" s="187" customFormat="1" ht="15.75" hidden="1" customHeight="1" outlineLevel="3" x14ac:dyDescent="0.3">
      <c r="A345" s="185"/>
      <c r="B345" s="185"/>
      <c r="C345" s="185"/>
      <c r="D345" s="185"/>
      <c r="E345" s="185" t="s">
        <v>2678</v>
      </c>
      <c r="F345" s="185" t="s">
        <v>83</v>
      </c>
      <c r="G345" s="185">
        <v>203</v>
      </c>
      <c r="H345" s="185" t="str">
        <f>IFERROR(VLOOKUP(G345,'2022. tervsor'!C:D,2,0)," ")</f>
        <v>Épületek felújítása</v>
      </c>
      <c r="I345" s="353">
        <f>+J345</f>
        <v>0</v>
      </c>
      <c r="J345" s="353">
        <f t="shared" si="154"/>
        <v>0</v>
      </c>
      <c r="K345" s="166">
        <f>+I345-J345</f>
        <v>0</v>
      </c>
      <c r="L345" s="166">
        <f t="shared" si="155"/>
        <v>0</v>
      </c>
      <c r="M345" s="182"/>
      <c r="N345" s="166"/>
      <c r="O345" s="166"/>
      <c r="P345" s="166"/>
      <c r="Q345" s="166"/>
      <c r="R345" s="166"/>
      <c r="S345" s="166"/>
      <c r="T345" s="166"/>
      <c r="U345" s="166"/>
      <c r="V345" s="166"/>
      <c r="W345" s="166"/>
      <c r="X345" s="166"/>
      <c r="Y345" s="166"/>
      <c r="Z345" s="166"/>
      <c r="AA345" s="166"/>
      <c r="AB345" s="166"/>
      <c r="AC345" s="166"/>
      <c r="AD345" s="166"/>
      <c r="AE345" s="166"/>
      <c r="AF345" s="166"/>
      <c r="AG345" s="166"/>
      <c r="AH345" s="166"/>
      <c r="AI345" s="166"/>
      <c r="AJ345" s="166"/>
      <c r="AK345" s="166"/>
      <c r="AL345" s="166"/>
      <c r="AM345" s="166"/>
      <c r="AN345" s="166"/>
      <c r="AO345" s="166"/>
      <c r="AP345" s="166"/>
      <c r="AQ345" s="166"/>
      <c r="AR345" s="166"/>
      <c r="AS345" s="166"/>
      <c r="AT345" s="166"/>
      <c r="AU345" s="166"/>
      <c r="AV345" s="166"/>
      <c r="AW345" s="166"/>
      <c r="AX345" s="166"/>
      <c r="AY345" s="166"/>
      <c r="AZ345" s="186"/>
      <c r="BA345" s="186"/>
      <c r="BB345" s="186"/>
      <c r="BC345" s="186"/>
      <c r="BD345" s="186"/>
      <c r="BE345" s="186"/>
      <c r="BF345" s="186"/>
      <c r="BG345" s="186"/>
      <c r="BH345" s="186"/>
      <c r="BI345" s="183">
        <f t="shared" si="156"/>
        <v>0</v>
      </c>
      <c r="BJ345" s="183">
        <f t="shared" si="157"/>
        <v>0</v>
      </c>
      <c r="BK345" s="183">
        <f t="shared" si="158"/>
        <v>0</v>
      </c>
      <c r="BL345" s="183">
        <f t="shared" si="159"/>
        <v>0</v>
      </c>
    </row>
    <row r="346" spans="1:64" s="187" customFormat="1" ht="15.75" hidden="1" customHeight="1" outlineLevel="3" x14ac:dyDescent="0.3">
      <c r="A346" s="185"/>
      <c r="B346" s="185"/>
      <c r="C346" s="185"/>
      <c r="D346" s="185"/>
      <c r="E346" s="185" t="s">
        <v>2678</v>
      </c>
      <c r="F346" s="185" t="s">
        <v>83</v>
      </c>
      <c r="G346" s="185">
        <v>210</v>
      </c>
      <c r="H346" s="185" t="str">
        <f>IFERROR(VLOOKUP(G346,'2022. tervsor'!C:D,2,0)," ")</f>
        <v>Nem levonható egyenes adós ÁFA felújítás</v>
      </c>
      <c r="I346" s="353">
        <f>+J346</f>
        <v>0</v>
      </c>
      <c r="J346" s="353">
        <f t="shared" si="154"/>
        <v>0</v>
      </c>
      <c r="K346" s="166">
        <f t="shared" si="153"/>
        <v>0</v>
      </c>
      <c r="L346" s="166">
        <f t="shared" si="155"/>
        <v>0</v>
      </c>
      <c r="M346" s="182"/>
      <c r="N346" s="166"/>
      <c r="O346" s="166"/>
      <c r="P346" s="166"/>
      <c r="Q346" s="166"/>
      <c r="R346" s="166"/>
      <c r="S346" s="166"/>
      <c r="T346" s="166"/>
      <c r="U346" s="166"/>
      <c r="V346" s="166"/>
      <c r="W346" s="166"/>
      <c r="X346" s="166"/>
      <c r="Y346" s="166"/>
      <c r="Z346" s="166"/>
      <c r="AA346" s="166"/>
      <c r="AB346" s="166"/>
      <c r="AC346" s="166"/>
      <c r="AD346" s="166"/>
      <c r="AE346" s="166"/>
      <c r="AF346" s="166"/>
      <c r="AG346" s="166"/>
      <c r="AH346" s="166"/>
      <c r="AI346" s="166"/>
      <c r="AJ346" s="166"/>
      <c r="AK346" s="166"/>
      <c r="AL346" s="166"/>
      <c r="AM346" s="166"/>
      <c r="AN346" s="166"/>
      <c r="AO346" s="166"/>
      <c r="AP346" s="166"/>
      <c r="AQ346" s="166"/>
      <c r="AR346" s="166"/>
      <c r="AS346" s="166"/>
      <c r="AT346" s="166"/>
      <c r="AU346" s="166"/>
      <c r="AV346" s="166"/>
      <c r="AW346" s="166"/>
      <c r="AX346" s="166"/>
      <c r="AY346" s="166"/>
      <c r="AZ346" s="186"/>
      <c r="BA346" s="186"/>
      <c r="BB346" s="186"/>
      <c r="BC346" s="186"/>
      <c r="BD346" s="186"/>
      <c r="BE346" s="186"/>
      <c r="BF346" s="186"/>
      <c r="BG346" s="186"/>
      <c r="BH346" s="186"/>
      <c r="BI346" s="183">
        <f t="shared" si="156"/>
        <v>0</v>
      </c>
      <c r="BJ346" s="183">
        <f t="shared" si="157"/>
        <v>0</v>
      </c>
      <c r="BK346" s="183">
        <f t="shared" si="158"/>
        <v>0</v>
      </c>
      <c r="BL346" s="183">
        <f t="shared" si="159"/>
        <v>0</v>
      </c>
    </row>
    <row r="347" spans="1:64" s="187" customFormat="1" hidden="1" outlineLevel="2" x14ac:dyDescent="0.3">
      <c r="A347" s="201" t="s">
        <v>64</v>
      </c>
      <c r="B347" s="201"/>
      <c r="C347" s="201"/>
      <c r="D347" s="201"/>
      <c r="E347" s="351" t="s">
        <v>3439</v>
      </c>
      <c r="F347" s="201" t="s">
        <v>2790</v>
      </c>
      <c r="G347" s="223"/>
      <c r="H347" s="180" t="s">
        <v>2707</v>
      </c>
      <c r="I347" s="181">
        <f>IFERROR(VLOOKUP($A347,'Kiadások 2a SZH 2022'!$A:$M,MATCH($I$1,'Kiadások 2a SZH 2022'!$A$1:$M$1,0),0), )</f>
        <v>0</v>
      </c>
      <c r="J347" s="181">
        <f t="shared" si="154"/>
        <v>0</v>
      </c>
      <c r="K347" s="181">
        <f t="shared" si="153"/>
        <v>0</v>
      </c>
      <c r="L347" s="181">
        <f t="shared" si="155"/>
        <v>0</v>
      </c>
      <c r="M347" s="190"/>
      <c r="N347" s="181">
        <f>+N348+N351</f>
        <v>0</v>
      </c>
      <c r="O347" s="181">
        <f>+O348+O351</f>
        <v>0</v>
      </c>
      <c r="P347" s="181">
        <f t="shared" ref="P347:Z347" si="161">+P348+P351</f>
        <v>0</v>
      </c>
      <c r="Q347" s="181">
        <f t="shared" si="161"/>
        <v>0</v>
      </c>
      <c r="R347" s="181">
        <f t="shared" si="161"/>
        <v>0</v>
      </c>
      <c r="S347" s="181">
        <f t="shared" si="161"/>
        <v>0</v>
      </c>
      <c r="T347" s="181">
        <f t="shared" si="161"/>
        <v>0</v>
      </c>
      <c r="U347" s="181">
        <f t="shared" si="161"/>
        <v>0</v>
      </c>
      <c r="V347" s="181">
        <f t="shared" si="161"/>
        <v>0</v>
      </c>
      <c r="W347" s="181">
        <f t="shared" si="161"/>
        <v>0</v>
      </c>
      <c r="X347" s="181">
        <f t="shared" si="161"/>
        <v>0</v>
      </c>
      <c r="Y347" s="181">
        <f t="shared" si="161"/>
        <v>0</v>
      </c>
      <c r="Z347" s="181">
        <f t="shared" si="161"/>
        <v>0</v>
      </c>
      <c r="AA347" s="181">
        <f t="shared" ref="AA347:AM347" si="162">+AA348+AA351</f>
        <v>0</v>
      </c>
      <c r="AB347" s="181">
        <f t="shared" si="162"/>
        <v>0</v>
      </c>
      <c r="AC347" s="166">
        <f t="shared" si="162"/>
        <v>0</v>
      </c>
      <c r="AD347" s="166">
        <f t="shared" si="162"/>
        <v>0</v>
      </c>
      <c r="AE347" s="166">
        <f t="shared" si="162"/>
        <v>0</v>
      </c>
      <c r="AF347" s="181">
        <f>+AF348+AF351</f>
        <v>0</v>
      </c>
      <c r="AG347" s="166">
        <f>+AG348+AG351</f>
        <v>0</v>
      </c>
      <c r="AH347" s="166">
        <f t="shared" si="162"/>
        <v>0</v>
      </c>
      <c r="AI347" s="166">
        <f t="shared" si="162"/>
        <v>0</v>
      </c>
      <c r="AJ347" s="166">
        <f t="shared" si="162"/>
        <v>0</v>
      </c>
      <c r="AK347" s="166">
        <f t="shared" si="162"/>
        <v>0</v>
      </c>
      <c r="AL347" s="166">
        <f t="shared" si="162"/>
        <v>0</v>
      </c>
      <c r="AM347" s="166">
        <f t="shared" si="162"/>
        <v>0</v>
      </c>
      <c r="AN347" s="166"/>
      <c r="AO347" s="166"/>
      <c r="AP347" s="166"/>
      <c r="AQ347" s="166"/>
      <c r="AR347" s="166"/>
      <c r="AS347" s="166"/>
      <c r="AT347" s="166"/>
      <c r="AU347" s="166"/>
      <c r="AV347" s="166"/>
      <c r="AW347" s="166"/>
      <c r="AX347" s="166"/>
      <c r="AY347" s="166"/>
      <c r="AZ347" s="186"/>
      <c r="BA347" s="186"/>
      <c r="BB347" s="186"/>
      <c r="BC347" s="186"/>
      <c r="BD347" s="186"/>
      <c r="BE347" s="186"/>
      <c r="BF347" s="186"/>
      <c r="BG347" s="186"/>
      <c r="BH347" s="186"/>
      <c r="BI347" s="183">
        <f t="shared" si="156"/>
        <v>0</v>
      </c>
      <c r="BJ347" s="183">
        <f t="shared" si="157"/>
        <v>0</v>
      </c>
      <c r="BK347" s="183">
        <f t="shared" si="158"/>
        <v>0</v>
      </c>
      <c r="BL347" s="183">
        <f t="shared" si="159"/>
        <v>0</v>
      </c>
    </row>
    <row r="348" spans="1:64" s="187" customFormat="1" ht="15.75" hidden="1" customHeight="1" outlineLevel="3" x14ac:dyDescent="0.3">
      <c r="A348" s="185"/>
      <c r="B348" s="180"/>
      <c r="C348" s="180"/>
      <c r="D348" s="180"/>
      <c r="E348" s="180" t="s">
        <v>2858</v>
      </c>
      <c r="F348" s="185"/>
      <c r="G348" s="185"/>
      <c r="H348" s="180" t="s">
        <v>2707</v>
      </c>
      <c r="I348" s="181">
        <f>SUM(I349:I350)</f>
        <v>0</v>
      </c>
      <c r="J348" s="181">
        <f t="shared" si="154"/>
        <v>0</v>
      </c>
      <c r="K348" s="181">
        <f>+I348-J348</f>
        <v>0</v>
      </c>
      <c r="L348" s="181">
        <f t="shared" si="155"/>
        <v>0</v>
      </c>
      <c r="M348" s="190"/>
      <c r="N348" s="181">
        <f>+N349+N350</f>
        <v>0</v>
      </c>
      <c r="O348" s="181">
        <f t="shared" ref="O348:Z348" si="163">+O349+O350</f>
        <v>0</v>
      </c>
      <c r="P348" s="181">
        <f t="shared" si="163"/>
        <v>0</v>
      </c>
      <c r="Q348" s="181">
        <f t="shared" si="163"/>
        <v>0</v>
      </c>
      <c r="R348" s="181">
        <f t="shared" si="163"/>
        <v>0</v>
      </c>
      <c r="S348" s="181">
        <f t="shared" si="163"/>
        <v>0</v>
      </c>
      <c r="T348" s="181">
        <f t="shared" si="163"/>
        <v>0</v>
      </c>
      <c r="U348" s="181">
        <f t="shared" si="163"/>
        <v>0</v>
      </c>
      <c r="V348" s="181">
        <f t="shared" si="163"/>
        <v>0</v>
      </c>
      <c r="W348" s="181">
        <f t="shared" si="163"/>
        <v>0</v>
      </c>
      <c r="X348" s="181">
        <f t="shared" si="163"/>
        <v>0</v>
      </c>
      <c r="Y348" s="181">
        <f t="shared" si="163"/>
        <v>0</v>
      </c>
      <c r="Z348" s="181">
        <f t="shared" si="163"/>
        <v>0</v>
      </c>
      <c r="AA348" s="181">
        <f t="shared" ref="AA348:AM348" si="164">+AA349+AA350</f>
        <v>0</v>
      </c>
      <c r="AB348" s="181">
        <f t="shared" si="164"/>
        <v>0</v>
      </c>
      <c r="AC348" s="166">
        <f t="shared" si="164"/>
        <v>0</v>
      </c>
      <c r="AD348" s="166">
        <f t="shared" si="164"/>
        <v>0</v>
      </c>
      <c r="AE348" s="166">
        <f t="shared" si="164"/>
        <v>0</v>
      </c>
      <c r="AF348" s="181">
        <f t="shared" si="164"/>
        <v>0</v>
      </c>
      <c r="AG348" s="166">
        <f t="shared" si="164"/>
        <v>0</v>
      </c>
      <c r="AH348" s="166">
        <f t="shared" si="164"/>
        <v>0</v>
      </c>
      <c r="AI348" s="166">
        <f t="shared" si="164"/>
        <v>0</v>
      </c>
      <c r="AJ348" s="166">
        <f t="shared" si="164"/>
        <v>0</v>
      </c>
      <c r="AK348" s="166">
        <f t="shared" si="164"/>
        <v>0</v>
      </c>
      <c r="AL348" s="166">
        <f t="shared" si="164"/>
        <v>0</v>
      </c>
      <c r="AM348" s="166">
        <f t="shared" si="164"/>
        <v>0</v>
      </c>
      <c r="AN348" s="166"/>
      <c r="AO348" s="166"/>
      <c r="AP348" s="166"/>
      <c r="AQ348" s="166"/>
      <c r="AR348" s="166"/>
      <c r="AS348" s="166"/>
      <c r="AT348" s="166"/>
      <c r="AU348" s="166"/>
      <c r="AV348" s="166"/>
      <c r="AW348" s="166"/>
      <c r="AX348" s="166"/>
      <c r="AY348" s="166"/>
      <c r="AZ348" s="186"/>
      <c r="BA348" s="186"/>
      <c r="BB348" s="186"/>
      <c r="BC348" s="186"/>
      <c r="BD348" s="186"/>
      <c r="BE348" s="186"/>
      <c r="BF348" s="186"/>
      <c r="BG348" s="186"/>
      <c r="BH348" s="186"/>
      <c r="BI348" s="183">
        <f t="shared" si="156"/>
        <v>0</v>
      </c>
      <c r="BJ348" s="183">
        <f t="shared" si="157"/>
        <v>0</v>
      </c>
      <c r="BK348" s="183">
        <f t="shared" si="158"/>
        <v>0</v>
      </c>
      <c r="BL348" s="183">
        <f t="shared" si="159"/>
        <v>0</v>
      </c>
    </row>
    <row r="349" spans="1:64" s="187" customFormat="1" ht="15.75" hidden="1" customHeight="1" outlineLevel="3" x14ac:dyDescent="0.3">
      <c r="A349" s="201"/>
      <c r="B349" s="180" t="s">
        <v>2831</v>
      </c>
      <c r="C349" s="180" t="s">
        <v>83</v>
      </c>
      <c r="D349" s="180" t="s">
        <v>2944</v>
      </c>
      <c r="E349" s="185" t="s">
        <v>2859</v>
      </c>
      <c r="F349" s="204" t="s">
        <v>86</v>
      </c>
      <c r="G349" s="223"/>
      <c r="H349" s="221" t="s">
        <v>2679</v>
      </c>
      <c r="I349" s="181"/>
      <c r="J349" s="181">
        <f t="shared" si="154"/>
        <v>0</v>
      </c>
      <c r="K349" s="166">
        <f>+I349-J349</f>
        <v>0</v>
      </c>
      <c r="L349" s="166">
        <f t="shared" si="155"/>
        <v>0</v>
      </c>
      <c r="M349" s="190"/>
      <c r="N349" s="166"/>
      <c r="O349" s="166"/>
      <c r="P349" s="166"/>
      <c r="Q349" s="166"/>
      <c r="R349" s="166"/>
      <c r="S349" s="166"/>
      <c r="T349" s="166"/>
      <c r="U349" s="166"/>
      <c r="V349" s="166"/>
      <c r="W349" s="166"/>
      <c r="X349" s="166"/>
      <c r="Y349" s="166"/>
      <c r="Z349" s="166"/>
      <c r="AA349" s="166"/>
      <c r="AB349" s="166"/>
      <c r="AC349" s="166"/>
      <c r="AD349" s="166"/>
      <c r="AE349" s="166"/>
      <c r="AF349" s="166"/>
      <c r="AG349" s="166"/>
      <c r="AH349" s="166"/>
      <c r="AI349" s="166"/>
      <c r="AJ349" s="166"/>
      <c r="AK349" s="166"/>
      <c r="AL349" s="166"/>
      <c r="AM349" s="166"/>
      <c r="AN349" s="166"/>
      <c r="AO349" s="166"/>
      <c r="AP349" s="166"/>
      <c r="AQ349" s="166"/>
      <c r="AR349" s="166"/>
      <c r="AS349" s="166"/>
      <c r="AT349" s="166"/>
      <c r="AU349" s="166"/>
      <c r="AV349" s="166"/>
      <c r="AW349" s="166"/>
      <c r="AX349" s="166"/>
      <c r="AY349" s="166"/>
      <c r="AZ349" s="186"/>
      <c r="BA349" s="186"/>
      <c r="BB349" s="186"/>
      <c r="BC349" s="186"/>
      <c r="BD349" s="186"/>
      <c r="BE349" s="186"/>
      <c r="BF349" s="186"/>
      <c r="BG349" s="186"/>
      <c r="BH349" s="186"/>
      <c r="BI349" s="183">
        <f t="shared" si="156"/>
        <v>0</v>
      </c>
      <c r="BJ349" s="183">
        <f t="shared" si="157"/>
        <v>0</v>
      </c>
      <c r="BK349" s="183">
        <f t="shared" si="158"/>
        <v>0</v>
      </c>
      <c r="BL349" s="183">
        <f t="shared" si="159"/>
        <v>0</v>
      </c>
    </row>
    <row r="350" spans="1:64" s="187" customFormat="1" ht="15.75" hidden="1" customHeight="1" outlineLevel="3" x14ac:dyDescent="0.3">
      <c r="A350" s="185"/>
      <c r="B350" s="180" t="s">
        <v>2825</v>
      </c>
      <c r="C350" s="180" t="s">
        <v>83</v>
      </c>
      <c r="D350" s="180" t="s">
        <v>2945</v>
      </c>
      <c r="E350" s="185" t="s">
        <v>2860</v>
      </c>
      <c r="F350" s="185" t="s">
        <v>86</v>
      </c>
      <c r="G350" s="185"/>
      <c r="H350" s="221" t="s">
        <v>2679</v>
      </c>
      <c r="I350" s="181"/>
      <c r="J350" s="181">
        <f t="shared" si="154"/>
        <v>0</v>
      </c>
      <c r="K350" s="166">
        <f t="shared" si="153"/>
        <v>0</v>
      </c>
      <c r="L350" s="166">
        <f t="shared" si="155"/>
        <v>0</v>
      </c>
      <c r="M350" s="190"/>
      <c r="N350" s="166"/>
      <c r="O350" s="166"/>
      <c r="P350" s="166"/>
      <c r="Q350" s="166"/>
      <c r="R350" s="166"/>
      <c r="S350" s="166"/>
      <c r="T350" s="166"/>
      <c r="U350" s="166"/>
      <c r="V350" s="166"/>
      <c r="W350" s="166"/>
      <c r="X350" s="166"/>
      <c r="Y350" s="166"/>
      <c r="Z350" s="166"/>
      <c r="AA350" s="166"/>
      <c r="AB350" s="166"/>
      <c r="AC350" s="166"/>
      <c r="AD350" s="166"/>
      <c r="AE350" s="166"/>
      <c r="AF350" s="166"/>
      <c r="AG350" s="166"/>
      <c r="AH350" s="166"/>
      <c r="AI350" s="166"/>
      <c r="AJ350" s="166"/>
      <c r="AK350" s="166"/>
      <c r="AL350" s="166"/>
      <c r="AM350" s="166"/>
      <c r="AN350" s="166"/>
      <c r="AO350" s="166"/>
      <c r="AP350" s="166"/>
      <c r="AQ350" s="166"/>
      <c r="AR350" s="166"/>
      <c r="AS350" s="166"/>
      <c r="AT350" s="166"/>
      <c r="AU350" s="166"/>
      <c r="AV350" s="166"/>
      <c r="AW350" s="166"/>
      <c r="AX350" s="166"/>
      <c r="AY350" s="166"/>
      <c r="AZ350" s="186"/>
      <c r="BA350" s="186"/>
      <c r="BB350" s="186"/>
      <c r="BC350" s="186"/>
      <c r="BD350" s="186"/>
      <c r="BE350" s="186"/>
      <c r="BF350" s="186"/>
      <c r="BG350" s="186"/>
      <c r="BH350" s="186"/>
      <c r="BI350" s="183">
        <f t="shared" si="156"/>
        <v>0</v>
      </c>
      <c r="BJ350" s="183">
        <f t="shared" si="157"/>
        <v>0</v>
      </c>
      <c r="BK350" s="183">
        <f t="shared" si="158"/>
        <v>0</v>
      </c>
      <c r="BL350" s="183">
        <f t="shared" si="159"/>
        <v>0</v>
      </c>
    </row>
    <row r="351" spans="1:64" s="187" customFormat="1" ht="15.75" hidden="1" customHeight="1" outlineLevel="3" x14ac:dyDescent="0.3">
      <c r="A351" s="185"/>
      <c r="B351" s="180"/>
      <c r="C351" s="180"/>
      <c r="D351" s="180"/>
      <c r="E351" s="180" t="s">
        <v>2854</v>
      </c>
      <c r="F351" s="185"/>
      <c r="G351" s="185"/>
      <c r="H351" s="180" t="s">
        <v>2707</v>
      </c>
      <c r="I351" s="181">
        <f>SUM(I352:I353)</f>
        <v>0</v>
      </c>
      <c r="J351" s="181">
        <f t="shared" si="154"/>
        <v>0</v>
      </c>
      <c r="K351" s="181">
        <f t="shared" si="153"/>
        <v>0</v>
      </c>
      <c r="L351" s="181">
        <f t="shared" si="155"/>
        <v>0</v>
      </c>
      <c r="M351" s="190"/>
      <c r="N351" s="181">
        <f>+N352+N353</f>
        <v>0</v>
      </c>
      <c r="O351" s="181">
        <f>+O352+O353</f>
        <v>0</v>
      </c>
      <c r="P351" s="181">
        <f t="shared" ref="P351:Z351" si="165">+P352+P353</f>
        <v>0</v>
      </c>
      <c r="Q351" s="181">
        <f t="shared" si="165"/>
        <v>0</v>
      </c>
      <c r="R351" s="181">
        <f t="shared" si="165"/>
        <v>0</v>
      </c>
      <c r="S351" s="181">
        <f t="shared" si="165"/>
        <v>0</v>
      </c>
      <c r="T351" s="181">
        <f t="shared" si="165"/>
        <v>0</v>
      </c>
      <c r="U351" s="181">
        <f t="shared" si="165"/>
        <v>0</v>
      </c>
      <c r="V351" s="181">
        <f t="shared" si="165"/>
        <v>0</v>
      </c>
      <c r="W351" s="181">
        <f t="shared" si="165"/>
        <v>0</v>
      </c>
      <c r="X351" s="181">
        <f t="shared" si="165"/>
        <v>0</v>
      </c>
      <c r="Y351" s="181">
        <f t="shared" si="165"/>
        <v>0</v>
      </c>
      <c r="Z351" s="181">
        <f t="shared" si="165"/>
        <v>0</v>
      </c>
      <c r="AA351" s="181">
        <f t="shared" ref="AA351:AM351" si="166">+AA352+AA353</f>
        <v>0</v>
      </c>
      <c r="AB351" s="181">
        <f t="shared" si="166"/>
        <v>0</v>
      </c>
      <c r="AC351" s="166">
        <f t="shared" si="166"/>
        <v>0</v>
      </c>
      <c r="AD351" s="166">
        <f t="shared" si="166"/>
        <v>0</v>
      </c>
      <c r="AE351" s="166">
        <f t="shared" si="166"/>
        <v>0</v>
      </c>
      <c r="AF351" s="166">
        <f>+AF352+AF353</f>
        <v>0</v>
      </c>
      <c r="AG351" s="166">
        <f>+AG352+AG353</f>
        <v>0</v>
      </c>
      <c r="AH351" s="166">
        <f t="shared" si="166"/>
        <v>0</v>
      </c>
      <c r="AI351" s="166">
        <f t="shared" si="166"/>
        <v>0</v>
      </c>
      <c r="AJ351" s="166">
        <f t="shared" si="166"/>
        <v>0</v>
      </c>
      <c r="AK351" s="166">
        <f t="shared" si="166"/>
        <v>0</v>
      </c>
      <c r="AL351" s="166">
        <f t="shared" si="166"/>
        <v>0</v>
      </c>
      <c r="AM351" s="166">
        <f t="shared" si="166"/>
        <v>0</v>
      </c>
      <c r="AN351" s="166"/>
      <c r="AO351" s="166"/>
      <c r="AP351" s="166"/>
      <c r="AQ351" s="166"/>
      <c r="AR351" s="166"/>
      <c r="AS351" s="166"/>
      <c r="AT351" s="166"/>
      <c r="AU351" s="166"/>
      <c r="AV351" s="166"/>
      <c r="AW351" s="166"/>
      <c r="AX351" s="166"/>
      <c r="AY351" s="166"/>
      <c r="AZ351" s="186"/>
      <c r="BA351" s="186"/>
      <c r="BB351" s="186"/>
      <c r="BC351" s="186"/>
      <c r="BD351" s="186"/>
      <c r="BE351" s="186"/>
      <c r="BF351" s="186"/>
      <c r="BG351" s="186"/>
      <c r="BH351" s="186"/>
      <c r="BI351" s="183">
        <f t="shared" si="156"/>
        <v>0</v>
      </c>
      <c r="BJ351" s="183">
        <f t="shared" si="157"/>
        <v>0</v>
      </c>
      <c r="BK351" s="183">
        <f t="shared" si="158"/>
        <v>0</v>
      </c>
      <c r="BL351" s="183">
        <f t="shared" si="159"/>
        <v>0</v>
      </c>
    </row>
    <row r="352" spans="1:64" s="187" customFormat="1" ht="15.75" hidden="1" customHeight="1" outlineLevel="3" x14ac:dyDescent="0.3">
      <c r="A352" s="185"/>
      <c r="B352" s="180" t="s">
        <v>2831</v>
      </c>
      <c r="C352" s="180" t="s">
        <v>83</v>
      </c>
      <c r="D352" s="180" t="s">
        <v>2944</v>
      </c>
      <c r="E352" s="185" t="s">
        <v>2855</v>
      </c>
      <c r="F352" s="185" t="s">
        <v>83</v>
      </c>
      <c r="G352" s="185"/>
      <c r="H352" s="222" t="s">
        <v>2857</v>
      </c>
      <c r="I352" s="181"/>
      <c r="J352" s="181">
        <f t="shared" si="154"/>
        <v>0</v>
      </c>
      <c r="K352" s="166">
        <f>+I352-J352</f>
        <v>0</v>
      </c>
      <c r="L352" s="166">
        <f t="shared" si="155"/>
        <v>0</v>
      </c>
      <c r="M352" s="190"/>
      <c r="N352" s="166"/>
      <c r="O352" s="166"/>
      <c r="P352" s="166"/>
      <c r="Q352" s="166"/>
      <c r="R352" s="166"/>
      <c r="S352" s="166"/>
      <c r="T352" s="166"/>
      <c r="U352" s="166"/>
      <c r="V352" s="166"/>
      <c r="W352" s="166"/>
      <c r="X352" s="166"/>
      <c r="Y352" s="166"/>
      <c r="Z352" s="166"/>
      <c r="AA352" s="166"/>
      <c r="AB352" s="166"/>
      <c r="AC352" s="166"/>
      <c r="AD352" s="166"/>
      <c r="AE352" s="166"/>
      <c r="AF352" s="166"/>
      <c r="AG352" s="166"/>
      <c r="AH352" s="166"/>
      <c r="AI352" s="166"/>
      <c r="AJ352" s="166"/>
      <c r="AK352" s="166"/>
      <c r="AL352" s="166"/>
      <c r="AM352" s="166"/>
      <c r="AN352" s="166"/>
      <c r="AO352" s="166"/>
      <c r="AP352" s="166"/>
      <c r="AQ352" s="166"/>
      <c r="AR352" s="166"/>
      <c r="AS352" s="166"/>
      <c r="AT352" s="166"/>
      <c r="AU352" s="166"/>
      <c r="AV352" s="166"/>
      <c r="AW352" s="166"/>
      <c r="AX352" s="166"/>
      <c r="AY352" s="166"/>
      <c r="AZ352" s="186"/>
      <c r="BA352" s="186"/>
      <c r="BB352" s="186"/>
      <c r="BC352" s="186"/>
      <c r="BD352" s="186"/>
      <c r="BE352" s="186"/>
      <c r="BF352" s="186"/>
      <c r="BG352" s="186"/>
      <c r="BH352" s="186"/>
      <c r="BI352" s="183">
        <f t="shared" si="156"/>
        <v>0</v>
      </c>
      <c r="BJ352" s="183">
        <f t="shared" si="157"/>
        <v>0</v>
      </c>
      <c r="BK352" s="183">
        <f t="shared" si="158"/>
        <v>0</v>
      </c>
      <c r="BL352" s="183">
        <f t="shared" si="159"/>
        <v>0</v>
      </c>
    </row>
    <row r="353" spans="1:64" s="187" customFormat="1" ht="15.75" hidden="1" customHeight="1" outlineLevel="3" x14ac:dyDescent="0.3">
      <c r="A353" s="185"/>
      <c r="B353" s="180" t="s">
        <v>2825</v>
      </c>
      <c r="C353" s="180" t="s">
        <v>83</v>
      </c>
      <c r="D353" s="180" t="s">
        <v>2945</v>
      </c>
      <c r="E353" s="185" t="s">
        <v>2856</v>
      </c>
      <c r="F353" s="185" t="s">
        <v>83</v>
      </c>
      <c r="G353" s="185"/>
      <c r="H353" s="222" t="s">
        <v>2857</v>
      </c>
      <c r="I353" s="181">
        <f>+I347-I348-I352</f>
        <v>0</v>
      </c>
      <c r="J353" s="181">
        <f t="shared" si="154"/>
        <v>0</v>
      </c>
      <c r="K353" s="166">
        <f>+I353-J353</f>
        <v>0</v>
      </c>
      <c r="L353" s="166">
        <f t="shared" si="155"/>
        <v>0</v>
      </c>
      <c r="M353" s="716">
        <v>3</v>
      </c>
      <c r="N353" s="166">
        <f>VLOOKUP($M353,'1 b felosztások'!$A:$U,COLUMN('1 b felosztások'!C:C),0)*$I353</f>
        <v>0</v>
      </c>
      <c r="O353" s="166">
        <f>VLOOKUP($M353,'1 b felosztások'!$A:$U,COLUMN('1 b felosztások'!D:D),0)*$I353</f>
        <v>0</v>
      </c>
      <c r="P353" s="166">
        <f>VLOOKUP($M353,'1 b felosztások'!$A:$U,COLUMN('1 b felosztások'!E:E),0)*$I353</f>
        <v>0</v>
      </c>
      <c r="Q353" s="166">
        <f>VLOOKUP($M353,'1 b felosztások'!$A:$U,COLUMN('1 b felosztások'!F:F),0)*$I353</f>
        <v>0</v>
      </c>
      <c r="R353" s="166">
        <f>VLOOKUP($M353,'1 b felosztások'!$A:$U,COLUMN('1 b felosztások'!G:G),0)*$I353</f>
        <v>0</v>
      </c>
      <c r="S353" s="166">
        <f>VLOOKUP($M353,'1 b felosztások'!$A:$U,COLUMN('1 b felosztások'!H:H),0)*$I353</f>
        <v>0</v>
      </c>
      <c r="T353" s="166">
        <f>VLOOKUP($M353,'1 b felosztások'!$A:$U,COLUMN('1 b felosztások'!I:I),0)*$I353</f>
        <v>0</v>
      </c>
      <c r="U353" s="166">
        <f>VLOOKUP($M353,'1 b felosztások'!$A:$U,COLUMN('1 b felosztások'!J:J),0)*$I353</f>
        <v>0</v>
      </c>
      <c r="V353" s="166">
        <f>VLOOKUP($M353,'1 b felosztások'!$A:$U,COLUMN('1 b felosztások'!K:K),0)*$I353</f>
        <v>0</v>
      </c>
      <c r="W353" s="166">
        <f>VLOOKUP($M353,'1 b felosztások'!$A:$U,COLUMN('1 b felosztások'!L:L),0)*$I353</f>
        <v>0</v>
      </c>
      <c r="X353" s="166">
        <f>VLOOKUP($M353,'1 b felosztások'!$A:$U,COLUMN('1 b felosztások'!M:M),0)*$I353</f>
        <v>0</v>
      </c>
      <c r="Y353" s="166">
        <f>VLOOKUP($M353,'1 b felosztások'!$A:$U,COLUMN('1 b felosztások'!N:N),0)*$I353</f>
        <v>0</v>
      </c>
      <c r="Z353" s="166">
        <f>VLOOKUP($M353,'1 b felosztások'!$A:$U,COLUMN('1 b felosztások'!O:O),0)*$I353</f>
        <v>0</v>
      </c>
      <c r="AA353" s="166">
        <f>VLOOKUP($M353,'1 b felosztások'!$A:$U,COLUMN('1 b felosztások'!P:P),0)*$I353</f>
        <v>0</v>
      </c>
      <c r="AB353" s="166">
        <f>VLOOKUP($M353,'1 b felosztások'!$A:$U,COLUMN('1 b felosztások'!Q:Q),0)*$I353</f>
        <v>0</v>
      </c>
      <c r="AC353" s="166"/>
      <c r="AD353" s="166"/>
      <c r="AE353" s="166"/>
      <c r="AF353" s="166"/>
      <c r="AG353" s="166"/>
      <c r="AH353" s="166"/>
      <c r="AI353" s="166"/>
      <c r="AJ353" s="166"/>
      <c r="AK353" s="166"/>
      <c r="AL353" s="166"/>
      <c r="AM353" s="166"/>
      <c r="AN353" s="166"/>
      <c r="AO353" s="166"/>
      <c r="AP353" s="166"/>
      <c r="AQ353" s="166"/>
      <c r="AR353" s="166"/>
      <c r="AS353" s="166"/>
      <c r="AT353" s="166"/>
      <c r="AU353" s="166"/>
      <c r="AV353" s="166"/>
      <c r="AW353" s="166"/>
      <c r="AX353" s="166"/>
      <c r="AY353" s="166"/>
      <c r="AZ353" s="186"/>
      <c r="BA353" s="186"/>
      <c r="BB353" s="186"/>
      <c r="BC353" s="186"/>
      <c r="BD353" s="186"/>
      <c r="BE353" s="186"/>
      <c r="BF353" s="186"/>
      <c r="BG353" s="186"/>
      <c r="BH353" s="186"/>
      <c r="BI353" s="183">
        <f t="shared" si="156"/>
        <v>0</v>
      </c>
      <c r="BJ353" s="183">
        <f t="shared" si="157"/>
        <v>0</v>
      </c>
      <c r="BK353" s="183">
        <f t="shared" si="158"/>
        <v>0</v>
      </c>
      <c r="BL353" s="183">
        <f t="shared" si="159"/>
        <v>0</v>
      </c>
    </row>
    <row r="354" spans="1:64" s="187" customFormat="1" ht="15.75" hidden="1" customHeight="1" outlineLevel="3" x14ac:dyDescent="0.3">
      <c r="A354" s="207" t="s">
        <v>65</v>
      </c>
      <c r="B354" s="207" t="s">
        <v>75</v>
      </c>
      <c r="C354" s="207" t="s">
        <v>83</v>
      </c>
      <c r="D354" s="207"/>
      <c r="E354" s="207" t="s">
        <v>75</v>
      </c>
      <c r="F354" s="207" t="s">
        <v>2790</v>
      </c>
      <c r="G354" s="212"/>
      <c r="H354" s="224"/>
      <c r="I354" s="225">
        <f>IFERROR(VLOOKUP($A354,'Kiadások 2a SZH 2022'!$A:$M,MATCH($I$1,'Kiadások 2a SZH 2022'!$A$1:$M$1,0),0), )</f>
        <v>0</v>
      </c>
      <c r="J354" s="181"/>
      <c r="K354" s="166"/>
      <c r="L354" s="166"/>
      <c r="M354" s="190"/>
      <c r="N354" s="166"/>
      <c r="O354" s="166"/>
      <c r="P354" s="166"/>
      <c r="Q354" s="166"/>
      <c r="R354" s="166"/>
      <c r="S354" s="166"/>
      <c r="T354" s="166"/>
      <c r="U354" s="166"/>
      <c r="V354" s="166"/>
      <c r="W354" s="166"/>
      <c r="X354" s="166"/>
      <c r="Y354" s="166"/>
      <c r="Z354" s="166"/>
      <c r="AA354" s="166"/>
      <c r="AB354" s="166"/>
      <c r="AC354" s="166"/>
      <c r="AD354" s="166"/>
      <c r="AE354" s="166"/>
      <c r="AF354" s="166"/>
      <c r="AG354" s="166"/>
      <c r="AH354" s="166"/>
      <c r="AI354" s="166"/>
      <c r="AJ354" s="166"/>
      <c r="AK354" s="166"/>
      <c r="AL354" s="166"/>
      <c r="AM354" s="166"/>
      <c r="AN354" s="166"/>
      <c r="AO354" s="166"/>
      <c r="AP354" s="166"/>
      <c r="AQ354" s="166"/>
      <c r="AR354" s="166"/>
      <c r="AS354" s="166"/>
      <c r="AT354" s="166"/>
      <c r="AU354" s="166"/>
      <c r="AV354" s="166"/>
      <c r="AW354" s="166"/>
      <c r="AX354" s="166"/>
      <c r="AY354" s="166"/>
      <c r="AZ354" s="186"/>
      <c r="BA354" s="186"/>
      <c r="BB354" s="186"/>
      <c r="BC354" s="186"/>
      <c r="BD354" s="186"/>
      <c r="BE354" s="186"/>
      <c r="BF354" s="186"/>
      <c r="BG354" s="186"/>
      <c r="BH354" s="186"/>
      <c r="BI354" s="183">
        <f t="shared" si="156"/>
        <v>0</v>
      </c>
      <c r="BJ354" s="183">
        <f t="shared" si="157"/>
        <v>0</v>
      </c>
      <c r="BK354" s="183">
        <f t="shared" si="158"/>
        <v>0</v>
      </c>
      <c r="BL354" s="183">
        <f t="shared" si="159"/>
        <v>0</v>
      </c>
    </row>
    <row r="355" spans="1:64" s="184" customFormat="1" hidden="1" outlineLevel="2" x14ac:dyDescent="0.3">
      <c r="A355" s="180" t="s">
        <v>66</v>
      </c>
      <c r="B355" s="180"/>
      <c r="C355" s="180"/>
      <c r="D355" s="180"/>
      <c r="E355" s="350" t="s">
        <v>3440</v>
      </c>
      <c r="F355" s="180" t="s">
        <v>2790</v>
      </c>
      <c r="G355" s="185"/>
      <c r="H355" s="180" t="s">
        <v>2707</v>
      </c>
      <c r="I355" s="181">
        <f>IFERROR(VLOOKUP($A355,'Kiadások 2a SZH 2022'!$A:$M,MATCH($I$1,'Kiadások 2a SZH 2022'!$A$1:$M$1,0),0), )</f>
        <v>14607068.427306892</v>
      </c>
      <c r="J355" s="181">
        <f>SUM(N355:AM355)-0.4</f>
        <v>14607068.732306892</v>
      </c>
      <c r="K355" s="166">
        <f>+I355-J355</f>
        <v>-0.30499999970197678</v>
      </c>
      <c r="L355" s="166">
        <f t="shared" ref="L355:L386" si="167">SUM(N355:BH355)</f>
        <v>14607069.132306892</v>
      </c>
      <c r="M355" s="182"/>
      <c r="N355" s="181"/>
      <c r="O355" s="181"/>
      <c r="P355" s="181"/>
      <c r="Q355" s="181"/>
      <c r="R355" s="181"/>
      <c r="S355" s="181"/>
      <c r="T355" s="181"/>
      <c r="U355" s="181"/>
      <c r="V355" s="181"/>
      <c r="W355" s="181"/>
      <c r="X355" s="181"/>
      <c r="Y355" s="181"/>
      <c r="Z355" s="181"/>
      <c r="AA355" s="181"/>
      <c r="AB355" s="181"/>
      <c r="AC355" s="181"/>
      <c r="AD355" s="181"/>
      <c r="AE355" s="181"/>
      <c r="AF355" s="181">
        <f>+AF356+AF359</f>
        <v>14607069.132306892</v>
      </c>
      <c r="AG355" s="181"/>
      <c r="AH355" s="181"/>
      <c r="AI355" s="181"/>
      <c r="AJ355" s="181"/>
      <c r="AK355" s="181"/>
      <c r="AL355" s="181"/>
      <c r="AM355" s="181"/>
      <c r="AN355" s="181"/>
      <c r="AO355" s="181"/>
      <c r="AP355" s="181"/>
      <c r="AQ355" s="181"/>
      <c r="AR355" s="181"/>
      <c r="AS355" s="181"/>
      <c r="AT355" s="181"/>
      <c r="AU355" s="181"/>
      <c r="AV355" s="181"/>
      <c r="AW355" s="181"/>
      <c r="AX355" s="181"/>
      <c r="AY355" s="181"/>
      <c r="AZ355" s="183"/>
      <c r="BA355" s="183"/>
      <c r="BB355" s="183"/>
      <c r="BC355" s="183"/>
      <c r="BD355" s="183"/>
      <c r="BE355" s="183"/>
      <c r="BF355" s="183"/>
      <c r="BG355" s="183"/>
      <c r="BH355" s="183"/>
      <c r="BI355" s="183">
        <f t="shared" si="156"/>
        <v>0</v>
      </c>
      <c r="BJ355" s="183">
        <f t="shared" si="157"/>
        <v>0</v>
      </c>
      <c r="BK355" s="183">
        <f t="shared" si="158"/>
        <v>14607069.132306892</v>
      </c>
      <c r="BL355" s="183">
        <f t="shared" si="159"/>
        <v>0</v>
      </c>
    </row>
    <row r="356" spans="1:64" s="187" customFormat="1" ht="15.75" hidden="1" customHeight="1" outlineLevel="3" x14ac:dyDescent="0.3">
      <c r="A356" s="180"/>
      <c r="B356" s="180"/>
      <c r="C356" s="180"/>
      <c r="D356" s="180"/>
      <c r="E356" s="180" t="s">
        <v>2819</v>
      </c>
      <c r="F356" s="180" t="s">
        <v>86</v>
      </c>
      <c r="G356" s="185"/>
      <c r="H356" s="180" t="s">
        <v>2679</v>
      </c>
      <c r="I356" s="181">
        <f>I180+I129+I138</f>
        <v>502591.745</v>
      </c>
      <c r="J356" s="181">
        <f t="shared" ref="J356:J386" si="168">SUM(N356:AM356)</f>
        <v>502592</v>
      </c>
      <c r="K356" s="166">
        <f>+I356-J356</f>
        <v>-0.25500000000465661</v>
      </c>
      <c r="L356" s="166">
        <f t="shared" si="167"/>
        <v>502592</v>
      </c>
      <c r="M356" s="182"/>
      <c r="N356" s="166"/>
      <c r="O356" s="166"/>
      <c r="P356" s="166"/>
      <c r="Q356" s="166"/>
      <c r="R356" s="166"/>
      <c r="S356" s="166"/>
      <c r="T356" s="166"/>
      <c r="U356" s="166"/>
      <c r="V356" s="166"/>
      <c r="W356" s="166"/>
      <c r="X356" s="166"/>
      <c r="Y356" s="166"/>
      <c r="Z356" s="166"/>
      <c r="AA356" s="166"/>
      <c r="AB356" s="166"/>
      <c r="AC356" s="166"/>
      <c r="AD356" s="166"/>
      <c r="AE356" s="166"/>
      <c r="AF356" s="181">
        <f>SUM(AF357:AF358)</f>
        <v>502592</v>
      </c>
      <c r="AG356" s="166"/>
      <c r="AH356" s="166"/>
      <c r="AI356" s="166"/>
      <c r="AJ356" s="166"/>
      <c r="AK356" s="166"/>
      <c r="AL356" s="166"/>
      <c r="AM356" s="166"/>
      <c r="AN356" s="166"/>
      <c r="AO356" s="166"/>
      <c r="AP356" s="166"/>
      <c r="AQ356" s="166"/>
      <c r="AR356" s="166"/>
      <c r="AS356" s="166"/>
      <c r="AT356" s="166"/>
      <c r="AU356" s="166"/>
      <c r="AV356" s="166"/>
      <c r="AW356" s="166"/>
      <c r="AX356" s="166"/>
      <c r="AY356" s="166"/>
      <c r="AZ356" s="186"/>
      <c r="BA356" s="186"/>
      <c r="BB356" s="186"/>
      <c r="BC356" s="186"/>
      <c r="BD356" s="186"/>
      <c r="BE356" s="186"/>
      <c r="BF356" s="186"/>
      <c r="BG356" s="186"/>
      <c r="BH356" s="186"/>
      <c r="BI356" s="183">
        <f t="shared" si="156"/>
        <v>0</v>
      </c>
      <c r="BJ356" s="183">
        <f t="shared" si="157"/>
        <v>0</v>
      </c>
      <c r="BK356" s="183">
        <f t="shared" si="158"/>
        <v>502592</v>
      </c>
      <c r="BL356" s="183">
        <f t="shared" si="159"/>
        <v>0</v>
      </c>
    </row>
    <row r="357" spans="1:64" s="187" customFormat="1" ht="15.75" hidden="1" customHeight="1" outlineLevel="3" x14ac:dyDescent="0.3">
      <c r="A357" s="180"/>
      <c r="B357" s="180" t="s">
        <v>2681</v>
      </c>
      <c r="C357" s="180" t="s">
        <v>83</v>
      </c>
      <c r="D357" s="180" t="s">
        <v>2951</v>
      </c>
      <c r="E357" s="180" t="s">
        <v>2820</v>
      </c>
      <c r="F357" s="180"/>
      <c r="G357" s="185"/>
      <c r="H357" s="180"/>
      <c r="I357" s="196">
        <f>J357</f>
        <v>0</v>
      </c>
      <c r="J357" s="181">
        <f t="shared" si="168"/>
        <v>0</v>
      </c>
      <c r="K357" s="166">
        <f>+I357-J357</f>
        <v>0</v>
      </c>
      <c r="L357" s="166">
        <f t="shared" si="167"/>
        <v>0</v>
      </c>
      <c r="M357" s="182"/>
      <c r="N357" s="166"/>
      <c r="O357" s="166"/>
      <c r="P357" s="166"/>
      <c r="Q357" s="166"/>
      <c r="R357" s="166"/>
      <c r="S357" s="166"/>
      <c r="T357" s="166"/>
      <c r="U357" s="166"/>
      <c r="V357" s="166"/>
      <c r="W357" s="166"/>
      <c r="X357" s="166"/>
      <c r="Y357" s="166"/>
      <c r="Z357" s="166"/>
      <c r="AA357" s="166"/>
      <c r="AB357" s="166"/>
      <c r="AC357" s="166"/>
      <c r="AD357" s="166"/>
      <c r="AE357" s="166"/>
      <c r="AF357" s="166">
        <v>0</v>
      </c>
      <c r="AG357" s="166"/>
      <c r="AH357" s="166"/>
      <c r="AI357" s="166"/>
      <c r="AJ357" s="166"/>
      <c r="AK357" s="166"/>
      <c r="AL357" s="166"/>
      <c r="AM357" s="166"/>
      <c r="AN357" s="166"/>
      <c r="AO357" s="166"/>
      <c r="AP357" s="166"/>
      <c r="AQ357" s="166"/>
      <c r="AR357" s="166"/>
      <c r="AS357" s="166"/>
      <c r="AT357" s="166"/>
      <c r="AU357" s="166"/>
      <c r="AV357" s="166"/>
      <c r="AW357" s="166"/>
      <c r="AX357" s="166"/>
      <c r="AY357" s="166"/>
      <c r="AZ357" s="186"/>
      <c r="BA357" s="186"/>
      <c r="BB357" s="186"/>
      <c r="BC357" s="186"/>
      <c r="BD357" s="186"/>
      <c r="BE357" s="186"/>
      <c r="BF357" s="186"/>
      <c r="BG357" s="186"/>
      <c r="BH357" s="186"/>
      <c r="BI357" s="183">
        <f t="shared" si="156"/>
        <v>0</v>
      </c>
      <c r="BJ357" s="183">
        <f t="shared" si="157"/>
        <v>0</v>
      </c>
      <c r="BK357" s="183">
        <f t="shared" si="158"/>
        <v>0</v>
      </c>
      <c r="BL357" s="183">
        <f t="shared" si="159"/>
        <v>0</v>
      </c>
    </row>
    <row r="358" spans="1:64" s="187" customFormat="1" ht="15.75" hidden="1" customHeight="1" outlineLevel="3" x14ac:dyDescent="0.3">
      <c r="A358" s="180"/>
      <c r="B358" s="180" t="s">
        <v>2804</v>
      </c>
      <c r="C358" s="180" t="s">
        <v>83</v>
      </c>
      <c r="D358" s="180" t="s">
        <v>2952</v>
      </c>
      <c r="E358" s="180" t="s">
        <v>2821</v>
      </c>
      <c r="F358" s="180"/>
      <c r="G358" s="185"/>
      <c r="H358" s="180"/>
      <c r="I358" s="196">
        <f>+I356</f>
        <v>502591.745</v>
      </c>
      <c r="J358" s="181">
        <f t="shared" si="168"/>
        <v>502592</v>
      </c>
      <c r="K358" s="166">
        <f>+I358-J358</f>
        <v>-0.25500000000465661</v>
      </c>
      <c r="L358" s="166">
        <f t="shared" si="167"/>
        <v>502592</v>
      </c>
      <c r="M358" s="182"/>
      <c r="N358" s="166"/>
      <c r="O358" s="166"/>
      <c r="P358" s="166"/>
      <c r="Q358" s="166"/>
      <c r="R358" s="166"/>
      <c r="S358" s="166"/>
      <c r="T358" s="166"/>
      <c r="U358" s="166"/>
      <c r="V358" s="166"/>
      <c r="W358" s="166"/>
      <c r="X358" s="166"/>
      <c r="Y358" s="166"/>
      <c r="Z358" s="166"/>
      <c r="AA358" s="166"/>
      <c r="AB358" s="166"/>
      <c r="AC358" s="166"/>
      <c r="AD358" s="166"/>
      <c r="AE358" s="166"/>
      <c r="AF358" s="166">
        <f>482684+19908</f>
        <v>502592</v>
      </c>
      <c r="AG358" s="166"/>
      <c r="AH358" s="166"/>
      <c r="AI358" s="166"/>
      <c r="AJ358" s="166"/>
      <c r="AK358" s="166"/>
      <c r="AL358" s="166"/>
      <c r="AM358" s="166"/>
      <c r="AN358" s="166"/>
      <c r="AO358" s="166"/>
      <c r="AP358" s="166"/>
      <c r="AQ358" s="166"/>
      <c r="AR358" s="166"/>
      <c r="AS358" s="166"/>
      <c r="AT358" s="166"/>
      <c r="AU358" s="166"/>
      <c r="AV358" s="166"/>
      <c r="AW358" s="166"/>
      <c r="AX358" s="166"/>
      <c r="AY358" s="166"/>
      <c r="AZ358" s="186"/>
      <c r="BA358" s="186"/>
      <c r="BB358" s="186"/>
      <c r="BC358" s="186"/>
      <c r="BD358" s="186"/>
      <c r="BE358" s="186"/>
      <c r="BF358" s="186"/>
      <c r="BG358" s="186"/>
      <c r="BH358" s="186"/>
      <c r="BI358" s="183">
        <f t="shared" si="156"/>
        <v>0</v>
      </c>
      <c r="BJ358" s="183">
        <f t="shared" si="157"/>
        <v>0</v>
      </c>
      <c r="BK358" s="183">
        <f t="shared" si="158"/>
        <v>502592</v>
      </c>
      <c r="BL358" s="183">
        <f t="shared" si="159"/>
        <v>0</v>
      </c>
    </row>
    <row r="359" spans="1:64" s="187" customFormat="1" ht="15.75" hidden="1" customHeight="1" outlineLevel="3" x14ac:dyDescent="0.3">
      <c r="A359" s="180"/>
      <c r="B359" s="180"/>
      <c r="C359" s="180"/>
      <c r="D359" s="180"/>
      <c r="E359" s="180" t="s">
        <v>2805</v>
      </c>
      <c r="F359" s="180" t="s">
        <v>83</v>
      </c>
      <c r="G359" s="185"/>
      <c r="H359" s="185" t="s">
        <v>2707</v>
      </c>
      <c r="I359" s="181">
        <f>+SUM(I360:I477)</f>
        <v>14104476.980884142</v>
      </c>
      <c r="J359" s="181">
        <f t="shared" si="168"/>
        <v>14104477.132306892</v>
      </c>
      <c r="K359" s="166">
        <f t="shared" si="153"/>
        <v>-0.15142275020480156</v>
      </c>
      <c r="L359" s="166">
        <f t="shared" si="167"/>
        <v>14104477.132306892</v>
      </c>
      <c r="M359" s="182"/>
      <c r="N359" s="166"/>
      <c r="O359" s="166"/>
      <c r="P359" s="166"/>
      <c r="Q359" s="166"/>
      <c r="R359" s="166"/>
      <c r="S359" s="166"/>
      <c r="T359" s="166"/>
      <c r="U359" s="166"/>
      <c r="V359" s="166"/>
      <c r="W359" s="166"/>
      <c r="X359" s="166"/>
      <c r="Y359" s="166"/>
      <c r="Z359" s="166"/>
      <c r="AA359" s="166"/>
      <c r="AB359" s="166"/>
      <c r="AC359" s="181"/>
      <c r="AD359" s="181"/>
      <c r="AE359" s="181"/>
      <c r="AF359" s="181">
        <f>SUM(AF360:AF477)</f>
        <v>14104477.132306892</v>
      </c>
      <c r="AG359" s="181"/>
      <c r="AH359" s="181"/>
      <c r="AI359" s="166"/>
      <c r="AJ359" s="166"/>
      <c r="AK359" s="166"/>
      <c r="AL359" s="166"/>
      <c r="AM359" s="166"/>
      <c r="AN359" s="166"/>
      <c r="AO359" s="166"/>
      <c r="AP359" s="166"/>
      <c r="AQ359" s="166"/>
      <c r="AR359" s="166"/>
      <c r="AS359" s="166"/>
      <c r="AT359" s="166"/>
      <c r="AU359" s="166"/>
      <c r="AV359" s="166"/>
      <c r="AW359" s="166"/>
      <c r="AX359" s="166"/>
      <c r="AY359" s="166"/>
      <c r="AZ359" s="186"/>
      <c r="BA359" s="186"/>
      <c r="BB359" s="186"/>
      <c r="BC359" s="186"/>
      <c r="BD359" s="186"/>
      <c r="BE359" s="186"/>
      <c r="BF359" s="186"/>
      <c r="BG359" s="186"/>
      <c r="BH359" s="186"/>
      <c r="BI359" s="183">
        <f t="shared" si="156"/>
        <v>0</v>
      </c>
      <c r="BJ359" s="183">
        <f t="shared" si="157"/>
        <v>0</v>
      </c>
      <c r="BK359" s="183">
        <f t="shared" si="158"/>
        <v>14104477.132306892</v>
      </c>
      <c r="BL359" s="183">
        <f t="shared" si="159"/>
        <v>0</v>
      </c>
    </row>
    <row r="360" spans="1:64" s="187" customFormat="1" ht="15.75" hidden="1" customHeight="1" outlineLevel="3" x14ac:dyDescent="0.3">
      <c r="A360" s="180"/>
      <c r="B360" s="180" t="s">
        <v>2681</v>
      </c>
      <c r="C360" s="180" t="s">
        <v>83</v>
      </c>
      <c r="D360" s="180" t="s">
        <v>2951</v>
      </c>
      <c r="E360" s="180" t="s">
        <v>2823</v>
      </c>
      <c r="F360" s="180"/>
      <c r="G360" s="185"/>
      <c r="H360" s="180" t="s">
        <v>2710</v>
      </c>
      <c r="I360" s="196"/>
      <c r="J360" s="181">
        <f t="shared" si="168"/>
        <v>0</v>
      </c>
      <c r="K360" s="166">
        <f>+I360-J360</f>
        <v>0</v>
      </c>
      <c r="L360" s="166">
        <f t="shared" si="167"/>
        <v>0</v>
      </c>
      <c r="M360" s="182"/>
      <c r="N360" s="166"/>
      <c r="O360" s="166"/>
      <c r="P360" s="166"/>
      <c r="Q360" s="166"/>
      <c r="R360" s="166"/>
      <c r="S360" s="166"/>
      <c r="T360" s="166"/>
      <c r="U360" s="166"/>
      <c r="V360" s="166"/>
      <c r="W360" s="166"/>
      <c r="X360" s="166"/>
      <c r="Y360" s="166"/>
      <c r="Z360" s="181"/>
      <c r="AA360" s="181"/>
      <c r="AB360" s="181"/>
      <c r="AC360" s="181"/>
      <c r="AD360" s="181"/>
      <c r="AE360" s="181"/>
      <c r="AF360" s="181"/>
      <c r="AG360" s="181"/>
      <c r="AH360" s="181"/>
      <c r="AI360" s="181"/>
      <c r="AJ360" s="181"/>
      <c r="AK360" s="181"/>
      <c r="AL360" s="181"/>
      <c r="AM360" s="181"/>
      <c r="AN360" s="166"/>
      <c r="AO360" s="166"/>
      <c r="AP360" s="166"/>
      <c r="AQ360" s="166"/>
      <c r="AR360" s="166"/>
      <c r="AS360" s="166"/>
      <c r="AT360" s="166"/>
      <c r="AU360" s="166"/>
      <c r="AV360" s="166"/>
      <c r="AW360" s="166"/>
      <c r="AX360" s="166"/>
      <c r="AY360" s="166"/>
      <c r="AZ360" s="186"/>
      <c r="BA360" s="186"/>
      <c r="BB360" s="186"/>
      <c r="BC360" s="186"/>
      <c r="BD360" s="186"/>
      <c r="BE360" s="186"/>
      <c r="BF360" s="186"/>
      <c r="BG360" s="186"/>
      <c r="BH360" s="186"/>
      <c r="BI360" s="183">
        <f t="shared" si="156"/>
        <v>0</v>
      </c>
      <c r="BJ360" s="183">
        <f t="shared" si="157"/>
        <v>0</v>
      </c>
      <c r="BK360" s="183">
        <f t="shared" si="158"/>
        <v>0</v>
      </c>
      <c r="BL360" s="183">
        <f t="shared" si="159"/>
        <v>0</v>
      </c>
    </row>
    <row r="361" spans="1:64" s="187" customFormat="1" ht="15.75" hidden="1" customHeight="1" outlineLevel="3" x14ac:dyDescent="0.3">
      <c r="A361" s="185"/>
      <c r="B361" s="180" t="s">
        <v>2681</v>
      </c>
      <c r="C361" s="180" t="s">
        <v>83</v>
      </c>
      <c r="D361" s="180" t="s">
        <v>2951</v>
      </c>
      <c r="E361" s="185" t="s">
        <v>2681</v>
      </c>
      <c r="F361" s="185" t="s">
        <v>3363</v>
      </c>
      <c r="G361" s="185">
        <v>14</v>
      </c>
      <c r="H361" s="185" t="str">
        <f>IFERROR(VLOOKUP(G361,'2022. tervsor'!C:D,2,0)," ")</f>
        <v>Oktatók alapilletményei</v>
      </c>
      <c r="I361" s="181">
        <f>+J361</f>
        <v>0</v>
      </c>
      <c r="J361" s="181">
        <f t="shared" si="168"/>
        <v>0</v>
      </c>
      <c r="K361" s="166">
        <f t="shared" si="153"/>
        <v>0</v>
      </c>
      <c r="L361" s="166">
        <f t="shared" si="167"/>
        <v>0</v>
      </c>
      <c r="M361" s="182"/>
      <c r="N361" s="166"/>
      <c r="O361" s="166"/>
      <c r="P361" s="166"/>
      <c r="Q361" s="166"/>
      <c r="R361" s="166"/>
      <c r="S361" s="166"/>
      <c r="T361" s="166"/>
      <c r="U361" s="166"/>
      <c r="V361" s="166"/>
      <c r="W361" s="166"/>
      <c r="X361" s="166"/>
      <c r="Y361" s="166"/>
      <c r="Z361" s="166"/>
      <c r="AA361" s="166"/>
      <c r="AB361" s="166"/>
      <c r="AC361" s="181"/>
      <c r="AD361" s="181"/>
      <c r="AE361" s="181"/>
      <c r="AF361" s="166"/>
      <c r="AG361" s="181"/>
      <c r="AH361" s="181"/>
      <c r="AI361" s="166"/>
      <c r="AJ361" s="166"/>
      <c r="AK361" s="166"/>
      <c r="AL361" s="166"/>
      <c r="AM361" s="166"/>
      <c r="AN361" s="166"/>
      <c r="AO361" s="166"/>
      <c r="AP361" s="166"/>
      <c r="AQ361" s="166"/>
      <c r="AR361" s="166"/>
      <c r="AS361" s="166"/>
      <c r="AT361" s="166"/>
      <c r="AU361" s="166"/>
      <c r="AV361" s="166"/>
      <c r="AW361" s="166"/>
      <c r="AX361" s="166"/>
      <c r="AY361" s="166"/>
      <c r="AZ361" s="186"/>
      <c r="BA361" s="186"/>
      <c r="BB361" s="186"/>
      <c r="BC361" s="186"/>
      <c r="BD361" s="186"/>
      <c r="BE361" s="186"/>
      <c r="BF361" s="186"/>
      <c r="BG361" s="186"/>
      <c r="BH361" s="186"/>
      <c r="BI361" s="183">
        <f t="shared" si="156"/>
        <v>0</v>
      </c>
      <c r="BJ361" s="183">
        <f t="shared" si="157"/>
        <v>0</v>
      </c>
      <c r="BK361" s="183">
        <f t="shared" si="158"/>
        <v>0</v>
      </c>
      <c r="BL361" s="183">
        <f t="shared" si="159"/>
        <v>0</v>
      </c>
    </row>
    <row r="362" spans="1:64" s="187" customFormat="1" ht="15.75" hidden="1" customHeight="1" outlineLevel="3" x14ac:dyDescent="0.3">
      <c r="A362" s="185"/>
      <c r="B362" s="180" t="s">
        <v>2681</v>
      </c>
      <c r="C362" s="180" t="s">
        <v>83</v>
      </c>
      <c r="D362" s="180" t="s">
        <v>2951</v>
      </c>
      <c r="E362" s="185" t="s">
        <v>2681</v>
      </c>
      <c r="F362" s="185" t="s">
        <v>3363</v>
      </c>
      <c r="G362" s="185">
        <v>15</v>
      </c>
      <c r="H362" s="185" t="str">
        <f>IFERROR(VLOOKUP(G362,'2022. tervsor'!C:D,2,0)," ")</f>
        <v>Kutatók alapilletményei</v>
      </c>
      <c r="I362" s="181">
        <f t="shared" ref="I362:I409" si="169">+J362</f>
        <v>0</v>
      </c>
      <c r="J362" s="181">
        <f t="shared" si="168"/>
        <v>0</v>
      </c>
      <c r="K362" s="166">
        <f t="shared" si="153"/>
        <v>0</v>
      </c>
      <c r="L362" s="166">
        <f t="shared" si="167"/>
        <v>0</v>
      </c>
      <c r="M362" s="182"/>
      <c r="N362" s="166"/>
      <c r="O362" s="166"/>
      <c r="P362" s="166"/>
      <c r="Q362" s="166"/>
      <c r="R362" s="166"/>
      <c r="S362" s="166"/>
      <c r="T362" s="166"/>
      <c r="U362" s="166"/>
      <c r="V362" s="166"/>
      <c r="W362" s="166"/>
      <c r="X362" s="166"/>
      <c r="Y362" s="166"/>
      <c r="Z362" s="166"/>
      <c r="AA362" s="166"/>
      <c r="AB362" s="166"/>
      <c r="AC362" s="181"/>
      <c r="AD362" s="181"/>
      <c r="AE362" s="181"/>
      <c r="AF362" s="181"/>
      <c r="AG362" s="181"/>
      <c r="AH362" s="181"/>
      <c r="AI362" s="166"/>
      <c r="AJ362" s="166"/>
      <c r="AK362" s="166"/>
      <c r="AL362" s="166"/>
      <c r="AM362" s="166"/>
      <c r="AN362" s="166"/>
      <c r="AO362" s="166"/>
      <c r="AP362" s="166"/>
      <c r="AQ362" s="166"/>
      <c r="AR362" s="166"/>
      <c r="AS362" s="166"/>
      <c r="AT362" s="166"/>
      <c r="AU362" s="166"/>
      <c r="AV362" s="166"/>
      <c r="AW362" s="166"/>
      <c r="AX362" s="166"/>
      <c r="AY362" s="166"/>
      <c r="AZ362" s="186"/>
      <c r="BA362" s="186"/>
      <c r="BB362" s="186"/>
      <c r="BC362" s="186"/>
      <c r="BD362" s="186"/>
      <c r="BE362" s="186"/>
      <c r="BF362" s="186"/>
      <c r="BG362" s="186"/>
      <c r="BH362" s="186"/>
      <c r="BI362" s="183">
        <f t="shared" si="156"/>
        <v>0</v>
      </c>
      <c r="BJ362" s="183">
        <f t="shared" si="157"/>
        <v>0</v>
      </c>
      <c r="BK362" s="183">
        <f t="shared" si="158"/>
        <v>0</v>
      </c>
      <c r="BL362" s="183">
        <f t="shared" si="159"/>
        <v>0</v>
      </c>
    </row>
    <row r="363" spans="1:64" s="187" customFormat="1" ht="15.75" hidden="1" customHeight="1" outlineLevel="3" x14ac:dyDescent="0.3">
      <c r="A363" s="185"/>
      <c r="B363" s="180" t="s">
        <v>2681</v>
      </c>
      <c r="C363" s="180" t="s">
        <v>83</v>
      </c>
      <c r="D363" s="180" t="s">
        <v>2951</v>
      </c>
      <c r="E363" s="185" t="s">
        <v>2681</v>
      </c>
      <c r="F363" s="185" t="s">
        <v>3363</v>
      </c>
      <c r="G363" s="185">
        <v>16</v>
      </c>
      <c r="H363" s="185" t="str">
        <f>IFERROR(VLOOKUP(G363,'2022. tervsor'!C:D,2,0)," ")</f>
        <v>Működést támogató közalkalmazottak alapilletményei</v>
      </c>
      <c r="I363" s="181">
        <f t="shared" si="169"/>
        <v>0</v>
      </c>
      <c r="J363" s="181">
        <f t="shared" si="168"/>
        <v>0</v>
      </c>
      <c r="K363" s="166">
        <f t="shared" si="153"/>
        <v>0</v>
      </c>
      <c r="L363" s="166">
        <f t="shared" si="167"/>
        <v>0</v>
      </c>
      <c r="M363" s="182"/>
      <c r="N363" s="166"/>
      <c r="O363" s="166"/>
      <c r="P363" s="166"/>
      <c r="Q363" s="166"/>
      <c r="R363" s="166"/>
      <c r="S363" s="166"/>
      <c r="T363" s="166"/>
      <c r="U363" s="166"/>
      <c r="V363" s="166"/>
      <c r="W363" s="166"/>
      <c r="X363" s="166"/>
      <c r="Y363" s="166"/>
      <c r="Z363" s="166"/>
      <c r="AA363" s="166"/>
      <c r="AB363" s="166"/>
      <c r="AC363" s="181"/>
      <c r="AD363" s="181"/>
      <c r="AE363" s="181"/>
      <c r="AF363" s="181"/>
      <c r="AG363" s="181"/>
      <c r="AH363" s="181"/>
      <c r="AI363" s="166"/>
      <c r="AJ363" s="166"/>
      <c r="AK363" s="166"/>
      <c r="AL363" s="166"/>
      <c r="AM363" s="166"/>
      <c r="AN363" s="166"/>
      <c r="AO363" s="166"/>
      <c r="AP363" s="166"/>
      <c r="AQ363" s="166"/>
      <c r="AR363" s="166"/>
      <c r="AS363" s="166"/>
      <c r="AT363" s="166"/>
      <c r="AU363" s="166"/>
      <c r="AV363" s="166"/>
      <c r="AW363" s="166"/>
      <c r="AX363" s="166"/>
      <c r="AY363" s="166"/>
      <c r="AZ363" s="186"/>
      <c r="BA363" s="186"/>
      <c r="BB363" s="186"/>
      <c r="BC363" s="186"/>
      <c r="BD363" s="186"/>
      <c r="BE363" s="186"/>
      <c r="BF363" s="186"/>
      <c r="BG363" s="186"/>
      <c r="BH363" s="186"/>
      <c r="BI363" s="183">
        <f t="shared" si="156"/>
        <v>0</v>
      </c>
      <c r="BJ363" s="183">
        <f t="shared" si="157"/>
        <v>0</v>
      </c>
      <c r="BK363" s="183">
        <f t="shared" si="158"/>
        <v>0</v>
      </c>
      <c r="BL363" s="183">
        <f t="shared" si="159"/>
        <v>0</v>
      </c>
    </row>
    <row r="364" spans="1:64" s="187" customFormat="1" ht="15.75" hidden="1" customHeight="1" outlineLevel="3" x14ac:dyDescent="0.3">
      <c r="A364" s="185"/>
      <c r="B364" s="180" t="s">
        <v>2681</v>
      </c>
      <c r="C364" s="180" t="s">
        <v>83</v>
      </c>
      <c r="D364" s="180" t="s">
        <v>2951</v>
      </c>
      <c r="E364" s="185" t="s">
        <v>2681</v>
      </c>
      <c r="F364" s="185" t="s">
        <v>3363</v>
      </c>
      <c r="G364" s="185">
        <v>17</v>
      </c>
      <c r="H364" s="185" t="str">
        <f>IFERROR(VLOOKUP(G364,'2022. tervsor'!C:D,2,0)," ")</f>
        <v>ALAPILLETMÉNY ÖSSZESEN</v>
      </c>
      <c r="I364" s="181">
        <f t="shared" si="169"/>
        <v>0</v>
      </c>
      <c r="J364" s="181">
        <f t="shared" si="168"/>
        <v>0</v>
      </c>
      <c r="K364" s="166">
        <f t="shared" si="153"/>
        <v>0</v>
      </c>
      <c r="L364" s="166">
        <f t="shared" si="167"/>
        <v>0</v>
      </c>
      <c r="M364" s="182"/>
      <c r="N364" s="166"/>
      <c r="O364" s="166"/>
      <c r="P364" s="166"/>
      <c r="Q364" s="166"/>
      <c r="R364" s="166"/>
      <c r="S364" s="166"/>
      <c r="T364" s="166"/>
      <c r="U364" s="166"/>
      <c r="V364" s="166"/>
      <c r="W364" s="166"/>
      <c r="X364" s="166"/>
      <c r="Y364" s="166"/>
      <c r="Z364" s="166"/>
      <c r="AA364" s="166"/>
      <c r="AB364" s="166"/>
      <c r="AC364" s="181"/>
      <c r="AD364" s="181"/>
      <c r="AE364" s="181"/>
      <c r="AF364" s="181"/>
      <c r="AG364" s="181"/>
      <c r="AH364" s="181"/>
      <c r="AI364" s="166"/>
      <c r="AJ364" s="166"/>
      <c r="AK364" s="166"/>
      <c r="AL364" s="166"/>
      <c r="AM364" s="166"/>
      <c r="AN364" s="166"/>
      <c r="AO364" s="166"/>
      <c r="AP364" s="166"/>
      <c r="AQ364" s="166"/>
      <c r="AR364" s="166"/>
      <c r="AS364" s="166"/>
      <c r="AT364" s="166"/>
      <c r="AU364" s="166"/>
      <c r="AV364" s="166"/>
      <c r="AW364" s="166"/>
      <c r="AX364" s="166"/>
      <c r="AY364" s="166"/>
      <c r="AZ364" s="186"/>
      <c r="BA364" s="186"/>
      <c r="BB364" s="186"/>
      <c r="BC364" s="186"/>
      <c r="BD364" s="186"/>
      <c r="BE364" s="186"/>
      <c r="BF364" s="186"/>
      <c r="BG364" s="186"/>
      <c r="BH364" s="186"/>
      <c r="BI364" s="183">
        <f t="shared" si="156"/>
        <v>0</v>
      </c>
      <c r="BJ364" s="183">
        <f t="shared" si="157"/>
        <v>0</v>
      </c>
      <c r="BK364" s="183">
        <f t="shared" si="158"/>
        <v>0</v>
      </c>
      <c r="BL364" s="183">
        <f t="shared" si="159"/>
        <v>0</v>
      </c>
    </row>
    <row r="365" spans="1:64" s="187" customFormat="1" ht="15.75" hidden="1" customHeight="1" outlineLevel="3" x14ac:dyDescent="0.3">
      <c r="A365" s="185"/>
      <c r="B365" s="180" t="s">
        <v>2681</v>
      </c>
      <c r="C365" s="180" t="s">
        <v>83</v>
      </c>
      <c r="D365" s="180" t="s">
        <v>2951</v>
      </c>
      <c r="E365" s="185" t="s">
        <v>2681</v>
      </c>
      <c r="F365" s="185" t="s">
        <v>3363</v>
      </c>
      <c r="G365" s="185">
        <v>18</v>
      </c>
      <c r="H365" s="185" t="str">
        <f>IFERROR(VLOOKUP(G365,'2022. tervsor'!C:D,2,0)," ")</f>
        <v>Illetménykiegészítés</v>
      </c>
      <c r="I365" s="181">
        <f t="shared" si="169"/>
        <v>0</v>
      </c>
      <c r="J365" s="181">
        <f t="shared" si="168"/>
        <v>0</v>
      </c>
      <c r="K365" s="166">
        <f t="shared" si="153"/>
        <v>0</v>
      </c>
      <c r="L365" s="166">
        <f t="shared" si="167"/>
        <v>0</v>
      </c>
      <c r="M365" s="182"/>
      <c r="N365" s="166"/>
      <c r="O365" s="166"/>
      <c r="P365" s="166"/>
      <c r="Q365" s="166"/>
      <c r="R365" s="166"/>
      <c r="S365" s="166"/>
      <c r="T365" s="166"/>
      <c r="U365" s="166"/>
      <c r="V365" s="166"/>
      <c r="W365" s="166"/>
      <c r="X365" s="166"/>
      <c r="Y365" s="166"/>
      <c r="Z365" s="166"/>
      <c r="AA365" s="166"/>
      <c r="AB365" s="166"/>
      <c r="AC365" s="181"/>
      <c r="AD365" s="181"/>
      <c r="AE365" s="181"/>
      <c r="AF365" s="166"/>
      <c r="AG365" s="181"/>
      <c r="AH365" s="181"/>
      <c r="AI365" s="166"/>
      <c r="AJ365" s="166"/>
      <c r="AK365" s="166"/>
      <c r="AL365" s="166"/>
      <c r="AM365" s="166"/>
      <c r="AN365" s="166"/>
      <c r="AO365" s="166"/>
      <c r="AP365" s="166"/>
      <c r="AQ365" s="166"/>
      <c r="AR365" s="166"/>
      <c r="AS365" s="166"/>
      <c r="AT365" s="166"/>
      <c r="AU365" s="166"/>
      <c r="AV365" s="166"/>
      <c r="AW365" s="166"/>
      <c r="AX365" s="166"/>
      <c r="AY365" s="166"/>
      <c r="AZ365" s="186"/>
      <c r="BA365" s="186"/>
      <c r="BB365" s="186"/>
      <c r="BC365" s="186"/>
      <c r="BD365" s="186"/>
      <c r="BE365" s="186"/>
      <c r="BF365" s="186"/>
      <c r="BG365" s="186"/>
      <c r="BH365" s="186"/>
      <c r="BI365" s="183">
        <f t="shared" si="156"/>
        <v>0</v>
      </c>
      <c r="BJ365" s="183">
        <f t="shared" si="157"/>
        <v>0</v>
      </c>
      <c r="BK365" s="183">
        <f t="shared" si="158"/>
        <v>0</v>
      </c>
      <c r="BL365" s="183">
        <f t="shared" si="159"/>
        <v>0</v>
      </c>
    </row>
    <row r="366" spans="1:64" s="187" customFormat="1" ht="15.75" hidden="1" customHeight="1" outlineLevel="3" x14ac:dyDescent="0.3">
      <c r="A366" s="185"/>
      <c r="B366" s="180" t="s">
        <v>2681</v>
      </c>
      <c r="C366" s="180" t="s">
        <v>83</v>
      </c>
      <c r="D366" s="180" t="s">
        <v>2951</v>
      </c>
      <c r="E366" s="185" t="s">
        <v>2681</v>
      </c>
      <c r="F366" s="185" t="s">
        <v>3363</v>
      </c>
      <c r="G366" s="185">
        <v>19</v>
      </c>
      <c r="H366" s="185" t="str">
        <f>IFERROR(VLOOKUP(G366,'2022. tervsor'!C:D,2,0)," ")</f>
        <v>Nyelvpótlék</v>
      </c>
      <c r="I366" s="181">
        <f t="shared" si="169"/>
        <v>0</v>
      </c>
      <c r="J366" s="181">
        <f t="shared" si="168"/>
        <v>0</v>
      </c>
      <c r="K366" s="166">
        <f t="shared" si="153"/>
        <v>0</v>
      </c>
      <c r="L366" s="166">
        <f t="shared" si="167"/>
        <v>0</v>
      </c>
      <c r="M366" s="182"/>
      <c r="N366" s="166"/>
      <c r="O366" s="166"/>
      <c r="P366" s="166"/>
      <c r="Q366" s="166"/>
      <c r="R366" s="166"/>
      <c r="S366" s="166"/>
      <c r="T366" s="166"/>
      <c r="U366" s="166"/>
      <c r="V366" s="166"/>
      <c r="W366" s="166"/>
      <c r="X366" s="166"/>
      <c r="Y366" s="166"/>
      <c r="Z366" s="166"/>
      <c r="AA366" s="166"/>
      <c r="AB366" s="166"/>
      <c r="AC366" s="181"/>
      <c r="AD366" s="181"/>
      <c r="AE366" s="181"/>
      <c r="AF366" s="181"/>
      <c r="AG366" s="181"/>
      <c r="AH366" s="181"/>
      <c r="AI366" s="166"/>
      <c r="AJ366" s="166"/>
      <c r="AK366" s="166"/>
      <c r="AL366" s="166"/>
      <c r="AM366" s="166"/>
      <c r="AN366" s="166"/>
      <c r="AO366" s="166"/>
      <c r="AP366" s="166"/>
      <c r="AQ366" s="166"/>
      <c r="AR366" s="166"/>
      <c r="AS366" s="166"/>
      <c r="AT366" s="166"/>
      <c r="AU366" s="166"/>
      <c r="AV366" s="166"/>
      <c r="AW366" s="166"/>
      <c r="AX366" s="166"/>
      <c r="AY366" s="166"/>
      <c r="AZ366" s="186"/>
      <c r="BA366" s="186"/>
      <c r="BB366" s="186"/>
      <c r="BC366" s="186"/>
      <c r="BD366" s="186"/>
      <c r="BE366" s="186"/>
      <c r="BF366" s="186"/>
      <c r="BG366" s="186"/>
      <c r="BH366" s="186"/>
      <c r="BI366" s="183">
        <f t="shared" si="156"/>
        <v>0</v>
      </c>
      <c r="BJ366" s="183">
        <f t="shared" si="157"/>
        <v>0</v>
      </c>
      <c r="BK366" s="183">
        <f t="shared" si="158"/>
        <v>0</v>
      </c>
      <c r="BL366" s="183">
        <f t="shared" si="159"/>
        <v>0</v>
      </c>
    </row>
    <row r="367" spans="1:64" s="187" customFormat="1" ht="15.75" hidden="1" customHeight="1" outlineLevel="3" x14ac:dyDescent="0.3">
      <c r="A367" s="185"/>
      <c r="B367" s="180" t="s">
        <v>2681</v>
      </c>
      <c r="C367" s="180" t="s">
        <v>83</v>
      </c>
      <c r="D367" s="180" t="s">
        <v>2951</v>
      </c>
      <c r="E367" s="185" t="s">
        <v>2681</v>
      </c>
      <c r="F367" s="185" t="s">
        <v>3363</v>
      </c>
      <c r="G367" s="185">
        <v>20</v>
      </c>
      <c r="H367" s="185" t="str">
        <f>IFERROR(VLOOKUP(G367,'2022. tervsor'!C:D,2,0)," ")</f>
        <v>Egyéb kötelező illetménypótlékok</v>
      </c>
      <c r="I367" s="181">
        <f t="shared" si="169"/>
        <v>0</v>
      </c>
      <c r="J367" s="181">
        <f t="shared" si="168"/>
        <v>0</v>
      </c>
      <c r="K367" s="166">
        <f t="shared" si="153"/>
        <v>0</v>
      </c>
      <c r="L367" s="166">
        <f t="shared" si="167"/>
        <v>0</v>
      </c>
      <c r="M367" s="182"/>
      <c r="N367" s="166"/>
      <c r="O367" s="166"/>
      <c r="P367" s="166"/>
      <c r="Q367" s="166"/>
      <c r="R367" s="166"/>
      <c r="S367" s="166"/>
      <c r="T367" s="166"/>
      <c r="U367" s="166"/>
      <c r="V367" s="166"/>
      <c r="W367" s="166"/>
      <c r="X367" s="166"/>
      <c r="Y367" s="166"/>
      <c r="Z367" s="166"/>
      <c r="AA367" s="166"/>
      <c r="AB367" s="166"/>
      <c r="AC367" s="181"/>
      <c r="AD367" s="181"/>
      <c r="AE367" s="181"/>
      <c r="AF367" s="181"/>
      <c r="AG367" s="181"/>
      <c r="AH367" s="181"/>
      <c r="AI367" s="166"/>
      <c r="AJ367" s="166"/>
      <c r="AK367" s="166"/>
      <c r="AL367" s="166"/>
      <c r="AM367" s="166"/>
      <c r="AN367" s="166"/>
      <c r="AO367" s="166"/>
      <c r="AP367" s="166"/>
      <c r="AQ367" s="166"/>
      <c r="AR367" s="166"/>
      <c r="AS367" s="166"/>
      <c r="AT367" s="166"/>
      <c r="AU367" s="166"/>
      <c r="AV367" s="166"/>
      <c r="AW367" s="166"/>
      <c r="AX367" s="166"/>
      <c r="AY367" s="166"/>
      <c r="AZ367" s="186"/>
      <c r="BA367" s="186"/>
      <c r="BB367" s="186"/>
      <c r="BC367" s="186"/>
      <c r="BD367" s="186"/>
      <c r="BE367" s="186"/>
      <c r="BF367" s="186"/>
      <c r="BG367" s="186"/>
      <c r="BH367" s="186"/>
      <c r="BI367" s="183">
        <f t="shared" si="156"/>
        <v>0</v>
      </c>
      <c r="BJ367" s="183">
        <f t="shared" si="157"/>
        <v>0</v>
      </c>
      <c r="BK367" s="183">
        <f t="shared" si="158"/>
        <v>0</v>
      </c>
      <c r="BL367" s="183">
        <f t="shared" si="159"/>
        <v>0</v>
      </c>
    </row>
    <row r="368" spans="1:64" s="187" customFormat="1" ht="15.75" hidden="1" customHeight="1" outlineLevel="3" x14ac:dyDescent="0.3">
      <c r="A368" s="185"/>
      <c r="B368" s="180" t="s">
        <v>2681</v>
      </c>
      <c r="C368" s="180" t="s">
        <v>83</v>
      </c>
      <c r="D368" s="180" t="s">
        <v>2951</v>
      </c>
      <c r="E368" s="185" t="s">
        <v>2681</v>
      </c>
      <c r="F368" s="185" t="s">
        <v>3363</v>
      </c>
      <c r="G368" s="185">
        <v>21</v>
      </c>
      <c r="H368" s="185" t="str">
        <f>IFERROR(VLOOKUP(G368,'2022. tervsor'!C:D,2,0)," ")</f>
        <v>Egyéb feltételtől függő pótlékok és juttatások</v>
      </c>
      <c r="I368" s="181">
        <f t="shared" si="169"/>
        <v>0</v>
      </c>
      <c r="J368" s="181">
        <f t="shared" si="168"/>
        <v>0</v>
      </c>
      <c r="K368" s="166">
        <f t="shared" si="153"/>
        <v>0</v>
      </c>
      <c r="L368" s="166">
        <f t="shared" si="167"/>
        <v>0</v>
      </c>
      <c r="M368" s="182"/>
      <c r="N368" s="166"/>
      <c r="O368" s="166"/>
      <c r="P368" s="166"/>
      <c r="Q368" s="166"/>
      <c r="R368" s="166"/>
      <c r="S368" s="166"/>
      <c r="T368" s="166"/>
      <c r="U368" s="166"/>
      <c r="V368" s="166"/>
      <c r="W368" s="166"/>
      <c r="X368" s="166"/>
      <c r="Y368" s="166"/>
      <c r="Z368" s="166"/>
      <c r="AA368" s="166"/>
      <c r="AB368" s="166"/>
      <c r="AC368" s="181"/>
      <c r="AD368" s="181"/>
      <c r="AE368" s="181"/>
      <c r="AF368" s="181"/>
      <c r="AG368" s="181"/>
      <c r="AH368" s="181"/>
      <c r="AI368" s="166"/>
      <c r="AJ368" s="166"/>
      <c r="AK368" s="166"/>
      <c r="AL368" s="166"/>
      <c r="AM368" s="166"/>
      <c r="AN368" s="166"/>
      <c r="AO368" s="166"/>
      <c r="AP368" s="166"/>
      <c r="AQ368" s="166"/>
      <c r="AR368" s="166"/>
      <c r="AS368" s="166"/>
      <c r="AT368" s="166"/>
      <c r="AU368" s="166"/>
      <c r="AV368" s="166"/>
      <c r="AW368" s="166"/>
      <c r="AX368" s="166"/>
      <c r="AY368" s="166"/>
      <c r="AZ368" s="186"/>
      <c r="BA368" s="186"/>
      <c r="BB368" s="186"/>
      <c r="BC368" s="186"/>
      <c r="BD368" s="186"/>
      <c r="BE368" s="186"/>
      <c r="BF368" s="186"/>
      <c r="BG368" s="186"/>
      <c r="BH368" s="186"/>
      <c r="BI368" s="183">
        <f t="shared" si="156"/>
        <v>0</v>
      </c>
      <c r="BJ368" s="183">
        <f t="shared" si="157"/>
        <v>0</v>
      </c>
      <c r="BK368" s="183">
        <f t="shared" si="158"/>
        <v>0</v>
      </c>
      <c r="BL368" s="183">
        <f t="shared" si="159"/>
        <v>0</v>
      </c>
    </row>
    <row r="369" spans="1:64" s="187" customFormat="1" ht="15.75" hidden="1" customHeight="1" outlineLevel="3" x14ac:dyDescent="0.3">
      <c r="A369" s="185"/>
      <c r="B369" s="180" t="s">
        <v>2681</v>
      </c>
      <c r="C369" s="180" t="s">
        <v>83</v>
      </c>
      <c r="D369" s="180" t="s">
        <v>2951</v>
      </c>
      <c r="E369" s="185" t="s">
        <v>2681</v>
      </c>
      <c r="F369" s="185" t="s">
        <v>3363</v>
      </c>
      <c r="G369" s="185">
        <v>22</v>
      </c>
      <c r="H369" s="185" t="str">
        <f>IFERROR(VLOOKUP(G369,'2022. tervsor'!C:D,2,0)," ")</f>
        <v>Rendszeres keresetkiegészítés</v>
      </c>
      <c r="I369" s="181">
        <f t="shared" si="169"/>
        <v>0</v>
      </c>
      <c r="J369" s="181">
        <f t="shared" si="168"/>
        <v>0</v>
      </c>
      <c r="K369" s="166">
        <f t="shared" ref="K369:K478" si="170">+I369-J369</f>
        <v>0</v>
      </c>
      <c r="L369" s="166">
        <f t="shared" si="167"/>
        <v>0</v>
      </c>
      <c r="M369" s="182"/>
      <c r="N369" s="166"/>
      <c r="O369" s="166"/>
      <c r="P369" s="166"/>
      <c r="Q369" s="166"/>
      <c r="R369" s="166"/>
      <c r="S369" s="166"/>
      <c r="T369" s="166"/>
      <c r="U369" s="166"/>
      <c r="V369" s="166"/>
      <c r="W369" s="166"/>
      <c r="X369" s="166"/>
      <c r="Y369" s="166"/>
      <c r="Z369" s="166"/>
      <c r="AA369" s="166"/>
      <c r="AB369" s="166"/>
      <c r="AC369" s="181"/>
      <c r="AD369" s="181"/>
      <c r="AE369" s="181"/>
      <c r="AF369" s="166"/>
      <c r="AG369" s="181"/>
      <c r="AH369" s="181"/>
      <c r="AI369" s="166"/>
      <c r="AJ369" s="166"/>
      <c r="AK369" s="166"/>
      <c r="AL369" s="166"/>
      <c r="AM369" s="166"/>
      <c r="AN369" s="166"/>
      <c r="AO369" s="166"/>
      <c r="AP369" s="166"/>
      <c r="AQ369" s="166"/>
      <c r="AR369" s="166"/>
      <c r="AS369" s="166"/>
      <c r="AT369" s="166"/>
      <c r="AU369" s="166"/>
      <c r="AV369" s="166"/>
      <c r="AW369" s="166"/>
      <c r="AX369" s="166"/>
      <c r="AY369" s="166"/>
      <c r="AZ369" s="186"/>
      <c r="BA369" s="186"/>
      <c r="BB369" s="186"/>
      <c r="BC369" s="186"/>
      <c r="BD369" s="186"/>
      <c r="BE369" s="186"/>
      <c r="BF369" s="186"/>
      <c r="BG369" s="186"/>
      <c r="BH369" s="186"/>
      <c r="BI369" s="183">
        <f t="shared" si="156"/>
        <v>0</v>
      </c>
      <c r="BJ369" s="183">
        <f t="shared" si="157"/>
        <v>0</v>
      </c>
      <c r="BK369" s="183">
        <f t="shared" si="158"/>
        <v>0</v>
      </c>
      <c r="BL369" s="183">
        <f t="shared" si="159"/>
        <v>0</v>
      </c>
    </row>
    <row r="370" spans="1:64" s="187" customFormat="1" ht="15.75" hidden="1" customHeight="1" outlineLevel="3" x14ac:dyDescent="0.3">
      <c r="A370" s="185"/>
      <c r="B370" s="180" t="s">
        <v>2681</v>
      </c>
      <c r="C370" s="180" t="s">
        <v>83</v>
      </c>
      <c r="D370" s="180" t="s">
        <v>2951</v>
      </c>
      <c r="E370" s="185" t="s">
        <v>2681</v>
      </c>
      <c r="F370" s="185" t="s">
        <v>3363</v>
      </c>
      <c r="G370" s="185">
        <v>23</v>
      </c>
      <c r="H370" s="185" t="str">
        <f>IFERROR(VLOOKUP(G370,'2022. tervsor'!C:D,2,0)," ")</f>
        <v>Eseti keresetkiegészítés</v>
      </c>
      <c r="I370" s="181">
        <f t="shared" si="169"/>
        <v>0</v>
      </c>
      <c r="J370" s="181">
        <f t="shared" si="168"/>
        <v>0</v>
      </c>
      <c r="K370" s="166">
        <f t="shared" si="170"/>
        <v>0</v>
      </c>
      <c r="L370" s="166">
        <f t="shared" si="167"/>
        <v>0</v>
      </c>
      <c r="M370" s="182"/>
      <c r="N370" s="166"/>
      <c r="O370" s="166"/>
      <c r="P370" s="166"/>
      <c r="Q370" s="166"/>
      <c r="R370" s="166"/>
      <c r="S370" s="166"/>
      <c r="T370" s="166"/>
      <c r="U370" s="166"/>
      <c r="V370" s="166"/>
      <c r="W370" s="166"/>
      <c r="X370" s="166"/>
      <c r="Y370" s="166"/>
      <c r="Z370" s="166"/>
      <c r="AA370" s="166"/>
      <c r="AB370" s="166"/>
      <c r="AC370" s="181"/>
      <c r="AD370" s="181"/>
      <c r="AE370" s="181"/>
      <c r="AF370" s="181"/>
      <c r="AG370" s="181"/>
      <c r="AH370" s="181"/>
      <c r="AI370" s="166"/>
      <c r="AJ370" s="166"/>
      <c r="AK370" s="166"/>
      <c r="AL370" s="166"/>
      <c r="AM370" s="166"/>
      <c r="AN370" s="166"/>
      <c r="AO370" s="166"/>
      <c r="AP370" s="166"/>
      <c r="AQ370" s="166"/>
      <c r="AR370" s="166"/>
      <c r="AS370" s="166"/>
      <c r="AT370" s="166"/>
      <c r="AU370" s="166"/>
      <c r="AV370" s="166"/>
      <c r="AW370" s="166"/>
      <c r="AX370" s="166"/>
      <c r="AY370" s="166"/>
      <c r="AZ370" s="186"/>
      <c r="BA370" s="186"/>
      <c r="BB370" s="186"/>
      <c r="BC370" s="186"/>
      <c r="BD370" s="186"/>
      <c r="BE370" s="186"/>
      <c r="BF370" s="186"/>
      <c r="BG370" s="186"/>
      <c r="BH370" s="186"/>
      <c r="BI370" s="183">
        <f t="shared" si="156"/>
        <v>0</v>
      </c>
      <c r="BJ370" s="183">
        <f t="shared" si="157"/>
        <v>0</v>
      </c>
      <c r="BK370" s="183">
        <f t="shared" si="158"/>
        <v>0</v>
      </c>
      <c r="BL370" s="183">
        <f t="shared" si="159"/>
        <v>0</v>
      </c>
    </row>
    <row r="371" spans="1:64" s="187" customFormat="1" ht="15.75" hidden="1" customHeight="1" outlineLevel="3" x14ac:dyDescent="0.3">
      <c r="A371" s="185"/>
      <c r="B371" s="180" t="s">
        <v>2681</v>
      </c>
      <c r="C371" s="180" t="s">
        <v>83</v>
      </c>
      <c r="D371" s="180" t="s">
        <v>2951</v>
      </c>
      <c r="E371" s="185" t="s">
        <v>2681</v>
      </c>
      <c r="F371" s="185" t="s">
        <v>3363</v>
      </c>
      <c r="G371" s="185">
        <v>24</v>
      </c>
      <c r="H371" s="185" t="str">
        <f>IFERROR(VLOOKUP(G371,'2022. tervsor'!C:D,2,0)," ")</f>
        <v>Egyéb juttatások kiadásai</v>
      </c>
      <c r="I371" s="181">
        <f t="shared" si="169"/>
        <v>0</v>
      </c>
      <c r="J371" s="181">
        <f t="shared" si="168"/>
        <v>0</v>
      </c>
      <c r="K371" s="166">
        <f t="shared" si="170"/>
        <v>0</v>
      </c>
      <c r="L371" s="166">
        <f t="shared" si="167"/>
        <v>0</v>
      </c>
      <c r="M371" s="182"/>
      <c r="N371" s="166"/>
      <c r="O371" s="166"/>
      <c r="P371" s="166"/>
      <c r="Q371" s="166"/>
      <c r="R371" s="166"/>
      <c r="S371" s="166"/>
      <c r="T371" s="166"/>
      <c r="U371" s="166"/>
      <c r="V371" s="166"/>
      <c r="W371" s="166"/>
      <c r="X371" s="166"/>
      <c r="Y371" s="166"/>
      <c r="Z371" s="166"/>
      <c r="AA371" s="166"/>
      <c r="AB371" s="166"/>
      <c r="AC371" s="181"/>
      <c r="AD371" s="181"/>
      <c r="AE371" s="181"/>
      <c r="AF371" s="181"/>
      <c r="AG371" s="181"/>
      <c r="AH371" s="181"/>
      <c r="AI371" s="166"/>
      <c r="AJ371" s="166"/>
      <c r="AK371" s="166"/>
      <c r="AL371" s="166"/>
      <c r="AM371" s="166"/>
      <c r="AN371" s="166"/>
      <c r="AO371" s="166"/>
      <c r="AP371" s="166"/>
      <c r="AQ371" s="166"/>
      <c r="AR371" s="166"/>
      <c r="AS371" s="166"/>
      <c r="AT371" s="166"/>
      <c r="AU371" s="166"/>
      <c r="AV371" s="166"/>
      <c r="AW371" s="166"/>
      <c r="AX371" s="166"/>
      <c r="AY371" s="166"/>
      <c r="AZ371" s="186"/>
      <c r="BA371" s="186"/>
      <c r="BB371" s="186"/>
      <c r="BC371" s="186"/>
      <c r="BD371" s="186"/>
      <c r="BE371" s="186"/>
      <c r="BF371" s="186"/>
      <c r="BG371" s="186"/>
      <c r="BH371" s="186"/>
      <c r="BI371" s="183">
        <f t="shared" si="156"/>
        <v>0</v>
      </c>
      <c r="BJ371" s="183">
        <f t="shared" si="157"/>
        <v>0</v>
      </c>
      <c r="BK371" s="183">
        <f t="shared" si="158"/>
        <v>0</v>
      </c>
      <c r="BL371" s="183">
        <f t="shared" si="159"/>
        <v>0</v>
      </c>
    </row>
    <row r="372" spans="1:64" s="187" customFormat="1" ht="15.75" hidden="1" customHeight="1" outlineLevel="3" x14ac:dyDescent="0.3">
      <c r="A372" s="185"/>
      <c r="B372" s="180" t="s">
        <v>2681</v>
      </c>
      <c r="C372" s="180" t="s">
        <v>83</v>
      </c>
      <c r="D372" s="180" t="s">
        <v>2951</v>
      </c>
      <c r="E372" s="185" t="s">
        <v>2681</v>
      </c>
      <c r="F372" s="185" t="s">
        <v>3363</v>
      </c>
      <c r="G372" s="185">
        <v>25</v>
      </c>
      <c r="H372" s="185" t="str">
        <f>IFERROR(VLOOKUP(G372,'2022. tervsor'!C:D,2,0)," ")</f>
        <v>Hallgatói munkadíjak</v>
      </c>
      <c r="I372" s="181">
        <f t="shared" si="169"/>
        <v>0</v>
      </c>
      <c r="J372" s="181">
        <f t="shared" si="168"/>
        <v>0</v>
      </c>
      <c r="K372" s="166">
        <f t="shared" si="170"/>
        <v>0</v>
      </c>
      <c r="L372" s="166">
        <f t="shared" si="167"/>
        <v>0</v>
      </c>
      <c r="M372" s="182"/>
      <c r="N372" s="166"/>
      <c r="O372" s="166"/>
      <c r="P372" s="166"/>
      <c r="Q372" s="166"/>
      <c r="R372" s="166"/>
      <c r="S372" s="166"/>
      <c r="T372" s="166"/>
      <c r="U372" s="166"/>
      <c r="V372" s="166"/>
      <c r="W372" s="166"/>
      <c r="X372" s="166"/>
      <c r="Y372" s="166"/>
      <c r="Z372" s="166"/>
      <c r="AA372" s="166"/>
      <c r="AB372" s="166"/>
      <c r="AC372" s="181"/>
      <c r="AD372" s="181"/>
      <c r="AE372" s="181"/>
      <c r="AF372" s="181"/>
      <c r="AG372" s="181"/>
      <c r="AH372" s="181"/>
      <c r="AI372" s="166"/>
      <c r="AJ372" s="166"/>
      <c r="AK372" s="166"/>
      <c r="AL372" s="166"/>
      <c r="AM372" s="166"/>
      <c r="AN372" s="166"/>
      <c r="AO372" s="166"/>
      <c r="AP372" s="166"/>
      <c r="AQ372" s="166"/>
      <c r="AR372" s="166"/>
      <c r="AS372" s="166"/>
      <c r="AT372" s="166"/>
      <c r="AU372" s="166"/>
      <c r="AV372" s="166"/>
      <c r="AW372" s="166"/>
      <c r="AX372" s="166"/>
      <c r="AY372" s="166"/>
      <c r="AZ372" s="186"/>
      <c r="BA372" s="186"/>
      <c r="BB372" s="186"/>
      <c r="BC372" s="186"/>
      <c r="BD372" s="186"/>
      <c r="BE372" s="186"/>
      <c r="BF372" s="186"/>
      <c r="BG372" s="186"/>
      <c r="BH372" s="186"/>
      <c r="BI372" s="183">
        <f t="shared" si="156"/>
        <v>0</v>
      </c>
      <c r="BJ372" s="183">
        <f t="shared" si="157"/>
        <v>0</v>
      </c>
      <c r="BK372" s="183">
        <f t="shared" si="158"/>
        <v>0</v>
      </c>
      <c r="BL372" s="183">
        <f t="shared" si="159"/>
        <v>0</v>
      </c>
    </row>
    <row r="373" spans="1:64" s="187" customFormat="1" ht="15.75" hidden="1" customHeight="1" outlineLevel="3" x14ac:dyDescent="0.3">
      <c r="A373" s="185"/>
      <c r="B373" s="180" t="s">
        <v>2681</v>
      </c>
      <c r="C373" s="180" t="s">
        <v>83</v>
      </c>
      <c r="D373" s="180" t="s">
        <v>2951</v>
      </c>
      <c r="E373" s="185" t="s">
        <v>2681</v>
      </c>
      <c r="F373" s="185" t="s">
        <v>3363</v>
      </c>
      <c r="G373" s="185">
        <v>26</v>
      </c>
      <c r="H373" s="185" t="str">
        <f>IFERROR(VLOOKUP(G373,'2022. tervsor'!C:D,2,0)," ")</f>
        <v>Üres álláshelyekre tervezett illetmény (okt+kut+egyéb+hallg)</v>
      </c>
      <c r="I373" s="181">
        <f t="shared" si="169"/>
        <v>0</v>
      </c>
      <c r="J373" s="181">
        <f t="shared" si="168"/>
        <v>0</v>
      </c>
      <c r="K373" s="166">
        <f t="shared" si="170"/>
        <v>0</v>
      </c>
      <c r="L373" s="166">
        <f t="shared" si="167"/>
        <v>0</v>
      </c>
      <c r="M373" s="182"/>
      <c r="N373" s="166"/>
      <c r="O373" s="166"/>
      <c r="P373" s="166"/>
      <c r="Q373" s="166"/>
      <c r="R373" s="166"/>
      <c r="S373" s="166"/>
      <c r="T373" s="166"/>
      <c r="U373" s="166"/>
      <c r="V373" s="166"/>
      <c r="W373" s="166"/>
      <c r="X373" s="166"/>
      <c r="Y373" s="166"/>
      <c r="Z373" s="166"/>
      <c r="AA373" s="166"/>
      <c r="AB373" s="166"/>
      <c r="AC373" s="181"/>
      <c r="AD373" s="181"/>
      <c r="AE373" s="181"/>
      <c r="AF373" s="181"/>
      <c r="AG373" s="181"/>
      <c r="AH373" s="181"/>
      <c r="AI373" s="166"/>
      <c r="AJ373" s="166"/>
      <c r="AK373" s="166"/>
      <c r="AL373" s="166"/>
      <c r="AM373" s="166"/>
      <c r="AN373" s="166"/>
      <c r="AO373" s="166"/>
      <c r="AP373" s="166"/>
      <c r="AQ373" s="166"/>
      <c r="AR373" s="166"/>
      <c r="AS373" s="166"/>
      <c r="AT373" s="166"/>
      <c r="AU373" s="166"/>
      <c r="AV373" s="166"/>
      <c r="AW373" s="166"/>
      <c r="AX373" s="166"/>
      <c r="AY373" s="166"/>
      <c r="AZ373" s="186"/>
      <c r="BA373" s="186"/>
      <c r="BB373" s="186"/>
      <c r="BC373" s="186"/>
      <c r="BD373" s="186"/>
      <c r="BE373" s="186"/>
      <c r="BF373" s="186"/>
      <c r="BG373" s="186"/>
      <c r="BH373" s="186"/>
      <c r="BI373" s="183">
        <f t="shared" si="156"/>
        <v>0</v>
      </c>
      <c r="BJ373" s="183">
        <f t="shared" si="157"/>
        <v>0</v>
      </c>
      <c r="BK373" s="183">
        <f t="shared" si="158"/>
        <v>0</v>
      </c>
      <c r="BL373" s="183">
        <f t="shared" si="159"/>
        <v>0</v>
      </c>
    </row>
    <row r="374" spans="1:64" s="187" customFormat="1" ht="15.75" hidden="1" customHeight="1" outlineLevel="3" x14ac:dyDescent="0.3">
      <c r="A374" s="185"/>
      <c r="B374" s="180" t="s">
        <v>2681</v>
      </c>
      <c r="C374" s="180" t="s">
        <v>83</v>
      </c>
      <c r="D374" s="180" t="s">
        <v>2951</v>
      </c>
      <c r="E374" s="185" t="s">
        <v>2681</v>
      </c>
      <c r="F374" s="185" t="s">
        <v>3363</v>
      </c>
      <c r="G374" s="185">
        <v>30</v>
      </c>
      <c r="H374" s="185" t="str">
        <f>IFERROR(VLOOKUP(G374,'2022. tervsor'!C:D,2,0)," ")</f>
        <v>Céljuttatás, projektprémium</v>
      </c>
      <c r="I374" s="181">
        <f t="shared" si="169"/>
        <v>0</v>
      </c>
      <c r="J374" s="181">
        <f t="shared" si="168"/>
        <v>0</v>
      </c>
      <c r="K374" s="166">
        <f t="shared" si="170"/>
        <v>0</v>
      </c>
      <c r="L374" s="166">
        <f t="shared" si="167"/>
        <v>0</v>
      </c>
      <c r="M374" s="182"/>
      <c r="N374" s="166"/>
      <c r="O374" s="166"/>
      <c r="P374" s="166"/>
      <c r="Q374" s="166"/>
      <c r="R374" s="166"/>
      <c r="S374" s="166"/>
      <c r="T374" s="166"/>
      <c r="U374" s="166"/>
      <c r="V374" s="166"/>
      <c r="W374" s="166"/>
      <c r="X374" s="166"/>
      <c r="Y374" s="166"/>
      <c r="Z374" s="166"/>
      <c r="AA374" s="166"/>
      <c r="AB374" s="166"/>
      <c r="AC374" s="181"/>
      <c r="AD374" s="181"/>
      <c r="AE374" s="181"/>
      <c r="AF374" s="181"/>
      <c r="AG374" s="181"/>
      <c r="AH374" s="181"/>
      <c r="AI374" s="166"/>
      <c r="AJ374" s="166"/>
      <c r="AK374" s="166"/>
      <c r="AL374" s="166"/>
      <c r="AM374" s="166"/>
      <c r="AN374" s="166"/>
      <c r="AO374" s="166"/>
      <c r="AP374" s="166"/>
      <c r="AQ374" s="166"/>
      <c r="AR374" s="166"/>
      <c r="AS374" s="166"/>
      <c r="AT374" s="166"/>
      <c r="AU374" s="166"/>
      <c r="AV374" s="166"/>
      <c r="AW374" s="166"/>
      <c r="AX374" s="166"/>
      <c r="AY374" s="166"/>
      <c r="AZ374" s="186"/>
      <c r="BA374" s="186"/>
      <c r="BB374" s="186"/>
      <c r="BC374" s="186"/>
      <c r="BD374" s="186"/>
      <c r="BE374" s="186"/>
      <c r="BF374" s="186"/>
      <c r="BG374" s="186"/>
      <c r="BH374" s="186"/>
      <c r="BI374" s="183">
        <f t="shared" si="156"/>
        <v>0</v>
      </c>
      <c r="BJ374" s="183">
        <f t="shared" si="157"/>
        <v>0</v>
      </c>
      <c r="BK374" s="183">
        <f t="shared" si="158"/>
        <v>0</v>
      </c>
      <c r="BL374" s="183">
        <f t="shared" si="159"/>
        <v>0</v>
      </c>
    </row>
    <row r="375" spans="1:64" s="187" customFormat="1" ht="15.75" hidden="1" customHeight="1" outlineLevel="3" x14ac:dyDescent="0.3">
      <c r="A375" s="185"/>
      <c r="B375" s="180" t="s">
        <v>2681</v>
      </c>
      <c r="C375" s="180" t="s">
        <v>83</v>
      </c>
      <c r="D375" s="180" t="s">
        <v>2951</v>
      </c>
      <c r="E375" s="185" t="s">
        <v>2681</v>
      </c>
      <c r="F375" s="185" t="s">
        <v>3363</v>
      </c>
      <c r="G375" s="185">
        <v>31</v>
      </c>
      <c r="H375" s="185" t="str">
        <f>IFERROR(VLOOKUP(G375,'2022. tervsor'!C:D,2,0)," ")</f>
        <v>Készenlét. ügyelet. helyettesítési díj, túlóra</v>
      </c>
      <c r="I375" s="181">
        <f t="shared" si="169"/>
        <v>0</v>
      </c>
      <c r="J375" s="181">
        <f t="shared" si="168"/>
        <v>0</v>
      </c>
      <c r="K375" s="166">
        <f t="shared" si="170"/>
        <v>0</v>
      </c>
      <c r="L375" s="166">
        <f t="shared" si="167"/>
        <v>0</v>
      </c>
      <c r="M375" s="182"/>
      <c r="N375" s="166"/>
      <c r="O375" s="166"/>
      <c r="P375" s="166"/>
      <c r="Q375" s="166"/>
      <c r="R375" s="166"/>
      <c r="S375" s="166"/>
      <c r="T375" s="166"/>
      <c r="U375" s="166"/>
      <c r="V375" s="166"/>
      <c r="W375" s="166"/>
      <c r="X375" s="166"/>
      <c r="Y375" s="166"/>
      <c r="Z375" s="166"/>
      <c r="AA375" s="166"/>
      <c r="AB375" s="166"/>
      <c r="AC375" s="181"/>
      <c r="AD375" s="181"/>
      <c r="AE375" s="181"/>
      <c r="AF375" s="181"/>
      <c r="AG375" s="181"/>
      <c r="AH375" s="181"/>
      <c r="AI375" s="166"/>
      <c r="AJ375" s="166"/>
      <c r="AK375" s="166"/>
      <c r="AL375" s="166"/>
      <c r="AM375" s="166"/>
      <c r="AN375" s="166"/>
      <c r="AO375" s="166"/>
      <c r="AP375" s="166"/>
      <c r="AQ375" s="166"/>
      <c r="AR375" s="166"/>
      <c r="AS375" s="166"/>
      <c r="AT375" s="166"/>
      <c r="AU375" s="166"/>
      <c r="AV375" s="166"/>
      <c r="AW375" s="166"/>
      <c r="AX375" s="166"/>
      <c r="AY375" s="166"/>
      <c r="AZ375" s="186"/>
      <c r="BA375" s="186"/>
      <c r="BB375" s="186"/>
      <c r="BC375" s="186"/>
      <c r="BD375" s="186"/>
      <c r="BE375" s="186"/>
      <c r="BF375" s="186"/>
      <c r="BG375" s="186"/>
      <c r="BH375" s="186"/>
      <c r="BI375" s="183">
        <f t="shared" si="156"/>
        <v>0</v>
      </c>
      <c r="BJ375" s="183">
        <f t="shared" si="157"/>
        <v>0</v>
      </c>
      <c r="BK375" s="183">
        <f t="shared" si="158"/>
        <v>0</v>
      </c>
      <c r="BL375" s="183">
        <f t="shared" si="159"/>
        <v>0</v>
      </c>
    </row>
    <row r="376" spans="1:64" s="187" customFormat="1" ht="15.75" hidden="1" customHeight="1" outlineLevel="3" x14ac:dyDescent="0.3">
      <c r="A376" s="185"/>
      <c r="B376" s="180" t="s">
        <v>2681</v>
      </c>
      <c r="C376" s="180" t="s">
        <v>83</v>
      </c>
      <c r="D376" s="180" t="s">
        <v>2951</v>
      </c>
      <c r="E376" s="185" t="s">
        <v>2681</v>
      </c>
      <c r="F376" s="185" t="s">
        <v>3363</v>
      </c>
      <c r="G376" s="185">
        <v>32</v>
      </c>
      <c r="H376" s="185" t="str">
        <f>IFERROR(VLOOKUP(G376,'2022. tervsor'!C:D,2,0)," ")</f>
        <v>Végkielégítés</v>
      </c>
      <c r="I376" s="181">
        <f t="shared" si="169"/>
        <v>0</v>
      </c>
      <c r="J376" s="181">
        <f t="shared" si="168"/>
        <v>0</v>
      </c>
      <c r="K376" s="166">
        <f t="shared" si="170"/>
        <v>0</v>
      </c>
      <c r="L376" s="166">
        <f t="shared" si="167"/>
        <v>0</v>
      </c>
      <c r="M376" s="182"/>
      <c r="N376" s="166"/>
      <c r="O376" s="166"/>
      <c r="P376" s="166"/>
      <c r="Q376" s="166"/>
      <c r="R376" s="166"/>
      <c r="S376" s="166"/>
      <c r="T376" s="166"/>
      <c r="U376" s="166"/>
      <c r="V376" s="166"/>
      <c r="W376" s="166"/>
      <c r="X376" s="166"/>
      <c r="Y376" s="166"/>
      <c r="Z376" s="166"/>
      <c r="AA376" s="166"/>
      <c r="AB376" s="166"/>
      <c r="AC376" s="181"/>
      <c r="AD376" s="181"/>
      <c r="AE376" s="181"/>
      <c r="AF376" s="181"/>
      <c r="AG376" s="181"/>
      <c r="AH376" s="181"/>
      <c r="AI376" s="166"/>
      <c r="AJ376" s="166"/>
      <c r="AK376" s="166"/>
      <c r="AL376" s="166"/>
      <c r="AM376" s="166"/>
      <c r="AN376" s="166"/>
      <c r="AO376" s="166"/>
      <c r="AP376" s="166"/>
      <c r="AQ376" s="166"/>
      <c r="AR376" s="166"/>
      <c r="AS376" s="166"/>
      <c r="AT376" s="166"/>
      <c r="AU376" s="166"/>
      <c r="AV376" s="166"/>
      <c r="AW376" s="166"/>
      <c r="AX376" s="166"/>
      <c r="AY376" s="166"/>
      <c r="AZ376" s="186"/>
      <c r="BA376" s="186"/>
      <c r="BB376" s="186"/>
      <c r="BC376" s="186"/>
      <c r="BD376" s="186"/>
      <c r="BE376" s="186"/>
      <c r="BF376" s="186"/>
      <c r="BG376" s="186"/>
      <c r="BH376" s="186"/>
      <c r="BI376" s="183">
        <f t="shared" si="156"/>
        <v>0</v>
      </c>
      <c r="BJ376" s="183">
        <f t="shared" si="157"/>
        <v>0</v>
      </c>
      <c r="BK376" s="183">
        <f t="shared" si="158"/>
        <v>0</v>
      </c>
      <c r="BL376" s="183">
        <f t="shared" si="159"/>
        <v>0</v>
      </c>
    </row>
    <row r="377" spans="1:64" s="187" customFormat="1" ht="15.75" hidden="1" customHeight="1" outlineLevel="3" x14ac:dyDescent="0.3">
      <c r="A377" s="185"/>
      <c r="B377" s="180" t="s">
        <v>2681</v>
      </c>
      <c r="C377" s="180" t="s">
        <v>83</v>
      </c>
      <c r="D377" s="180" t="s">
        <v>2951</v>
      </c>
      <c r="E377" s="185" t="s">
        <v>2681</v>
      </c>
      <c r="F377" s="185" t="s">
        <v>3363</v>
      </c>
      <c r="G377" s="185">
        <v>33</v>
      </c>
      <c r="H377" s="185" t="str">
        <f>IFERROR(VLOOKUP(G377,'2022. tervsor'!C:D,2,0)," ")</f>
        <v>Jubileumi jutalom</v>
      </c>
      <c r="I377" s="181">
        <f t="shared" si="169"/>
        <v>0</v>
      </c>
      <c r="J377" s="181">
        <f t="shared" si="168"/>
        <v>0</v>
      </c>
      <c r="K377" s="166">
        <f t="shared" si="170"/>
        <v>0</v>
      </c>
      <c r="L377" s="166">
        <f t="shared" si="167"/>
        <v>0</v>
      </c>
      <c r="M377" s="182"/>
      <c r="N377" s="166"/>
      <c r="O377" s="166"/>
      <c r="P377" s="166"/>
      <c r="Q377" s="166"/>
      <c r="R377" s="166"/>
      <c r="S377" s="166"/>
      <c r="T377" s="166"/>
      <c r="U377" s="166"/>
      <c r="V377" s="166"/>
      <c r="W377" s="166"/>
      <c r="X377" s="166"/>
      <c r="Y377" s="166"/>
      <c r="Z377" s="166"/>
      <c r="AA377" s="166"/>
      <c r="AB377" s="166"/>
      <c r="AC377" s="181"/>
      <c r="AD377" s="181"/>
      <c r="AE377" s="181"/>
      <c r="AF377" s="181"/>
      <c r="AG377" s="181"/>
      <c r="AH377" s="181"/>
      <c r="AI377" s="166"/>
      <c r="AJ377" s="166"/>
      <c r="AK377" s="166"/>
      <c r="AL377" s="166"/>
      <c r="AM377" s="166"/>
      <c r="AN377" s="166"/>
      <c r="AO377" s="166"/>
      <c r="AP377" s="166"/>
      <c r="AQ377" s="166"/>
      <c r="AR377" s="166"/>
      <c r="AS377" s="166"/>
      <c r="AT377" s="166"/>
      <c r="AU377" s="166"/>
      <c r="AV377" s="166"/>
      <c r="AW377" s="166"/>
      <c r="AX377" s="166"/>
      <c r="AY377" s="166"/>
      <c r="AZ377" s="186"/>
      <c r="BA377" s="186"/>
      <c r="BB377" s="186"/>
      <c r="BC377" s="186"/>
      <c r="BD377" s="186"/>
      <c r="BE377" s="186"/>
      <c r="BF377" s="186"/>
      <c r="BG377" s="186"/>
      <c r="BH377" s="186"/>
      <c r="BI377" s="183">
        <f t="shared" si="156"/>
        <v>0</v>
      </c>
      <c r="BJ377" s="183">
        <f t="shared" si="157"/>
        <v>0</v>
      </c>
      <c r="BK377" s="183">
        <f t="shared" si="158"/>
        <v>0</v>
      </c>
      <c r="BL377" s="183">
        <f t="shared" si="159"/>
        <v>0</v>
      </c>
    </row>
    <row r="378" spans="1:64" s="187" customFormat="1" ht="15.75" hidden="1" customHeight="1" outlineLevel="3" x14ac:dyDescent="0.3">
      <c r="A378" s="185"/>
      <c r="B378" s="180" t="s">
        <v>2681</v>
      </c>
      <c r="C378" s="180" t="s">
        <v>83</v>
      </c>
      <c r="D378" s="180" t="s">
        <v>2951</v>
      </c>
      <c r="E378" s="185" t="s">
        <v>2681</v>
      </c>
      <c r="F378" s="185" t="s">
        <v>3363</v>
      </c>
      <c r="G378" s="185">
        <v>34</v>
      </c>
      <c r="H378" s="185" t="str">
        <f>IFERROR(VLOOKUP(G378,'2022. tervsor'!C:D,2,0)," ")</f>
        <v>Iskolarendsz.képzés hozzájár.</v>
      </c>
      <c r="I378" s="181">
        <f t="shared" si="169"/>
        <v>0</v>
      </c>
      <c r="J378" s="181">
        <f t="shared" si="168"/>
        <v>0</v>
      </c>
      <c r="K378" s="166">
        <f t="shared" si="170"/>
        <v>0</v>
      </c>
      <c r="L378" s="166">
        <f t="shared" si="167"/>
        <v>0</v>
      </c>
      <c r="M378" s="182"/>
      <c r="N378" s="166"/>
      <c r="O378" s="166"/>
      <c r="P378" s="166"/>
      <c r="Q378" s="166"/>
      <c r="R378" s="166"/>
      <c r="S378" s="166"/>
      <c r="T378" s="166"/>
      <c r="U378" s="166"/>
      <c r="V378" s="166"/>
      <c r="W378" s="166"/>
      <c r="X378" s="166"/>
      <c r="Y378" s="166"/>
      <c r="Z378" s="166"/>
      <c r="AA378" s="166"/>
      <c r="AB378" s="166"/>
      <c r="AC378" s="181"/>
      <c r="AD378" s="181"/>
      <c r="AE378" s="181"/>
      <c r="AF378" s="181"/>
      <c r="AG378" s="181"/>
      <c r="AH378" s="181"/>
      <c r="AI378" s="166"/>
      <c r="AJ378" s="166"/>
      <c r="AK378" s="166"/>
      <c r="AL378" s="166"/>
      <c r="AM378" s="166"/>
      <c r="AN378" s="166"/>
      <c r="AO378" s="166"/>
      <c r="AP378" s="166"/>
      <c r="AQ378" s="166"/>
      <c r="AR378" s="166"/>
      <c r="AS378" s="166"/>
      <c r="AT378" s="166"/>
      <c r="AU378" s="166"/>
      <c r="AV378" s="166"/>
      <c r="AW378" s="166"/>
      <c r="AX378" s="166"/>
      <c r="AY378" s="166"/>
      <c r="AZ378" s="186"/>
      <c r="BA378" s="186"/>
      <c r="BB378" s="186"/>
      <c r="BC378" s="186"/>
      <c r="BD378" s="186"/>
      <c r="BE378" s="186"/>
      <c r="BF378" s="186"/>
      <c r="BG378" s="186"/>
      <c r="BH378" s="186"/>
      <c r="BI378" s="183">
        <f t="shared" si="156"/>
        <v>0</v>
      </c>
      <c r="BJ378" s="183">
        <f t="shared" si="157"/>
        <v>0</v>
      </c>
      <c r="BK378" s="183">
        <f t="shared" si="158"/>
        <v>0</v>
      </c>
      <c r="BL378" s="183">
        <f t="shared" si="159"/>
        <v>0</v>
      </c>
    </row>
    <row r="379" spans="1:64" s="187" customFormat="1" ht="15.75" hidden="1" customHeight="1" outlineLevel="3" x14ac:dyDescent="0.3">
      <c r="A379" s="185"/>
      <c r="B379" s="180" t="s">
        <v>2681</v>
      </c>
      <c r="C379" s="180" t="s">
        <v>83</v>
      </c>
      <c r="D379" s="180" t="s">
        <v>2951</v>
      </c>
      <c r="E379" s="185" t="s">
        <v>2681</v>
      </c>
      <c r="F379" s="185" t="s">
        <v>3363</v>
      </c>
      <c r="G379" s="185">
        <v>35</v>
      </c>
      <c r="H379" s="185" t="str">
        <f>IFERROR(VLOOKUP(G379,'2022. tervsor'!C:D,2,0)," ")</f>
        <v>Iskolakezdési támogatás teljesítése</v>
      </c>
      <c r="I379" s="181">
        <f t="shared" si="169"/>
        <v>0</v>
      </c>
      <c r="J379" s="181">
        <f t="shared" si="168"/>
        <v>0</v>
      </c>
      <c r="K379" s="166">
        <f t="shared" si="170"/>
        <v>0</v>
      </c>
      <c r="L379" s="166">
        <f t="shared" si="167"/>
        <v>0</v>
      </c>
      <c r="M379" s="182"/>
      <c r="N379" s="166"/>
      <c r="O379" s="166"/>
      <c r="P379" s="166"/>
      <c r="Q379" s="166"/>
      <c r="R379" s="166"/>
      <c r="S379" s="166"/>
      <c r="T379" s="166"/>
      <c r="U379" s="166"/>
      <c r="V379" s="166"/>
      <c r="W379" s="166"/>
      <c r="X379" s="166"/>
      <c r="Y379" s="166"/>
      <c r="Z379" s="166"/>
      <c r="AA379" s="166"/>
      <c r="AB379" s="166"/>
      <c r="AC379" s="181"/>
      <c r="AD379" s="181"/>
      <c r="AE379" s="181"/>
      <c r="AF379" s="181"/>
      <c r="AG379" s="181"/>
      <c r="AH379" s="181"/>
      <c r="AI379" s="166"/>
      <c r="AJ379" s="166"/>
      <c r="AK379" s="166"/>
      <c r="AL379" s="166"/>
      <c r="AM379" s="166"/>
      <c r="AN379" s="166"/>
      <c r="AO379" s="166"/>
      <c r="AP379" s="166"/>
      <c r="AQ379" s="166"/>
      <c r="AR379" s="166"/>
      <c r="AS379" s="166"/>
      <c r="AT379" s="166"/>
      <c r="AU379" s="166"/>
      <c r="AV379" s="166"/>
      <c r="AW379" s="166"/>
      <c r="AX379" s="166"/>
      <c r="AY379" s="166"/>
      <c r="AZ379" s="186"/>
      <c r="BA379" s="186"/>
      <c r="BB379" s="186"/>
      <c r="BC379" s="186"/>
      <c r="BD379" s="186"/>
      <c r="BE379" s="186"/>
      <c r="BF379" s="186"/>
      <c r="BG379" s="186"/>
      <c r="BH379" s="186"/>
      <c r="BI379" s="183">
        <f t="shared" si="156"/>
        <v>0</v>
      </c>
      <c r="BJ379" s="183">
        <f t="shared" si="157"/>
        <v>0</v>
      </c>
      <c r="BK379" s="183">
        <f t="shared" si="158"/>
        <v>0</v>
      </c>
      <c r="BL379" s="183">
        <f t="shared" si="159"/>
        <v>0</v>
      </c>
    </row>
    <row r="380" spans="1:64" s="187" customFormat="1" ht="15.75" hidden="1" customHeight="1" outlineLevel="3" x14ac:dyDescent="0.3">
      <c r="A380" s="185"/>
      <c r="B380" s="180" t="s">
        <v>2681</v>
      </c>
      <c r="C380" s="180" t="s">
        <v>83</v>
      </c>
      <c r="D380" s="180" t="s">
        <v>2951</v>
      </c>
      <c r="E380" s="185" t="s">
        <v>2681</v>
      </c>
      <c r="F380" s="185" t="s">
        <v>3363</v>
      </c>
      <c r="G380" s="185">
        <v>36</v>
      </c>
      <c r="H380" s="185" t="str">
        <f>IFERROR(VLOOKUP(G380,'2022. tervsor'!C:D,2,0)," ")</f>
        <v>Egyéb béren kívüli juttatás teljesítése</v>
      </c>
      <c r="I380" s="181">
        <f t="shared" si="169"/>
        <v>0</v>
      </c>
      <c r="J380" s="181">
        <f t="shared" si="168"/>
        <v>0</v>
      </c>
      <c r="K380" s="166">
        <f t="shared" si="170"/>
        <v>0</v>
      </c>
      <c r="L380" s="166">
        <f t="shared" si="167"/>
        <v>0</v>
      </c>
      <c r="M380" s="182"/>
      <c r="N380" s="166"/>
      <c r="O380" s="166"/>
      <c r="P380" s="166"/>
      <c r="Q380" s="166"/>
      <c r="R380" s="166"/>
      <c r="S380" s="166"/>
      <c r="T380" s="166"/>
      <c r="U380" s="166"/>
      <c r="V380" s="166"/>
      <c r="W380" s="166"/>
      <c r="X380" s="166"/>
      <c r="Y380" s="166"/>
      <c r="Z380" s="166"/>
      <c r="AA380" s="166"/>
      <c r="AB380" s="166"/>
      <c r="AC380" s="181"/>
      <c r="AD380" s="181"/>
      <c r="AE380" s="181"/>
      <c r="AF380" s="181"/>
      <c r="AG380" s="181"/>
      <c r="AH380" s="181"/>
      <c r="AI380" s="166"/>
      <c r="AJ380" s="166"/>
      <c r="AK380" s="166"/>
      <c r="AL380" s="166"/>
      <c r="AM380" s="166"/>
      <c r="AN380" s="166"/>
      <c r="AO380" s="166"/>
      <c r="AP380" s="166"/>
      <c r="AQ380" s="166"/>
      <c r="AR380" s="166"/>
      <c r="AS380" s="166"/>
      <c r="AT380" s="166"/>
      <c r="AU380" s="166"/>
      <c r="AV380" s="166"/>
      <c r="AW380" s="166"/>
      <c r="AX380" s="166"/>
      <c r="AY380" s="166"/>
      <c r="AZ380" s="186"/>
      <c r="BA380" s="186"/>
      <c r="BB380" s="186"/>
      <c r="BC380" s="186"/>
      <c r="BD380" s="186"/>
      <c r="BE380" s="186"/>
      <c r="BF380" s="186"/>
      <c r="BG380" s="186"/>
      <c r="BH380" s="186"/>
      <c r="BI380" s="183">
        <f t="shared" si="156"/>
        <v>0</v>
      </c>
      <c r="BJ380" s="183">
        <f t="shared" si="157"/>
        <v>0</v>
      </c>
      <c r="BK380" s="183">
        <f t="shared" si="158"/>
        <v>0</v>
      </c>
      <c r="BL380" s="183">
        <f t="shared" si="159"/>
        <v>0</v>
      </c>
    </row>
    <row r="381" spans="1:64" s="187" customFormat="1" ht="15.75" hidden="1" customHeight="1" outlineLevel="3" x14ac:dyDescent="0.3">
      <c r="A381" s="185"/>
      <c r="B381" s="180" t="s">
        <v>2681</v>
      </c>
      <c r="C381" s="180" t="s">
        <v>83</v>
      </c>
      <c r="D381" s="180" t="s">
        <v>2951</v>
      </c>
      <c r="E381" s="185" t="s">
        <v>2681</v>
      </c>
      <c r="F381" s="185" t="s">
        <v>3363</v>
      </c>
      <c r="G381" s="185">
        <v>37</v>
      </c>
      <c r="H381" s="185" t="str">
        <f>IFERROR(VLOOKUP(G381,'2022. tervsor'!C:D,2,0)," ")</f>
        <v>Munkábajárás útiköltsége, bérlet</v>
      </c>
      <c r="I381" s="181">
        <f t="shared" si="169"/>
        <v>0</v>
      </c>
      <c r="J381" s="181">
        <f t="shared" si="168"/>
        <v>0</v>
      </c>
      <c r="K381" s="166">
        <f t="shared" si="170"/>
        <v>0</v>
      </c>
      <c r="L381" s="166">
        <f t="shared" si="167"/>
        <v>0</v>
      </c>
      <c r="M381" s="182"/>
      <c r="N381" s="166"/>
      <c r="O381" s="166"/>
      <c r="P381" s="166"/>
      <c r="Q381" s="166"/>
      <c r="R381" s="166"/>
      <c r="S381" s="166"/>
      <c r="T381" s="166"/>
      <c r="U381" s="166"/>
      <c r="V381" s="166"/>
      <c r="W381" s="166"/>
      <c r="X381" s="166"/>
      <c r="Y381" s="166"/>
      <c r="Z381" s="166"/>
      <c r="AA381" s="166"/>
      <c r="AB381" s="166"/>
      <c r="AC381" s="181"/>
      <c r="AD381" s="181"/>
      <c r="AE381" s="181"/>
      <c r="AF381" s="181"/>
      <c r="AG381" s="181"/>
      <c r="AH381" s="181"/>
      <c r="AI381" s="166"/>
      <c r="AJ381" s="166"/>
      <c r="AK381" s="166"/>
      <c r="AL381" s="166"/>
      <c r="AM381" s="166"/>
      <c r="AN381" s="166"/>
      <c r="AO381" s="166"/>
      <c r="AP381" s="166"/>
      <c r="AQ381" s="166"/>
      <c r="AR381" s="166"/>
      <c r="AS381" s="166"/>
      <c r="AT381" s="166"/>
      <c r="AU381" s="166"/>
      <c r="AV381" s="166"/>
      <c r="AW381" s="166"/>
      <c r="AX381" s="166"/>
      <c r="AY381" s="166"/>
      <c r="AZ381" s="186"/>
      <c r="BA381" s="186"/>
      <c r="BB381" s="186"/>
      <c r="BC381" s="186"/>
      <c r="BD381" s="186"/>
      <c r="BE381" s="186"/>
      <c r="BF381" s="186"/>
      <c r="BG381" s="186"/>
      <c r="BH381" s="186"/>
      <c r="BI381" s="183">
        <f t="shared" si="156"/>
        <v>0</v>
      </c>
      <c r="BJ381" s="183">
        <f t="shared" si="157"/>
        <v>0</v>
      </c>
      <c r="BK381" s="183">
        <f t="shared" si="158"/>
        <v>0</v>
      </c>
      <c r="BL381" s="183">
        <f t="shared" si="159"/>
        <v>0</v>
      </c>
    </row>
    <row r="382" spans="1:64" s="187" customFormat="1" ht="15.75" hidden="1" customHeight="1" outlineLevel="3" x14ac:dyDescent="0.3">
      <c r="A382" s="185"/>
      <c r="B382" s="180" t="s">
        <v>2681</v>
      </c>
      <c r="C382" s="180" t="s">
        <v>83</v>
      </c>
      <c r="D382" s="180" t="s">
        <v>2951</v>
      </c>
      <c r="E382" s="185" t="s">
        <v>2681</v>
      </c>
      <c r="F382" s="185" t="s">
        <v>3363</v>
      </c>
      <c r="G382" s="185">
        <v>38</v>
      </c>
      <c r="H382" s="185" t="str">
        <f>IFERROR(VLOOKUP(G382,'2022. tervsor'!C:D,2,0)," ")</f>
        <v>Munkábajárás útiköltsége - saját gk. (9 Ft/km)</v>
      </c>
      <c r="I382" s="181">
        <f t="shared" si="169"/>
        <v>0</v>
      </c>
      <c r="J382" s="181">
        <f t="shared" si="168"/>
        <v>0</v>
      </c>
      <c r="K382" s="166">
        <f t="shared" si="170"/>
        <v>0</v>
      </c>
      <c r="L382" s="166">
        <f t="shared" si="167"/>
        <v>0</v>
      </c>
      <c r="M382" s="182"/>
      <c r="N382" s="166"/>
      <c r="O382" s="166"/>
      <c r="P382" s="166"/>
      <c r="Q382" s="166"/>
      <c r="R382" s="166"/>
      <c r="S382" s="166"/>
      <c r="T382" s="166"/>
      <c r="U382" s="166"/>
      <c r="V382" s="166"/>
      <c r="W382" s="166"/>
      <c r="X382" s="166"/>
      <c r="Y382" s="166"/>
      <c r="Z382" s="166"/>
      <c r="AA382" s="166"/>
      <c r="AB382" s="166"/>
      <c r="AC382" s="181"/>
      <c r="AD382" s="181"/>
      <c r="AE382" s="181"/>
      <c r="AF382" s="181"/>
      <c r="AG382" s="181"/>
      <c r="AH382" s="181"/>
      <c r="AI382" s="166"/>
      <c r="AJ382" s="166"/>
      <c r="AK382" s="166"/>
      <c r="AL382" s="166"/>
      <c r="AM382" s="166"/>
      <c r="AN382" s="166"/>
      <c r="AO382" s="166"/>
      <c r="AP382" s="166"/>
      <c r="AQ382" s="166"/>
      <c r="AR382" s="166"/>
      <c r="AS382" s="166"/>
      <c r="AT382" s="166"/>
      <c r="AU382" s="166"/>
      <c r="AV382" s="166"/>
      <c r="AW382" s="166"/>
      <c r="AX382" s="166"/>
      <c r="AY382" s="166"/>
      <c r="AZ382" s="186"/>
      <c r="BA382" s="186"/>
      <c r="BB382" s="186"/>
      <c r="BC382" s="186"/>
      <c r="BD382" s="186"/>
      <c r="BE382" s="186"/>
      <c r="BF382" s="186"/>
      <c r="BG382" s="186"/>
      <c r="BH382" s="186"/>
      <c r="BI382" s="183">
        <f t="shared" si="156"/>
        <v>0</v>
      </c>
      <c r="BJ382" s="183">
        <f t="shared" si="157"/>
        <v>0</v>
      </c>
      <c r="BK382" s="183">
        <f t="shared" si="158"/>
        <v>0</v>
      </c>
      <c r="BL382" s="183">
        <f t="shared" si="159"/>
        <v>0</v>
      </c>
    </row>
    <row r="383" spans="1:64" s="187" customFormat="1" ht="15.75" hidden="1" customHeight="1" outlineLevel="3" x14ac:dyDescent="0.3">
      <c r="A383" s="185"/>
      <c r="B383" s="180" t="s">
        <v>2681</v>
      </c>
      <c r="C383" s="180" t="s">
        <v>83</v>
      </c>
      <c r="D383" s="180" t="s">
        <v>2951</v>
      </c>
      <c r="E383" s="185" t="s">
        <v>2681</v>
      </c>
      <c r="F383" s="185" t="s">
        <v>3363</v>
      </c>
      <c r="G383" s="185">
        <v>39</v>
      </c>
      <c r="H383" s="185" t="str">
        <f>IFERROR(VLOOKUP(G383,'2022. tervsor'!C:D,2,0)," ")</f>
        <v>Egyéb költségtérítések (bankköltség)</v>
      </c>
      <c r="I383" s="181">
        <f t="shared" si="169"/>
        <v>0</v>
      </c>
      <c r="J383" s="181">
        <f t="shared" si="168"/>
        <v>0</v>
      </c>
      <c r="K383" s="166">
        <f t="shared" si="170"/>
        <v>0</v>
      </c>
      <c r="L383" s="166">
        <f t="shared" si="167"/>
        <v>0</v>
      </c>
      <c r="M383" s="182"/>
      <c r="N383" s="166"/>
      <c r="O383" s="166"/>
      <c r="P383" s="166"/>
      <c r="Q383" s="166"/>
      <c r="R383" s="166"/>
      <c r="S383" s="166"/>
      <c r="T383" s="166"/>
      <c r="U383" s="166"/>
      <c r="V383" s="166"/>
      <c r="W383" s="166"/>
      <c r="X383" s="166"/>
      <c r="Y383" s="166"/>
      <c r="Z383" s="166"/>
      <c r="AA383" s="166"/>
      <c r="AB383" s="166"/>
      <c r="AC383" s="181"/>
      <c r="AD383" s="181"/>
      <c r="AE383" s="181"/>
      <c r="AF383" s="181"/>
      <c r="AG383" s="181"/>
      <c r="AH383" s="181"/>
      <c r="AI383" s="166"/>
      <c r="AJ383" s="166"/>
      <c r="AK383" s="166"/>
      <c r="AL383" s="166"/>
      <c r="AM383" s="166"/>
      <c r="AN383" s="166"/>
      <c r="AO383" s="166"/>
      <c r="AP383" s="166"/>
      <c r="AQ383" s="166"/>
      <c r="AR383" s="166"/>
      <c r="AS383" s="166"/>
      <c r="AT383" s="166"/>
      <c r="AU383" s="166"/>
      <c r="AV383" s="166"/>
      <c r="AW383" s="166"/>
      <c r="AX383" s="166"/>
      <c r="AY383" s="166"/>
      <c r="AZ383" s="186"/>
      <c r="BA383" s="186"/>
      <c r="BB383" s="186"/>
      <c r="BC383" s="186"/>
      <c r="BD383" s="186"/>
      <c r="BE383" s="186"/>
      <c r="BF383" s="186"/>
      <c r="BG383" s="186"/>
      <c r="BH383" s="186"/>
      <c r="BI383" s="183">
        <f t="shared" si="156"/>
        <v>0</v>
      </c>
      <c r="BJ383" s="183">
        <f t="shared" si="157"/>
        <v>0</v>
      </c>
      <c r="BK383" s="183">
        <f t="shared" si="158"/>
        <v>0</v>
      </c>
      <c r="BL383" s="183">
        <f t="shared" si="159"/>
        <v>0</v>
      </c>
    </row>
    <row r="384" spans="1:64" s="187" customFormat="1" ht="15.75" hidden="1" customHeight="1" outlineLevel="3" x14ac:dyDescent="0.3">
      <c r="A384" s="185"/>
      <c r="B384" s="180" t="s">
        <v>2681</v>
      </c>
      <c r="C384" s="180" t="s">
        <v>83</v>
      </c>
      <c r="D384" s="180" t="s">
        <v>2951</v>
      </c>
      <c r="E384" s="185" t="s">
        <v>2681</v>
      </c>
      <c r="F384" s="185" t="s">
        <v>3363</v>
      </c>
      <c r="G384" s="185">
        <v>40</v>
      </c>
      <c r="H384" s="185" t="str">
        <f>IFERROR(VLOOKUP(G384,'2022. tervsor'!C:D,2,0)," ")</f>
        <v>Lakhatási támogatás,albérleti hozzájárulás</v>
      </c>
      <c r="I384" s="181">
        <f t="shared" si="169"/>
        <v>0</v>
      </c>
      <c r="J384" s="181">
        <f t="shared" si="168"/>
        <v>0</v>
      </c>
      <c r="K384" s="166">
        <f t="shared" si="170"/>
        <v>0</v>
      </c>
      <c r="L384" s="166">
        <f t="shared" si="167"/>
        <v>0</v>
      </c>
      <c r="M384" s="182"/>
      <c r="N384" s="166"/>
      <c r="O384" s="166"/>
      <c r="P384" s="166"/>
      <c r="Q384" s="166"/>
      <c r="R384" s="166"/>
      <c r="S384" s="166"/>
      <c r="T384" s="166"/>
      <c r="U384" s="166"/>
      <c r="V384" s="166"/>
      <c r="W384" s="166"/>
      <c r="X384" s="166"/>
      <c r="Y384" s="166"/>
      <c r="Z384" s="166"/>
      <c r="AA384" s="166"/>
      <c r="AB384" s="166"/>
      <c r="AC384" s="181"/>
      <c r="AD384" s="181"/>
      <c r="AE384" s="181"/>
      <c r="AF384" s="181"/>
      <c r="AG384" s="181"/>
      <c r="AH384" s="181"/>
      <c r="AI384" s="166"/>
      <c r="AJ384" s="166"/>
      <c r="AK384" s="166"/>
      <c r="AL384" s="166"/>
      <c r="AM384" s="166"/>
      <c r="AN384" s="166"/>
      <c r="AO384" s="166"/>
      <c r="AP384" s="166"/>
      <c r="AQ384" s="166"/>
      <c r="AR384" s="166"/>
      <c r="AS384" s="166"/>
      <c r="AT384" s="166"/>
      <c r="AU384" s="166"/>
      <c r="AV384" s="166"/>
      <c r="AW384" s="166"/>
      <c r="AX384" s="166"/>
      <c r="AY384" s="166"/>
      <c r="AZ384" s="186"/>
      <c r="BA384" s="186"/>
      <c r="BB384" s="186"/>
      <c r="BC384" s="186"/>
      <c r="BD384" s="186"/>
      <c r="BE384" s="186"/>
      <c r="BF384" s="186"/>
      <c r="BG384" s="186"/>
      <c r="BH384" s="186"/>
      <c r="BI384" s="183">
        <f t="shared" si="156"/>
        <v>0</v>
      </c>
      <c r="BJ384" s="183">
        <f t="shared" si="157"/>
        <v>0</v>
      </c>
      <c r="BK384" s="183">
        <f t="shared" si="158"/>
        <v>0</v>
      </c>
      <c r="BL384" s="183">
        <f t="shared" si="159"/>
        <v>0</v>
      </c>
    </row>
    <row r="385" spans="1:64" s="187" customFormat="1" ht="15.75" hidden="1" customHeight="1" outlineLevel="3" x14ac:dyDescent="0.3">
      <c r="A385" s="185"/>
      <c r="B385" s="180" t="s">
        <v>2681</v>
      </c>
      <c r="C385" s="180" t="s">
        <v>83</v>
      </c>
      <c r="D385" s="180" t="s">
        <v>2951</v>
      </c>
      <c r="E385" s="185" t="s">
        <v>2681</v>
      </c>
      <c r="F385" s="185" t="s">
        <v>3363</v>
      </c>
      <c r="G385" s="185">
        <v>41</v>
      </c>
      <c r="H385" s="185" t="str">
        <f>IFERROR(VLOOKUP(G385,'2022. tervsor'!C:D,2,0)," ")</f>
        <v>Szociális jellegű juttatások</v>
      </c>
      <c r="I385" s="181">
        <f t="shared" si="169"/>
        <v>0</v>
      </c>
      <c r="J385" s="181">
        <f t="shared" si="168"/>
        <v>0</v>
      </c>
      <c r="K385" s="166">
        <f t="shared" si="170"/>
        <v>0</v>
      </c>
      <c r="L385" s="166">
        <f t="shared" si="167"/>
        <v>0</v>
      </c>
      <c r="M385" s="182"/>
      <c r="N385" s="166"/>
      <c r="O385" s="166"/>
      <c r="P385" s="166"/>
      <c r="Q385" s="166"/>
      <c r="R385" s="166"/>
      <c r="S385" s="166"/>
      <c r="T385" s="166"/>
      <c r="U385" s="166"/>
      <c r="V385" s="166"/>
      <c r="W385" s="166"/>
      <c r="X385" s="166"/>
      <c r="Y385" s="166"/>
      <c r="Z385" s="166"/>
      <c r="AA385" s="166"/>
      <c r="AB385" s="166"/>
      <c r="AC385" s="181"/>
      <c r="AD385" s="181"/>
      <c r="AE385" s="181"/>
      <c r="AF385" s="181"/>
      <c r="AG385" s="181"/>
      <c r="AH385" s="181"/>
      <c r="AI385" s="166"/>
      <c r="AJ385" s="166"/>
      <c r="AK385" s="166"/>
      <c r="AL385" s="166"/>
      <c r="AM385" s="166"/>
      <c r="AN385" s="166"/>
      <c r="AO385" s="166"/>
      <c r="AP385" s="166"/>
      <c r="AQ385" s="166"/>
      <c r="AR385" s="166"/>
      <c r="AS385" s="166"/>
      <c r="AT385" s="166"/>
      <c r="AU385" s="166"/>
      <c r="AV385" s="166"/>
      <c r="AW385" s="166"/>
      <c r="AX385" s="166"/>
      <c r="AY385" s="166"/>
      <c r="AZ385" s="186"/>
      <c r="BA385" s="186"/>
      <c r="BB385" s="186"/>
      <c r="BC385" s="186"/>
      <c r="BD385" s="186"/>
      <c r="BE385" s="186"/>
      <c r="BF385" s="186"/>
      <c r="BG385" s="186"/>
      <c r="BH385" s="186"/>
      <c r="BI385" s="183">
        <f t="shared" si="156"/>
        <v>0</v>
      </c>
      <c r="BJ385" s="183">
        <f t="shared" si="157"/>
        <v>0</v>
      </c>
      <c r="BK385" s="183">
        <f t="shared" si="158"/>
        <v>0</v>
      </c>
      <c r="BL385" s="183">
        <f t="shared" si="159"/>
        <v>0</v>
      </c>
    </row>
    <row r="386" spans="1:64" s="187" customFormat="1" ht="15.75" hidden="1" customHeight="1" outlineLevel="3" x14ac:dyDescent="0.3">
      <c r="A386" s="185"/>
      <c r="B386" s="180" t="s">
        <v>2681</v>
      </c>
      <c r="C386" s="180" t="s">
        <v>83</v>
      </c>
      <c r="D386" s="180" t="s">
        <v>2951</v>
      </c>
      <c r="E386" s="185" t="s">
        <v>2681</v>
      </c>
      <c r="F386" s="185" t="s">
        <v>3363</v>
      </c>
      <c r="G386" s="185">
        <v>42</v>
      </c>
      <c r="H386" s="185" t="str">
        <f>IFERROR(VLOOKUP(G386,'2022. tervsor'!C:D,2,0)," ")</f>
        <v>Foglalkoztatottak e.szem.jutt.  (Távolléti díj)</v>
      </c>
      <c r="I386" s="181">
        <f t="shared" si="169"/>
        <v>0</v>
      </c>
      <c r="J386" s="181">
        <f t="shared" si="168"/>
        <v>0</v>
      </c>
      <c r="K386" s="166">
        <f t="shared" si="170"/>
        <v>0</v>
      </c>
      <c r="L386" s="166">
        <f t="shared" si="167"/>
        <v>0</v>
      </c>
      <c r="M386" s="182"/>
      <c r="N386" s="166"/>
      <c r="O386" s="166"/>
      <c r="P386" s="166"/>
      <c r="Q386" s="166"/>
      <c r="R386" s="166"/>
      <c r="S386" s="166"/>
      <c r="T386" s="166"/>
      <c r="U386" s="166"/>
      <c r="V386" s="166"/>
      <c r="W386" s="166"/>
      <c r="X386" s="166"/>
      <c r="Y386" s="166"/>
      <c r="Z386" s="166"/>
      <c r="AA386" s="166"/>
      <c r="AB386" s="166"/>
      <c r="AC386" s="181"/>
      <c r="AD386" s="181"/>
      <c r="AE386" s="181"/>
      <c r="AF386" s="181"/>
      <c r="AG386" s="181"/>
      <c r="AH386" s="181"/>
      <c r="AI386" s="166"/>
      <c r="AJ386" s="166"/>
      <c r="AK386" s="166"/>
      <c r="AL386" s="166"/>
      <c r="AM386" s="166"/>
      <c r="AN386" s="166"/>
      <c r="AO386" s="166"/>
      <c r="AP386" s="166"/>
      <c r="AQ386" s="166"/>
      <c r="AR386" s="166"/>
      <c r="AS386" s="166"/>
      <c r="AT386" s="166"/>
      <c r="AU386" s="166"/>
      <c r="AV386" s="166"/>
      <c r="AW386" s="166"/>
      <c r="AX386" s="166"/>
      <c r="AY386" s="166"/>
      <c r="AZ386" s="186"/>
      <c r="BA386" s="186"/>
      <c r="BB386" s="186"/>
      <c r="BC386" s="186"/>
      <c r="BD386" s="186"/>
      <c r="BE386" s="186"/>
      <c r="BF386" s="186"/>
      <c r="BG386" s="186"/>
      <c r="BH386" s="186"/>
      <c r="BI386" s="183">
        <f t="shared" ref="BI386:BI449" si="171">+SUM(N386:AA386)</f>
        <v>0</v>
      </c>
      <c r="BJ386" s="183">
        <f t="shared" ref="BJ386:BJ449" si="172">+AB386</f>
        <v>0</v>
      </c>
      <c r="BK386" s="183">
        <f t="shared" ref="BK386:BK449" si="173">+SUM(AC386:AM386)</f>
        <v>0</v>
      </c>
      <c r="BL386" s="183">
        <f t="shared" ref="BL386:BL449" si="174">+SUM(AN386:BH386)</f>
        <v>0</v>
      </c>
    </row>
    <row r="387" spans="1:64" s="187" customFormat="1" ht="15.75" hidden="1" customHeight="1" outlineLevel="3" x14ac:dyDescent="0.3">
      <c r="A387" s="185"/>
      <c r="B387" s="180" t="s">
        <v>2681</v>
      </c>
      <c r="C387" s="180" t="s">
        <v>83</v>
      </c>
      <c r="D387" s="180" t="s">
        <v>2951</v>
      </c>
      <c r="E387" s="185" t="s">
        <v>2681</v>
      </c>
      <c r="F387" s="185" t="s">
        <v>3363</v>
      </c>
      <c r="G387" s="185">
        <v>43</v>
      </c>
      <c r="H387" s="185" t="str">
        <f>IFERROR(VLOOKUP(G387,'2022. tervsor'!C:D,2,0)," ")</f>
        <v>Saját munkavállaló oktatási megbízási díj</v>
      </c>
      <c r="I387" s="181">
        <f t="shared" si="169"/>
        <v>0</v>
      </c>
      <c r="J387" s="181">
        <f t="shared" ref="J387:J418" si="175">SUM(N387:AM387)</f>
        <v>0</v>
      </c>
      <c r="K387" s="166">
        <f t="shared" si="170"/>
        <v>0</v>
      </c>
      <c r="L387" s="166">
        <f t="shared" ref="L387:L418" si="176">SUM(N387:BH387)</f>
        <v>0</v>
      </c>
      <c r="M387" s="182"/>
      <c r="N387" s="166"/>
      <c r="O387" s="166"/>
      <c r="P387" s="166"/>
      <c r="Q387" s="166"/>
      <c r="R387" s="166"/>
      <c r="S387" s="166"/>
      <c r="T387" s="166"/>
      <c r="U387" s="166"/>
      <c r="V387" s="166"/>
      <c r="W387" s="166"/>
      <c r="X387" s="166"/>
      <c r="Y387" s="166"/>
      <c r="Z387" s="166"/>
      <c r="AA387" s="166"/>
      <c r="AB387" s="166"/>
      <c r="AC387" s="181"/>
      <c r="AD387" s="181"/>
      <c r="AE387" s="181"/>
      <c r="AF387" s="181"/>
      <c r="AG387" s="181"/>
      <c r="AH387" s="181"/>
      <c r="AI387" s="166"/>
      <c r="AJ387" s="166"/>
      <c r="AK387" s="166"/>
      <c r="AL387" s="166"/>
      <c r="AM387" s="166"/>
      <c r="AN387" s="166"/>
      <c r="AO387" s="166"/>
      <c r="AP387" s="166"/>
      <c r="AQ387" s="166"/>
      <c r="AR387" s="166"/>
      <c r="AS387" s="166"/>
      <c r="AT387" s="166"/>
      <c r="AU387" s="166"/>
      <c r="AV387" s="166"/>
      <c r="AW387" s="166"/>
      <c r="AX387" s="166"/>
      <c r="AY387" s="166"/>
      <c r="AZ387" s="186"/>
      <c r="BA387" s="186"/>
      <c r="BB387" s="186"/>
      <c r="BC387" s="186"/>
      <c r="BD387" s="186"/>
      <c r="BE387" s="186"/>
      <c r="BF387" s="186"/>
      <c r="BG387" s="186"/>
      <c r="BH387" s="186"/>
      <c r="BI387" s="183">
        <f t="shared" si="171"/>
        <v>0</v>
      </c>
      <c r="BJ387" s="183">
        <f t="shared" si="172"/>
        <v>0</v>
      </c>
      <c r="BK387" s="183">
        <f t="shared" si="173"/>
        <v>0</v>
      </c>
      <c r="BL387" s="183">
        <f t="shared" si="174"/>
        <v>0</v>
      </c>
    </row>
    <row r="388" spans="1:64" s="187" customFormat="1" ht="15.75" hidden="1" customHeight="1" outlineLevel="3" x14ac:dyDescent="0.3">
      <c r="A388" s="185"/>
      <c r="B388" s="180" t="s">
        <v>2681</v>
      </c>
      <c r="C388" s="180" t="s">
        <v>83</v>
      </c>
      <c r="D388" s="180" t="s">
        <v>2951</v>
      </c>
      <c r="E388" s="185" t="s">
        <v>2681</v>
      </c>
      <c r="F388" s="185" t="s">
        <v>3363</v>
      </c>
      <c r="G388" s="185">
        <v>44</v>
      </c>
      <c r="H388" s="185" t="str">
        <f>IFERROR(VLOOKUP(G388,'2022. tervsor'!C:D,2,0)," ")</f>
        <v>Külföldi napidíj teljesítése</v>
      </c>
      <c r="I388" s="181">
        <f t="shared" si="169"/>
        <v>0</v>
      </c>
      <c r="J388" s="181">
        <f t="shared" si="175"/>
        <v>0</v>
      </c>
      <c r="K388" s="166">
        <f t="shared" si="170"/>
        <v>0</v>
      </c>
      <c r="L388" s="166">
        <f t="shared" si="176"/>
        <v>0</v>
      </c>
      <c r="M388" s="182"/>
      <c r="N388" s="166"/>
      <c r="O388" s="166"/>
      <c r="P388" s="166"/>
      <c r="Q388" s="166"/>
      <c r="R388" s="166"/>
      <c r="S388" s="166"/>
      <c r="T388" s="166"/>
      <c r="U388" s="166"/>
      <c r="V388" s="166"/>
      <c r="W388" s="166"/>
      <c r="X388" s="166"/>
      <c r="Y388" s="166"/>
      <c r="Z388" s="166"/>
      <c r="AA388" s="166"/>
      <c r="AB388" s="166"/>
      <c r="AC388" s="181"/>
      <c r="AD388" s="181"/>
      <c r="AE388" s="181"/>
      <c r="AF388" s="181"/>
      <c r="AG388" s="181"/>
      <c r="AH388" s="181"/>
      <c r="AI388" s="166"/>
      <c r="AJ388" s="166"/>
      <c r="AK388" s="166"/>
      <c r="AL388" s="166"/>
      <c r="AM388" s="166"/>
      <c r="AN388" s="166"/>
      <c r="AO388" s="166"/>
      <c r="AP388" s="166"/>
      <c r="AQ388" s="166"/>
      <c r="AR388" s="166"/>
      <c r="AS388" s="166"/>
      <c r="AT388" s="166"/>
      <c r="AU388" s="166"/>
      <c r="AV388" s="166"/>
      <c r="AW388" s="166"/>
      <c r="AX388" s="166"/>
      <c r="AY388" s="166"/>
      <c r="AZ388" s="186"/>
      <c r="BA388" s="186"/>
      <c r="BB388" s="186"/>
      <c r="BC388" s="186"/>
      <c r="BD388" s="186"/>
      <c r="BE388" s="186"/>
      <c r="BF388" s="186"/>
      <c r="BG388" s="186"/>
      <c r="BH388" s="186"/>
      <c r="BI388" s="183">
        <f t="shared" si="171"/>
        <v>0</v>
      </c>
      <c r="BJ388" s="183">
        <f t="shared" si="172"/>
        <v>0</v>
      </c>
      <c r="BK388" s="183">
        <f t="shared" si="173"/>
        <v>0</v>
      </c>
      <c r="BL388" s="183">
        <f t="shared" si="174"/>
        <v>0</v>
      </c>
    </row>
    <row r="389" spans="1:64" s="187" customFormat="1" ht="15.75" hidden="1" customHeight="1" outlineLevel="3" x14ac:dyDescent="0.3">
      <c r="A389" s="185"/>
      <c r="B389" s="180" t="s">
        <v>2681</v>
      </c>
      <c r="C389" s="180" t="s">
        <v>83</v>
      </c>
      <c r="D389" s="180" t="s">
        <v>2951</v>
      </c>
      <c r="E389" s="185" t="s">
        <v>2681</v>
      </c>
      <c r="F389" s="185" t="s">
        <v>3363</v>
      </c>
      <c r="G389" s="185">
        <v>45</v>
      </c>
      <c r="H389" s="185" t="str">
        <f>IFERROR(VLOOKUP(G389,'2022. tervsor'!C:D,2,0)," ")</f>
        <v>Bérkompenzáció (teljes és részmunkaidős foglalk.)</v>
      </c>
      <c r="I389" s="181">
        <f t="shared" si="169"/>
        <v>0</v>
      </c>
      <c r="J389" s="181">
        <f t="shared" si="175"/>
        <v>0</v>
      </c>
      <c r="K389" s="166">
        <f t="shared" si="170"/>
        <v>0</v>
      </c>
      <c r="L389" s="166">
        <f t="shared" si="176"/>
        <v>0</v>
      </c>
      <c r="M389" s="182"/>
      <c r="N389" s="166"/>
      <c r="O389" s="166"/>
      <c r="P389" s="166"/>
      <c r="Q389" s="166"/>
      <c r="R389" s="166"/>
      <c r="S389" s="166"/>
      <c r="T389" s="166"/>
      <c r="U389" s="166"/>
      <c r="V389" s="166"/>
      <c r="W389" s="166"/>
      <c r="X389" s="166"/>
      <c r="Y389" s="166"/>
      <c r="Z389" s="166"/>
      <c r="AA389" s="166"/>
      <c r="AB389" s="166"/>
      <c r="AC389" s="181"/>
      <c r="AD389" s="181"/>
      <c r="AE389" s="181"/>
      <c r="AF389" s="181"/>
      <c r="AG389" s="181"/>
      <c r="AH389" s="181"/>
      <c r="AI389" s="166"/>
      <c r="AJ389" s="166"/>
      <c r="AK389" s="166"/>
      <c r="AL389" s="166"/>
      <c r="AM389" s="166"/>
      <c r="AN389" s="166"/>
      <c r="AO389" s="166"/>
      <c r="AP389" s="166"/>
      <c r="AQ389" s="166"/>
      <c r="AR389" s="166"/>
      <c r="AS389" s="166"/>
      <c r="AT389" s="166"/>
      <c r="AU389" s="166"/>
      <c r="AV389" s="166"/>
      <c r="AW389" s="166"/>
      <c r="AX389" s="166"/>
      <c r="AY389" s="166"/>
      <c r="AZ389" s="186"/>
      <c r="BA389" s="186"/>
      <c r="BB389" s="186"/>
      <c r="BC389" s="186"/>
      <c r="BD389" s="186"/>
      <c r="BE389" s="186"/>
      <c r="BF389" s="186"/>
      <c r="BG389" s="186"/>
      <c r="BH389" s="186"/>
      <c r="BI389" s="183">
        <f t="shared" si="171"/>
        <v>0</v>
      </c>
      <c r="BJ389" s="183">
        <f t="shared" si="172"/>
        <v>0</v>
      </c>
      <c r="BK389" s="183">
        <f t="shared" si="173"/>
        <v>0</v>
      </c>
      <c r="BL389" s="183">
        <f t="shared" si="174"/>
        <v>0</v>
      </c>
    </row>
    <row r="390" spans="1:64" s="187" customFormat="1" ht="15.75" hidden="1" customHeight="1" outlineLevel="3" x14ac:dyDescent="0.3">
      <c r="A390" s="185"/>
      <c r="B390" s="180" t="s">
        <v>2681</v>
      </c>
      <c r="C390" s="180" t="s">
        <v>83</v>
      </c>
      <c r="D390" s="180" t="s">
        <v>2951</v>
      </c>
      <c r="E390" s="185" t="s">
        <v>2681</v>
      </c>
      <c r="F390" s="185" t="s">
        <v>3363</v>
      </c>
      <c r="G390" s="185">
        <v>47</v>
      </c>
      <c r="H390" s="185" t="str">
        <f>IFERROR(VLOOKUP(G390,'2022. tervsor'!C:D,2,0)," ")</f>
        <v>Külső megbízott megbízási díj teljesítése</v>
      </c>
      <c r="I390" s="181">
        <f t="shared" si="169"/>
        <v>0</v>
      </c>
      <c r="J390" s="181">
        <f t="shared" si="175"/>
        <v>0</v>
      </c>
      <c r="K390" s="166">
        <f t="shared" si="170"/>
        <v>0</v>
      </c>
      <c r="L390" s="166">
        <f t="shared" si="176"/>
        <v>0</v>
      </c>
      <c r="M390" s="182"/>
      <c r="N390" s="166"/>
      <c r="O390" s="166"/>
      <c r="P390" s="166"/>
      <c r="Q390" s="166"/>
      <c r="R390" s="166"/>
      <c r="S390" s="166"/>
      <c r="T390" s="166"/>
      <c r="U390" s="166"/>
      <c r="V390" s="166"/>
      <c r="W390" s="166"/>
      <c r="X390" s="166"/>
      <c r="Y390" s="166"/>
      <c r="Z390" s="166"/>
      <c r="AA390" s="166"/>
      <c r="AB390" s="166"/>
      <c r="AC390" s="181"/>
      <c r="AD390" s="181"/>
      <c r="AE390" s="181"/>
      <c r="AF390" s="181"/>
      <c r="AG390" s="181"/>
      <c r="AH390" s="181"/>
      <c r="AI390" s="166"/>
      <c r="AJ390" s="166"/>
      <c r="AK390" s="166"/>
      <c r="AL390" s="166"/>
      <c r="AM390" s="166"/>
      <c r="AN390" s="166"/>
      <c r="AO390" s="166"/>
      <c r="AP390" s="166"/>
      <c r="AQ390" s="166"/>
      <c r="AR390" s="166"/>
      <c r="AS390" s="166"/>
      <c r="AT390" s="166"/>
      <c r="AU390" s="166"/>
      <c r="AV390" s="166"/>
      <c r="AW390" s="166"/>
      <c r="AX390" s="166"/>
      <c r="AY390" s="166"/>
      <c r="AZ390" s="186"/>
      <c r="BA390" s="186"/>
      <c r="BB390" s="186"/>
      <c r="BC390" s="186"/>
      <c r="BD390" s="186"/>
      <c r="BE390" s="186"/>
      <c r="BF390" s="186"/>
      <c r="BG390" s="186"/>
      <c r="BH390" s="186"/>
      <c r="BI390" s="183">
        <f t="shared" si="171"/>
        <v>0</v>
      </c>
      <c r="BJ390" s="183">
        <f t="shared" si="172"/>
        <v>0</v>
      </c>
      <c r="BK390" s="183">
        <f t="shared" si="173"/>
        <v>0</v>
      </c>
      <c r="BL390" s="183">
        <f t="shared" si="174"/>
        <v>0</v>
      </c>
    </row>
    <row r="391" spans="1:64" s="187" customFormat="1" ht="15.75" hidden="1" customHeight="1" outlineLevel="3" x14ac:dyDescent="0.3">
      <c r="A391" s="185"/>
      <c r="B391" s="180" t="s">
        <v>2681</v>
      </c>
      <c r="C391" s="180" t="s">
        <v>83</v>
      </c>
      <c r="D391" s="180" t="s">
        <v>2951</v>
      </c>
      <c r="E391" s="185" t="s">
        <v>2681</v>
      </c>
      <c r="F391" s="185" t="s">
        <v>3363</v>
      </c>
      <c r="G391" s="185">
        <v>48</v>
      </c>
      <c r="H391" s="185" t="str">
        <f>IFERROR(VLOOKUP(G391,'2022. tervsor'!C:D,2,0)," ")</f>
        <v>Külsős tiszteletdíj,szerzői díj,honoráriuma</v>
      </c>
      <c r="I391" s="181">
        <f t="shared" si="169"/>
        <v>0</v>
      </c>
      <c r="J391" s="181">
        <f t="shared" si="175"/>
        <v>0</v>
      </c>
      <c r="K391" s="166">
        <f t="shared" si="170"/>
        <v>0</v>
      </c>
      <c r="L391" s="166">
        <f t="shared" si="176"/>
        <v>0</v>
      </c>
      <c r="M391" s="182"/>
      <c r="N391" s="166"/>
      <c r="O391" s="166"/>
      <c r="P391" s="166"/>
      <c r="Q391" s="166"/>
      <c r="R391" s="166"/>
      <c r="S391" s="166"/>
      <c r="T391" s="166"/>
      <c r="U391" s="166"/>
      <c r="V391" s="166"/>
      <c r="W391" s="166"/>
      <c r="X391" s="166"/>
      <c r="Y391" s="166"/>
      <c r="Z391" s="166"/>
      <c r="AA391" s="166"/>
      <c r="AB391" s="166"/>
      <c r="AC391" s="181"/>
      <c r="AD391" s="181"/>
      <c r="AE391" s="181"/>
      <c r="AF391" s="181"/>
      <c r="AG391" s="181"/>
      <c r="AH391" s="181"/>
      <c r="AI391" s="166"/>
      <c r="AJ391" s="166"/>
      <c r="AK391" s="166"/>
      <c r="AL391" s="166"/>
      <c r="AM391" s="166"/>
      <c r="AN391" s="166"/>
      <c r="AO391" s="166"/>
      <c r="AP391" s="166"/>
      <c r="AQ391" s="166"/>
      <c r="AR391" s="166"/>
      <c r="AS391" s="166"/>
      <c r="AT391" s="166"/>
      <c r="AU391" s="166"/>
      <c r="AV391" s="166"/>
      <c r="AW391" s="166"/>
      <c r="AX391" s="166"/>
      <c r="AY391" s="166"/>
      <c r="AZ391" s="186"/>
      <c r="BA391" s="186"/>
      <c r="BB391" s="186"/>
      <c r="BC391" s="186"/>
      <c r="BD391" s="186"/>
      <c r="BE391" s="186"/>
      <c r="BF391" s="186"/>
      <c r="BG391" s="186"/>
      <c r="BH391" s="186"/>
      <c r="BI391" s="183">
        <f t="shared" si="171"/>
        <v>0</v>
      </c>
      <c r="BJ391" s="183">
        <f t="shared" si="172"/>
        <v>0</v>
      </c>
      <c r="BK391" s="183">
        <f t="shared" si="173"/>
        <v>0</v>
      </c>
      <c r="BL391" s="183">
        <f t="shared" si="174"/>
        <v>0</v>
      </c>
    </row>
    <row r="392" spans="1:64" s="187" customFormat="1" ht="15.75" hidden="1" customHeight="1" outlineLevel="3" x14ac:dyDescent="0.3">
      <c r="A392" s="185"/>
      <c r="B392" s="180" t="s">
        <v>2681</v>
      </c>
      <c r="C392" s="180" t="s">
        <v>83</v>
      </c>
      <c r="D392" s="180" t="s">
        <v>2951</v>
      </c>
      <c r="E392" s="185" t="s">
        <v>2681</v>
      </c>
      <c r="F392" s="185" t="s">
        <v>3363</v>
      </c>
      <c r="G392" s="185">
        <v>49</v>
      </c>
      <c r="H392" s="185" t="str">
        <f>IFERROR(VLOOKUP(G392,'2022. tervsor'!C:D,2,0)," ")</f>
        <v>Külsős belföldi napidíj teljesítése</v>
      </c>
      <c r="I392" s="181">
        <f t="shared" si="169"/>
        <v>0</v>
      </c>
      <c r="J392" s="181">
        <f t="shared" si="175"/>
        <v>0</v>
      </c>
      <c r="K392" s="166">
        <f t="shared" si="170"/>
        <v>0</v>
      </c>
      <c r="L392" s="166">
        <f t="shared" si="176"/>
        <v>0</v>
      </c>
      <c r="M392" s="182"/>
      <c r="N392" s="166"/>
      <c r="O392" s="166"/>
      <c r="P392" s="166"/>
      <c r="Q392" s="166"/>
      <c r="R392" s="166"/>
      <c r="S392" s="166"/>
      <c r="T392" s="166"/>
      <c r="U392" s="166"/>
      <c r="V392" s="166"/>
      <c r="W392" s="166"/>
      <c r="X392" s="166"/>
      <c r="Y392" s="166"/>
      <c r="Z392" s="166"/>
      <c r="AA392" s="166"/>
      <c r="AB392" s="166"/>
      <c r="AC392" s="181"/>
      <c r="AD392" s="181"/>
      <c r="AE392" s="181"/>
      <c r="AF392" s="181"/>
      <c r="AG392" s="181"/>
      <c r="AH392" s="181"/>
      <c r="AI392" s="166"/>
      <c r="AJ392" s="166"/>
      <c r="AK392" s="166"/>
      <c r="AL392" s="166"/>
      <c r="AM392" s="166"/>
      <c r="AN392" s="166"/>
      <c r="AO392" s="166"/>
      <c r="AP392" s="166"/>
      <c r="AQ392" s="166"/>
      <c r="AR392" s="166"/>
      <c r="AS392" s="166"/>
      <c r="AT392" s="166"/>
      <c r="AU392" s="166"/>
      <c r="AV392" s="166"/>
      <c r="AW392" s="166"/>
      <c r="AX392" s="166"/>
      <c r="AY392" s="166"/>
      <c r="AZ392" s="186"/>
      <c r="BA392" s="186"/>
      <c r="BB392" s="186"/>
      <c r="BC392" s="186"/>
      <c r="BD392" s="186"/>
      <c r="BE392" s="186"/>
      <c r="BF392" s="186"/>
      <c r="BG392" s="186"/>
      <c r="BH392" s="186"/>
      <c r="BI392" s="183">
        <f t="shared" si="171"/>
        <v>0</v>
      </c>
      <c r="BJ392" s="183">
        <f t="shared" si="172"/>
        <v>0</v>
      </c>
      <c r="BK392" s="183">
        <f t="shared" si="173"/>
        <v>0</v>
      </c>
      <c r="BL392" s="183">
        <f t="shared" si="174"/>
        <v>0</v>
      </c>
    </row>
    <row r="393" spans="1:64" s="187" customFormat="1" ht="15.75" hidden="1" customHeight="1" outlineLevel="3" x14ac:dyDescent="0.3">
      <c r="A393" s="185"/>
      <c r="B393" s="180" t="s">
        <v>2681</v>
      </c>
      <c r="C393" s="180" t="s">
        <v>83</v>
      </c>
      <c r="D393" s="180" t="s">
        <v>2951</v>
      </c>
      <c r="E393" s="185" t="s">
        <v>2681</v>
      </c>
      <c r="F393" s="185" t="s">
        <v>3363</v>
      </c>
      <c r="G393" s="185">
        <v>50</v>
      </c>
      <c r="H393" s="185" t="str">
        <f>IFERROR(VLOOKUP(G393,'2022. tervsor'!C:D,2,0)," ")</f>
        <v>Külsős külföldi napidíj teljesítése</v>
      </c>
      <c r="I393" s="181">
        <f t="shared" si="169"/>
        <v>0</v>
      </c>
      <c r="J393" s="181">
        <f t="shared" si="175"/>
        <v>0</v>
      </c>
      <c r="K393" s="166">
        <f t="shared" si="170"/>
        <v>0</v>
      </c>
      <c r="L393" s="166">
        <f t="shared" si="176"/>
        <v>0</v>
      </c>
      <c r="M393" s="182"/>
      <c r="N393" s="166"/>
      <c r="O393" s="166"/>
      <c r="P393" s="166"/>
      <c r="Q393" s="166"/>
      <c r="R393" s="166"/>
      <c r="S393" s="166"/>
      <c r="T393" s="166"/>
      <c r="U393" s="166"/>
      <c r="V393" s="166"/>
      <c r="W393" s="166"/>
      <c r="X393" s="166"/>
      <c r="Y393" s="166"/>
      <c r="Z393" s="166"/>
      <c r="AA393" s="166"/>
      <c r="AB393" s="166"/>
      <c r="AC393" s="181"/>
      <c r="AD393" s="181"/>
      <c r="AE393" s="181"/>
      <c r="AF393" s="181"/>
      <c r="AG393" s="181"/>
      <c r="AH393" s="181"/>
      <c r="AI393" s="166"/>
      <c r="AJ393" s="166"/>
      <c r="AK393" s="166"/>
      <c r="AL393" s="166"/>
      <c r="AM393" s="166"/>
      <c r="AN393" s="166"/>
      <c r="AO393" s="166"/>
      <c r="AP393" s="166"/>
      <c r="AQ393" s="166"/>
      <c r="AR393" s="166"/>
      <c r="AS393" s="166"/>
      <c r="AT393" s="166"/>
      <c r="AU393" s="166"/>
      <c r="AV393" s="166"/>
      <c r="AW393" s="166"/>
      <c r="AX393" s="166"/>
      <c r="AY393" s="166"/>
      <c r="AZ393" s="186"/>
      <c r="BA393" s="186"/>
      <c r="BB393" s="186"/>
      <c r="BC393" s="186"/>
      <c r="BD393" s="186"/>
      <c r="BE393" s="186"/>
      <c r="BF393" s="186"/>
      <c r="BG393" s="186"/>
      <c r="BH393" s="186"/>
      <c r="BI393" s="183">
        <f t="shared" si="171"/>
        <v>0</v>
      </c>
      <c r="BJ393" s="183">
        <f t="shared" si="172"/>
        <v>0</v>
      </c>
      <c r="BK393" s="183">
        <f t="shared" si="173"/>
        <v>0</v>
      </c>
      <c r="BL393" s="183">
        <f t="shared" si="174"/>
        <v>0</v>
      </c>
    </row>
    <row r="394" spans="1:64" s="187" customFormat="1" ht="15.75" hidden="1" customHeight="1" outlineLevel="3" x14ac:dyDescent="0.3">
      <c r="A394" s="185"/>
      <c r="B394" s="180" t="s">
        <v>2681</v>
      </c>
      <c r="C394" s="180" t="s">
        <v>83</v>
      </c>
      <c r="D394" s="180" t="s">
        <v>2951</v>
      </c>
      <c r="E394" s="185" t="s">
        <v>2681</v>
      </c>
      <c r="F394" s="185" t="s">
        <v>3363</v>
      </c>
      <c r="G394" s="185">
        <v>51</v>
      </c>
      <c r="H394" s="185" t="str">
        <f>IFERROR(VLOOKUP(G394,'2022. tervsor'!C:D,2,0)," ")</f>
        <v>MVÉGZÉSRE IR. E. JOGVISZONYBAN FIZETETT JUTTATÁSOK</v>
      </c>
      <c r="I394" s="181">
        <f t="shared" si="169"/>
        <v>0</v>
      </c>
      <c r="J394" s="181">
        <f t="shared" si="175"/>
        <v>0</v>
      </c>
      <c r="K394" s="166">
        <f t="shared" si="170"/>
        <v>0</v>
      </c>
      <c r="L394" s="166">
        <f t="shared" si="176"/>
        <v>0</v>
      </c>
      <c r="M394" s="182"/>
      <c r="N394" s="166"/>
      <c r="O394" s="166"/>
      <c r="P394" s="166"/>
      <c r="Q394" s="166"/>
      <c r="R394" s="166"/>
      <c r="S394" s="166"/>
      <c r="T394" s="166"/>
      <c r="U394" s="166"/>
      <c r="V394" s="166"/>
      <c r="W394" s="166"/>
      <c r="X394" s="166"/>
      <c r="Y394" s="166"/>
      <c r="Z394" s="166"/>
      <c r="AA394" s="166"/>
      <c r="AB394" s="166"/>
      <c r="AC394" s="181"/>
      <c r="AD394" s="181"/>
      <c r="AE394" s="181"/>
      <c r="AF394" s="181"/>
      <c r="AG394" s="181"/>
      <c r="AH394" s="181"/>
      <c r="AI394" s="166"/>
      <c r="AJ394" s="166"/>
      <c r="AK394" s="166"/>
      <c r="AL394" s="166"/>
      <c r="AM394" s="166"/>
      <c r="AN394" s="166"/>
      <c r="AO394" s="166"/>
      <c r="AP394" s="166"/>
      <c r="AQ394" s="166"/>
      <c r="AR394" s="166"/>
      <c r="AS394" s="166"/>
      <c r="AT394" s="166"/>
      <c r="AU394" s="166"/>
      <c r="AV394" s="166"/>
      <c r="AW394" s="166"/>
      <c r="AX394" s="166"/>
      <c r="AY394" s="166"/>
      <c r="AZ394" s="186"/>
      <c r="BA394" s="186"/>
      <c r="BB394" s="186"/>
      <c r="BC394" s="186"/>
      <c r="BD394" s="186"/>
      <c r="BE394" s="186"/>
      <c r="BF394" s="186"/>
      <c r="BG394" s="186"/>
      <c r="BH394" s="186"/>
      <c r="BI394" s="183">
        <f t="shared" si="171"/>
        <v>0</v>
      </c>
      <c r="BJ394" s="183">
        <f t="shared" si="172"/>
        <v>0</v>
      </c>
      <c r="BK394" s="183">
        <f t="shared" si="173"/>
        <v>0</v>
      </c>
      <c r="BL394" s="183">
        <f t="shared" si="174"/>
        <v>0</v>
      </c>
    </row>
    <row r="395" spans="1:64" s="187" customFormat="1" ht="15.75" hidden="1" customHeight="1" outlineLevel="3" x14ac:dyDescent="0.3">
      <c r="A395" s="185"/>
      <c r="B395" s="180" t="s">
        <v>2681</v>
      </c>
      <c r="C395" s="180" t="s">
        <v>83</v>
      </c>
      <c r="D395" s="180" t="s">
        <v>2951</v>
      </c>
      <c r="E395" s="185" t="s">
        <v>2681</v>
      </c>
      <c r="F395" s="185" t="s">
        <v>3363</v>
      </c>
      <c r="G395" s="185">
        <v>52</v>
      </c>
      <c r="H395" s="185" t="str">
        <f>IFERROR(VLOOKUP(G395,'2022. tervsor'!C:D,2,0)," ")</f>
        <v>Felmentési bér teljesítése</v>
      </c>
      <c r="I395" s="181">
        <f t="shared" si="169"/>
        <v>0</v>
      </c>
      <c r="J395" s="181">
        <f t="shared" si="175"/>
        <v>0</v>
      </c>
      <c r="K395" s="166">
        <f t="shared" si="170"/>
        <v>0</v>
      </c>
      <c r="L395" s="166">
        <f t="shared" si="176"/>
        <v>0</v>
      </c>
      <c r="M395" s="182"/>
      <c r="N395" s="166"/>
      <c r="O395" s="166"/>
      <c r="P395" s="166"/>
      <c r="Q395" s="166"/>
      <c r="R395" s="166"/>
      <c r="S395" s="166"/>
      <c r="T395" s="166"/>
      <c r="U395" s="166"/>
      <c r="V395" s="166"/>
      <c r="W395" s="166"/>
      <c r="X395" s="166"/>
      <c r="Y395" s="166"/>
      <c r="Z395" s="166"/>
      <c r="AA395" s="166"/>
      <c r="AB395" s="166"/>
      <c r="AC395" s="181"/>
      <c r="AD395" s="181"/>
      <c r="AE395" s="181"/>
      <c r="AF395" s="181"/>
      <c r="AG395" s="181"/>
      <c r="AH395" s="181"/>
      <c r="AI395" s="166"/>
      <c r="AJ395" s="166"/>
      <c r="AK395" s="166"/>
      <c r="AL395" s="166"/>
      <c r="AM395" s="166"/>
      <c r="AN395" s="166"/>
      <c r="AO395" s="166"/>
      <c r="AP395" s="166"/>
      <c r="AQ395" s="166"/>
      <c r="AR395" s="166"/>
      <c r="AS395" s="166"/>
      <c r="AT395" s="166"/>
      <c r="AU395" s="166"/>
      <c r="AV395" s="166"/>
      <c r="AW395" s="166"/>
      <c r="AX395" s="166"/>
      <c r="AY395" s="166"/>
      <c r="AZ395" s="186"/>
      <c r="BA395" s="186"/>
      <c r="BB395" s="186"/>
      <c r="BC395" s="186"/>
      <c r="BD395" s="186"/>
      <c r="BE395" s="186"/>
      <c r="BF395" s="186"/>
      <c r="BG395" s="186"/>
      <c r="BH395" s="186"/>
      <c r="BI395" s="183">
        <f t="shared" si="171"/>
        <v>0</v>
      </c>
      <c r="BJ395" s="183">
        <f t="shared" si="172"/>
        <v>0</v>
      </c>
      <c r="BK395" s="183">
        <f t="shared" si="173"/>
        <v>0</v>
      </c>
      <c r="BL395" s="183">
        <f t="shared" si="174"/>
        <v>0</v>
      </c>
    </row>
    <row r="396" spans="1:64" s="187" customFormat="1" ht="15.75" hidden="1" customHeight="1" outlineLevel="3" x14ac:dyDescent="0.3">
      <c r="A396" s="185"/>
      <c r="B396" s="180" t="s">
        <v>2681</v>
      </c>
      <c r="C396" s="180" t="s">
        <v>83</v>
      </c>
      <c r="D396" s="180" t="s">
        <v>2951</v>
      </c>
      <c r="E396" s="185" t="s">
        <v>2681</v>
      </c>
      <c r="F396" s="185" t="s">
        <v>3363</v>
      </c>
      <c r="G396" s="185">
        <v>53</v>
      </c>
      <c r="H396" s="185" t="str">
        <f>IFERROR(VLOOKUP(G396,'2022. tervsor'!C:D,2,0)," ")</f>
        <v>Munkaviszonyban nem állók költségtérítése</v>
      </c>
      <c r="I396" s="181">
        <f t="shared" si="169"/>
        <v>0</v>
      </c>
      <c r="J396" s="181">
        <f t="shared" si="175"/>
        <v>0</v>
      </c>
      <c r="K396" s="166">
        <f t="shared" si="170"/>
        <v>0</v>
      </c>
      <c r="L396" s="166">
        <f t="shared" si="176"/>
        <v>0</v>
      </c>
      <c r="M396" s="182"/>
      <c r="N396" s="166"/>
      <c r="O396" s="166"/>
      <c r="P396" s="166"/>
      <c r="Q396" s="166"/>
      <c r="R396" s="166"/>
      <c r="S396" s="166"/>
      <c r="T396" s="166"/>
      <c r="U396" s="166"/>
      <c r="V396" s="166"/>
      <c r="W396" s="166"/>
      <c r="X396" s="166"/>
      <c r="Y396" s="166"/>
      <c r="Z396" s="166"/>
      <c r="AA396" s="166"/>
      <c r="AB396" s="166"/>
      <c r="AC396" s="181"/>
      <c r="AD396" s="181"/>
      <c r="AE396" s="181"/>
      <c r="AF396" s="181"/>
      <c r="AG396" s="181"/>
      <c r="AH396" s="181"/>
      <c r="AI396" s="166"/>
      <c r="AJ396" s="166"/>
      <c r="AK396" s="166"/>
      <c r="AL396" s="166"/>
      <c r="AM396" s="166"/>
      <c r="AN396" s="166"/>
      <c r="AO396" s="166"/>
      <c r="AP396" s="166"/>
      <c r="AQ396" s="166"/>
      <c r="AR396" s="166"/>
      <c r="AS396" s="166"/>
      <c r="AT396" s="166"/>
      <c r="AU396" s="166"/>
      <c r="AV396" s="166"/>
      <c r="AW396" s="166"/>
      <c r="AX396" s="166"/>
      <c r="AY396" s="166"/>
      <c r="AZ396" s="186"/>
      <c r="BA396" s="186"/>
      <c r="BB396" s="186"/>
      <c r="BC396" s="186"/>
      <c r="BD396" s="186"/>
      <c r="BE396" s="186"/>
      <c r="BF396" s="186"/>
      <c r="BG396" s="186"/>
      <c r="BH396" s="186"/>
      <c r="BI396" s="183">
        <f t="shared" si="171"/>
        <v>0</v>
      </c>
      <c r="BJ396" s="183">
        <f t="shared" si="172"/>
        <v>0</v>
      </c>
      <c r="BK396" s="183">
        <f t="shared" si="173"/>
        <v>0</v>
      </c>
      <c r="BL396" s="183">
        <f t="shared" si="174"/>
        <v>0</v>
      </c>
    </row>
    <row r="397" spans="1:64" s="187" customFormat="1" ht="15.75" hidden="1" customHeight="1" outlineLevel="3" x14ac:dyDescent="0.3">
      <c r="A397" s="185"/>
      <c r="B397" s="180" t="s">
        <v>2681</v>
      </c>
      <c r="C397" s="180" t="s">
        <v>83</v>
      </c>
      <c r="D397" s="180" t="s">
        <v>2951</v>
      </c>
      <c r="E397" s="185" t="s">
        <v>2681</v>
      </c>
      <c r="F397" s="185" t="s">
        <v>3363</v>
      </c>
      <c r="G397" s="185">
        <v>54</v>
      </c>
      <c r="H397" s="185" t="str">
        <f>IFERROR(VLOOKUP(G397,'2022. tervsor'!C:D,2,0)," ")</f>
        <v>Ktg.és egyéb juttatások</v>
      </c>
      <c r="I397" s="181">
        <f t="shared" si="169"/>
        <v>0</v>
      </c>
      <c r="J397" s="181">
        <f t="shared" si="175"/>
        <v>0</v>
      </c>
      <c r="K397" s="166">
        <f t="shared" si="170"/>
        <v>0</v>
      </c>
      <c r="L397" s="166">
        <f t="shared" si="176"/>
        <v>0</v>
      </c>
      <c r="M397" s="182"/>
      <c r="N397" s="166"/>
      <c r="O397" s="166"/>
      <c r="P397" s="166"/>
      <c r="Q397" s="166"/>
      <c r="R397" s="166"/>
      <c r="S397" s="166"/>
      <c r="T397" s="166"/>
      <c r="U397" s="166"/>
      <c r="V397" s="166"/>
      <c r="W397" s="166"/>
      <c r="X397" s="166"/>
      <c r="Y397" s="166"/>
      <c r="Z397" s="166"/>
      <c r="AA397" s="166"/>
      <c r="AB397" s="166"/>
      <c r="AC397" s="181"/>
      <c r="AD397" s="181"/>
      <c r="AE397" s="181"/>
      <c r="AF397" s="181"/>
      <c r="AG397" s="181"/>
      <c r="AH397" s="181"/>
      <c r="AI397" s="166"/>
      <c r="AJ397" s="166"/>
      <c r="AK397" s="166"/>
      <c r="AL397" s="166"/>
      <c r="AM397" s="166"/>
      <c r="AN397" s="166"/>
      <c r="AO397" s="166"/>
      <c r="AP397" s="166"/>
      <c r="AQ397" s="166"/>
      <c r="AR397" s="166"/>
      <c r="AS397" s="166"/>
      <c r="AT397" s="166"/>
      <c r="AU397" s="166"/>
      <c r="AV397" s="166"/>
      <c r="AW397" s="166"/>
      <c r="AX397" s="166"/>
      <c r="AY397" s="166"/>
      <c r="AZ397" s="186"/>
      <c r="BA397" s="186"/>
      <c r="BB397" s="186"/>
      <c r="BC397" s="186"/>
      <c r="BD397" s="186"/>
      <c r="BE397" s="186"/>
      <c r="BF397" s="186"/>
      <c r="BG397" s="186"/>
      <c r="BH397" s="186"/>
      <c r="BI397" s="183">
        <f t="shared" si="171"/>
        <v>0</v>
      </c>
      <c r="BJ397" s="183">
        <f t="shared" si="172"/>
        <v>0</v>
      </c>
      <c r="BK397" s="183">
        <f t="shared" si="173"/>
        <v>0</v>
      </c>
      <c r="BL397" s="183">
        <f t="shared" si="174"/>
        <v>0</v>
      </c>
    </row>
    <row r="398" spans="1:64" s="187" customFormat="1" ht="15.75" hidden="1" customHeight="1" outlineLevel="3" x14ac:dyDescent="0.3">
      <c r="A398" s="185"/>
      <c r="B398" s="180" t="s">
        <v>2681</v>
      </c>
      <c r="C398" s="180" t="s">
        <v>83</v>
      </c>
      <c r="D398" s="180" t="s">
        <v>2951</v>
      </c>
      <c r="E398" s="185" t="s">
        <v>2681</v>
      </c>
      <c r="F398" s="185" t="s">
        <v>3363</v>
      </c>
      <c r="G398" s="185">
        <v>55</v>
      </c>
      <c r="H398" s="185" t="str">
        <f>IFERROR(VLOOKUP(G398,'2022. tervsor'!C:D,2,0)," ")</f>
        <v>Ktg.és egyéb jutt./vas.gyém.rubin okl.,ö.díj kieg.,OTKA p.)</v>
      </c>
      <c r="I398" s="181">
        <f t="shared" si="169"/>
        <v>0</v>
      </c>
      <c r="J398" s="181">
        <f t="shared" si="175"/>
        <v>0</v>
      </c>
      <c r="K398" s="166">
        <f t="shared" si="170"/>
        <v>0</v>
      </c>
      <c r="L398" s="166">
        <f t="shared" si="176"/>
        <v>0</v>
      </c>
      <c r="M398" s="182"/>
      <c r="N398" s="166"/>
      <c r="O398" s="166"/>
      <c r="P398" s="166"/>
      <c r="Q398" s="166"/>
      <c r="R398" s="166"/>
      <c r="S398" s="166"/>
      <c r="T398" s="166"/>
      <c r="U398" s="166"/>
      <c r="V398" s="166"/>
      <c r="W398" s="166"/>
      <c r="X398" s="166"/>
      <c r="Y398" s="166"/>
      <c r="Z398" s="166"/>
      <c r="AA398" s="166"/>
      <c r="AB398" s="166"/>
      <c r="AC398" s="181"/>
      <c r="AD398" s="181"/>
      <c r="AE398" s="181"/>
      <c r="AF398" s="181"/>
      <c r="AG398" s="181"/>
      <c r="AH398" s="181"/>
      <c r="AI398" s="166"/>
      <c r="AJ398" s="166"/>
      <c r="AK398" s="166"/>
      <c r="AL398" s="166"/>
      <c r="AM398" s="166"/>
      <c r="AN398" s="166"/>
      <c r="AO398" s="166"/>
      <c r="AP398" s="166"/>
      <c r="AQ398" s="166"/>
      <c r="AR398" s="166"/>
      <c r="AS398" s="166"/>
      <c r="AT398" s="166"/>
      <c r="AU398" s="166"/>
      <c r="AV398" s="166"/>
      <c r="AW398" s="166"/>
      <c r="AX398" s="166"/>
      <c r="AY398" s="166"/>
      <c r="AZ398" s="186"/>
      <c r="BA398" s="186"/>
      <c r="BB398" s="186"/>
      <c r="BC398" s="186"/>
      <c r="BD398" s="186"/>
      <c r="BE398" s="186"/>
      <c r="BF398" s="186"/>
      <c r="BG398" s="186"/>
      <c r="BH398" s="186"/>
      <c r="BI398" s="183">
        <f t="shared" si="171"/>
        <v>0</v>
      </c>
      <c r="BJ398" s="183">
        <f t="shared" si="172"/>
        <v>0</v>
      </c>
      <c r="BK398" s="183">
        <f t="shared" si="173"/>
        <v>0</v>
      </c>
      <c r="BL398" s="183">
        <f t="shared" si="174"/>
        <v>0</v>
      </c>
    </row>
    <row r="399" spans="1:64" s="187" customFormat="1" ht="15.75" hidden="1" customHeight="1" outlineLevel="3" x14ac:dyDescent="0.3">
      <c r="A399" s="185"/>
      <c r="B399" s="180" t="s">
        <v>2681</v>
      </c>
      <c r="C399" s="180" t="s">
        <v>83</v>
      </c>
      <c r="D399" s="180" t="s">
        <v>2951</v>
      </c>
      <c r="E399" s="185" t="s">
        <v>2681</v>
      </c>
      <c r="F399" s="185" t="s">
        <v>3363</v>
      </c>
      <c r="G399" s="185">
        <v>56</v>
      </c>
      <c r="H399" s="185" t="str">
        <f>IFERROR(VLOOKUP(G399,'2022. tervsor'!C:D,2,0)," ")</f>
        <v>Reprezentáció</v>
      </c>
      <c r="I399" s="181">
        <f t="shared" si="169"/>
        <v>0</v>
      </c>
      <c r="J399" s="181">
        <f t="shared" si="175"/>
        <v>0</v>
      </c>
      <c r="K399" s="166">
        <f t="shared" si="170"/>
        <v>0</v>
      </c>
      <c r="L399" s="166">
        <f t="shared" si="176"/>
        <v>0</v>
      </c>
      <c r="M399" s="182"/>
      <c r="N399" s="166"/>
      <c r="O399" s="166"/>
      <c r="P399" s="166"/>
      <c r="Q399" s="166"/>
      <c r="R399" s="166"/>
      <c r="S399" s="166"/>
      <c r="T399" s="166"/>
      <c r="U399" s="166"/>
      <c r="V399" s="166"/>
      <c r="W399" s="166"/>
      <c r="X399" s="166"/>
      <c r="Y399" s="166"/>
      <c r="Z399" s="166"/>
      <c r="AA399" s="166"/>
      <c r="AB399" s="166"/>
      <c r="AC399" s="181"/>
      <c r="AD399" s="181"/>
      <c r="AE399" s="181"/>
      <c r="AF399" s="181"/>
      <c r="AG399" s="181"/>
      <c r="AH399" s="181"/>
      <c r="AI399" s="166"/>
      <c r="AJ399" s="166"/>
      <c r="AK399" s="166"/>
      <c r="AL399" s="166"/>
      <c r="AM399" s="166"/>
      <c r="AN399" s="166"/>
      <c r="AO399" s="166"/>
      <c r="AP399" s="166"/>
      <c r="AQ399" s="166"/>
      <c r="AR399" s="166"/>
      <c r="AS399" s="166"/>
      <c r="AT399" s="166"/>
      <c r="AU399" s="166"/>
      <c r="AV399" s="166"/>
      <c r="AW399" s="166"/>
      <c r="AX399" s="166"/>
      <c r="AY399" s="166"/>
      <c r="AZ399" s="186"/>
      <c r="BA399" s="186"/>
      <c r="BB399" s="186"/>
      <c r="BC399" s="186"/>
      <c r="BD399" s="186"/>
      <c r="BE399" s="186"/>
      <c r="BF399" s="186"/>
      <c r="BG399" s="186"/>
      <c r="BH399" s="186"/>
      <c r="BI399" s="183">
        <f t="shared" si="171"/>
        <v>0</v>
      </c>
      <c r="BJ399" s="183">
        <f t="shared" si="172"/>
        <v>0</v>
      </c>
      <c r="BK399" s="183">
        <f t="shared" si="173"/>
        <v>0</v>
      </c>
      <c r="BL399" s="183">
        <f t="shared" si="174"/>
        <v>0</v>
      </c>
    </row>
    <row r="400" spans="1:64" s="187" customFormat="1" ht="15.75" hidden="1" customHeight="1" outlineLevel="3" x14ac:dyDescent="0.3">
      <c r="A400" s="185"/>
      <c r="B400" s="180" t="s">
        <v>2681</v>
      </c>
      <c r="C400" s="180" t="s">
        <v>83</v>
      </c>
      <c r="D400" s="180" t="s">
        <v>2951</v>
      </c>
      <c r="E400" s="185" t="s">
        <v>2681</v>
      </c>
      <c r="F400" s="185" t="s">
        <v>3363</v>
      </c>
      <c r="G400" s="185">
        <v>57</v>
      </c>
      <c r="H400" s="185" t="str">
        <f>IFERROR(VLOOKUP(G400,'2022. tervsor'!C:D,2,0)," ")</f>
        <v>EGYÉB KÜLSŐ SZEMÉLYI JUTTATÁSOK</v>
      </c>
      <c r="I400" s="181">
        <f t="shared" si="169"/>
        <v>0</v>
      </c>
      <c r="J400" s="181">
        <f t="shared" si="175"/>
        <v>0</v>
      </c>
      <c r="K400" s="166">
        <f t="shared" si="170"/>
        <v>0</v>
      </c>
      <c r="L400" s="166">
        <f t="shared" si="176"/>
        <v>0</v>
      </c>
      <c r="M400" s="182"/>
      <c r="N400" s="166"/>
      <c r="O400" s="166"/>
      <c r="P400" s="166"/>
      <c r="Q400" s="166"/>
      <c r="R400" s="166"/>
      <c r="S400" s="166"/>
      <c r="T400" s="166"/>
      <c r="U400" s="166"/>
      <c r="V400" s="166"/>
      <c r="W400" s="166"/>
      <c r="X400" s="166"/>
      <c r="Y400" s="166"/>
      <c r="Z400" s="166"/>
      <c r="AA400" s="166"/>
      <c r="AB400" s="166"/>
      <c r="AC400" s="181"/>
      <c r="AD400" s="181"/>
      <c r="AE400" s="181"/>
      <c r="AF400" s="181"/>
      <c r="AG400" s="181"/>
      <c r="AH400" s="181"/>
      <c r="AI400" s="166"/>
      <c r="AJ400" s="166"/>
      <c r="AK400" s="166"/>
      <c r="AL400" s="166"/>
      <c r="AM400" s="166"/>
      <c r="AN400" s="166"/>
      <c r="AO400" s="166"/>
      <c r="AP400" s="166"/>
      <c r="AQ400" s="166"/>
      <c r="AR400" s="166"/>
      <c r="AS400" s="166"/>
      <c r="AT400" s="166"/>
      <c r="AU400" s="166"/>
      <c r="AV400" s="166"/>
      <c r="AW400" s="166"/>
      <c r="AX400" s="166"/>
      <c r="AY400" s="166"/>
      <c r="AZ400" s="186"/>
      <c r="BA400" s="186"/>
      <c r="BB400" s="186"/>
      <c r="BC400" s="186"/>
      <c r="BD400" s="186"/>
      <c r="BE400" s="186"/>
      <c r="BF400" s="186"/>
      <c r="BG400" s="186"/>
      <c r="BH400" s="186"/>
      <c r="BI400" s="183">
        <f t="shared" si="171"/>
        <v>0</v>
      </c>
      <c r="BJ400" s="183">
        <f t="shared" si="172"/>
        <v>0</v>
      </c>
      <c r="BK400" s="183">
        <f t="shared" si="173"/>
        <v>0</v>
      </c>
      <c r="BL400" s="183">
        <f t="shared" si="174"/>
        <v>0</v>
      </c>
    </row>
    <row r="401" spans="1:64" s="187" customFormat="1" ht="15.75" hidden="1" customHeight="1" outlineLevel="3" x14ac:dyDescent="0.3">
      <c r="A401" s="185"/>
      <c r="B401" s="180" t="s">
        <v>2681</v>
      </c>
      <c r="C401" s="180" t="s">
        <v>83</v>
      </c>
      <c r="D401" s="180" t="s">
        <v>2951</v>
      </c>
      <c r="E401" s="185" t="s">
        <v>2681</v>
      </c>
      <c r="F401" s="185" t="s">
        <v>3363</v>
      </c>
      <c r="G401" s="185">
        <v>58</v>
      </c>
      <c r="H401" s="185" t="str">
        <f>IFERROR(VLOOKUP(G401,'2022. tervsor'!C:D,2,0)," ")</f>
        <v>KÜLSŐ SZEMÉLYI JUTTATÁSOK</v>
      </c>
      <c r="I401" s="181">
        <f t="shared" si="169"/>
        <v>0</v>
      </c>
      <c r="J401" s="181">
        <f t="shared" si="175"/>
        <v>0</v>
      </c>
      <c r="K401" s="166">
        <f t="shared" si="170"/>
        <v>0</v>
      </c>
      <c r="L401" s="166">
        <f t="shared" si="176"/>
        <v>0</v>
      </c>
      <c r="M401" s="182"/>
      <c r="N401" s="166"/>
      <c r="O401" s="166"/>
      <c r="P401" s="166"/>
      <c r="Q401" s="166"/>
      <c r="R401" s="166"/>
      <c r="S401" s="166"/>
      <c r="T401" s="166"/>
      <c r="U401" s="166"/>
      <c r="V401" s="166"/>
      <c r="W401" s="166"/>
      <c r="X401" s="166"/>
      <c r="Y401" s="166"/>
      <c r="Z401" s="166"/>
      <c r="AA401" s="166"/>
      <c r="AB401" s="166"/>
      <c r="AC401" s="181"/>
      <c r="AD401" s="181"/>
      <c r="AE401" s="181"/>
      <c r="AF401" s="181"/>
      <c r="AG401" s="181"/>
      <c r="AH401" s="181"/>
      <c r="AI401" s="166"/>
      <c r="AJ401" s="166"/>
      <c r="AK401" s="166"/>
      <c r="AL401" s="166"/>
      <c r="AM401" s="166"/>
      <c r="AN401" s="166"/>
      <c r="AO401" s="166"/>
      <c r="AP401" s="166"/>
      <c r="AQ401" s="166"/>
      <c r="AR401" s="166"/>
      <c r="AS401" s="166"/>
      <c r="AT401" s="166"/>
      <c r="AU401" s="166"/>
      <c r="AV401" s="166"/>
      <c r="AW401" s="166"/>
      <c r="AX401" s="166"/>
      <c r="AY401" s="166"/>
      <c r="AZ401" s="186"/>
      <c r="BA401" s="186"/>
      <c r="BB401" s="186"/>
      <c r="BC401" s="186"/>
      <c r="BD401" s="186"/>
      <c r="BE401" s="186"/>
      <c r="BF401" s="186"/>
      <c r="BG401" s="186"/>
      <c r="BH401" s="186"/>
      <c r="BI401" s="183">
        <f t="shared" si="171"/>
        <v>0</v>
      </c>
      <c r="BJ401" s="183">
        <f t="shared" si="172"/>
        <v>0</v>
      </c>
      <c r="BK401" s="183">
        <f t="shared" si="173"/>
        <v>0</v>
      </c>
      <c r="BL401" s="183">
        <f t="shared" si="174"/>
        <v>0</v>
      </c>
    </row>
    <row r="402" spans="1:64" s="187" customFormat="1" ht="15.75" hidden="1" customHeight="1" outlineLevel="3" x14ac:dyDescent="0.3">
      <c r="A402" s="185"/>
      <c r="B402" s="180" t="s">
        <v>2681</v>
      </c>
      <c r="C402" s="180" t="s">
        <v>83</v>
      </c>
      <c r="D402" s="180" t="s">
        <v>2951</v>
      </c>
      <c r="E402" s="185" t="s">
        <v>2681</v>
      </c>
      <c r="F402" s="185" t="s">
        <v>3363</v>
      </c>
      <c r="G402" s="185">
        <v>59</v>
      </c>
      <c r="H402" s="185" t="str">
        <f>IFERROR(VLOOKUP(G402,'2022. tervsor'!C:D,2,0)," ")</f>
        <v>SZEMÉLYI JUTTATÁSOK</v>
      </c>
      <c r="I402" s="181">
        <f t="shared" si="169"/>
        <v>0</v>
      </c>
      <c r="J402" s="181">
        <f t="shared" si="175"/>
        <v>0</v>
      </c>
      <c r="K402" s="166">
        <f t="shared" si="170"/>
        <v>0</v>
      </c>
      <c r="L402" s="166">
        <f t="shared" si="176"/>
        <v>0</v>
      </c>
      <c r="M402" s="182"/>
      <c r="N402" s="166"/>
      <c r="O402" s="166"/>
      <c r="P402" s="166"/>
      <c r="Q402" s="166"/>
      <c r="R402" s="166"/>
      <c r="S402" s="166"/>
      <c r="T402" s="166"/>
      <c r="U402" s="166"/>
      <c r="V402" s="166"/>
      <c r="W402" s="166"/>
      <c r="X402" s="166"/>
      <c r="Y402" s="166"/>
      <c r="Z402" s="166"/>
      <c r="AA402" s="166"/>
      <c r="AB402" s="166"/>
      <c r="AC402" s="181"/>
      <c r="AD402" s="181"/>
      <c r="AE402" s="181"/>
      <c r="AF402" s="181"/>
      <c r="AG402" s="181"/>
      <c r="AH402" s="181"/>
      <c r="AI402" s="166"/>
      <c r="AJ402" s="166"/>
      <c r="AK402" s="166"/>
      <c r="AL402" s="166"/>
      <c r="AM402" s="166"/>
      <c r="AN402" s="166"/>
      <c r="AO402" s="166"/>
      <c r="AP402" s="166"/>
      <c r="AQ402" s="166"/>
      <c r="AR402" s="166"/>
      <c r="AS402" s="166"/>
      <c r="AT402" s="166"/>
      <c r="AU402" s="166"/>
      <c r="AV402" s="166"/>
      <c r="AW402" s="166"/>
      <c r="AX402" s="166"/>
      <c r="AY402" s="166"/>
      <c r="AZ402" s="186"/>
      <c r="BA402" s="186"/>
      <c r="BB402" s="186"/>
      <c r="BC402" s="186"/>
      <c r="BD402" s="186"/>
      <c r="BE402" s="186"/>
      <c r="BF402" s="186"/>
      <c r="BG402" s="186"/>
      <c r="BH402" s="186"/>
      <c r="BI402" s="183">
        <f t="shared" si="171"/>
        <v>0</v>
      </c>
      <c r="BJ402" s="183">
        <f t="shared" si="172"/>
        <v>0</v>
      </c>
      <c r="BK402" s="183">
        <f t="shared" si="173"/>
        <v>0</v>
      </c>
      <c r="BL402" s="183">
        <f t="shared" si="174"/>
        <v>0</v>
      </c>
    </row>
    <row r="403" spans="1:64" s="187" customFormat="1" ht="15.75" hidden="1" customHeight="1" outlineLevel="3" x14ac:dyDescent="0.3">
      <c r="A403" s="185"/>
      <c r="B403" s="180" t="s">
        <v>2681</v>
      </c>
      <c r="C403" s="180" t="s">
        <v>83</v>
      </c>
      <c r="D403" s="180" t="s">
        <v>2951</v>
      </c>
      <c r="E403" s="185" t="s">
        <v>2681</v>
      </c>
      <c r="F403" s="185" t="s">
        <v>3363</v>
      </c>
      <c r="G403" s="185">
        <v>60</v>
      </c>
      <c r="H403" s="185" t="str">
        <f>IFERROR(VLOOKUP(G403,'2022. tervsor'!C:D,2,0)," ")</f>
        <v>SZOCHÓ (13%)</v>
      </c>
      <c r="I403" s="181">
        <f t="shared" si="169"/>
        <v>0</v>
      </c>
      <c r="J403" s="181">
        <f t="shared" si="175"/>
        <v>0</v>
      </c>
      <c r="K403" s="166">
        <f t="shared" si="170"/>
        <v>0</v>
      </c>
      <c r="L403" s="166">
        <f t="shared" si="176"/>
        <v>0</v>
      </c>
      <c r="M403" s="182"/>
      <c r="N403" s="166">
        <f>SUM(N361:N379,N382:N390,N392:N398)*0.13+N391*0.9*0.13-N406-N407</f>
        <v>0</v>
      </c>
      <c r="O403" s="166">
        <f t="shared" ref="O403:Z403" si="177">SUM(O361:O379,O382:O390,O392:O398)*0.13+O391*0.9*0.13-O406-O407</f>
        <v>0</v>
      </c>
      <c r="P403" s="166">
        <f t="shared" si="177"/>
        <v>0</v>
      </c>
      <c r="Q403" s="166">
        <f t="shared" si="177"/>
        <v>0</v>
      </c>
      <c r="R403" s="166">
        <f t="shared" si="177"/>
        <v>0</v>
      </c>
      <c r="S403" s="166">
        <f t="shared" si="177"/>
        <v>0</v>
      </c>
      <c r="T403" s="166">
        <f t="shared" si="177"/>
        <v>0</v>
      </c>
      <c r="U403" s="166">
        <f t="shared" si="177"/>
        <v>0</v>
      </c>
      <c r="V403" s="166">
        <f t="shared" si="177"/>
        <v>0</v>
      </c>
      <c r="W403" s="166">
        <f t="shared" si="177"/>
        <v>0</v>
      </c>
      <c r="X403" s="166">
        <f t="shared" si="177"/>
        <v>0</v>
      </c>
      <c r="Y403" s="166">
        <f t="shared" si="177"/>
        <v>0</v>
      </c>
      <c r="Z403" s="166">
        <f t="shared" si="177"/>
        <v>0</v>
      </c>
      <c r="AA403" s="166">
        <f t="shared" ref="AA403:AM403" si="178">SUM(AA361:AA379,AA382:AA390,AA392:AA398)*0.13+AA391*0.9*0.13-AA406-AA407</f>
        <v>0</v>
      </c>
      <c r="AB403" s="166">
        <f t="shared" si="178"/>
        <v>0</v>
      </c>
      <c r="AC403" s="166">
        <f t="shared" si="178"/>
        <v>0</v>
      </c>
      <c r="AD403" s="166">
        <f t="shared" si="178"/>
        <v>0</v>
      </c>
      <c r="AE403" s="166">
        <f t="shared" si="178"/>
        <v>0</v>
      </c>
      <c r="AF403" s="166">
        <f t="shared" si="178"/>
        <v>0</v>
      </c>
      <c r="AG403" s="166">
        <f t="shared" si="178"/>
        <v>0</v>
      </c>
      <c r="AH403" s="166">
        <f t="shared" si="178"/>
        <v>0</v>
      </c>
      <c r="AI403" s="166">
        <f t="shared" si="178"/>
        <v>0</v>
      </c>
      <c r="AJ403" s="166">
        <f t="shared" si="178"/>
        <v>0</v>
      </c>
      <c r="AK403" s="166">
        <f t="shared" si="178"/>
        <v>0</v>
      </c>
      <c r="AL403" s="166">
        <f t="shared" si="178"/>
        <v>0</v>
      </c>
      <c r="AM403" s="166">
        <f t="shared" si="178"/>
        <v>0</v>
      </c>
      <c r="AN403" s="166"/>
      <c r="AO403" s="166"/>
      <c r="AP403" s="166"/>
      <c r="AQ403" s="166"/>
      <c r="AR403" s="166"/>
      <c r="AS403" s="166"/>
      <c r="AT403" s="166"/>
      <c r="AU403" s="166"/>
      <c r="AV403" s="166"/>
      <c r="AW403" s="166"/>
      <c r="AX403" s="166"/>
      <c r="AY403" s="166"/>
      <c r="AZ403" s="186"/>
      <c r="BA403" s="186"/>
      <c r="BB403" s="186"/>
      <c r="BC403" s="186"/>
      <c r="BD403" s="186"/>
      <c r="BE403" s="186"/>
      <c r="BF403" s="186"/>
      <c r="BG403" s="186"/>
      <c r="BH403" s="186"/>
      <c r="BI403" s="183">
        <f t="shared" si="171"/>
        <v>0</v>
      </c>
      <c r="BJ403" s="183">
        <f t="shared" si="172"/>
        <v>0</v>
      </c>
      <c r="BK403" s="183">
        <f t="shared" si="173"/>
        <v>0</v>
      </c>
      <c r="BL403" s="183">
        <f t="shared" si="174"/>
        <v>0</v>
      </c>
    </row>
    <row r="404" spans="1:64" s="187" customFormat="1" ht="15.75" hidden="1" customHeight="1" outlineLevel="3" x14ac:dyDescent="0.3">
      <c r="A404" s="185"/>
      <c r="B404" s="180" t="s">
        <v>2681</v>
      </c>
      <c r="C404" s="180" t="s">
        <v>83</v>
      </c>
      <c r="D404" s="180" t="s">
        <v>2951</v>
      </c>
      <c r="E404" s="185" t="s">
        <v>2681</v>
      </c>
      <c r="F404" s="185" t="s">
        <v>3363</v>
      </c>
      <c r="G404" s="185">
        <v>61</v>
      </c>
      <c r="H404" s="185" t="str">
        <f>IFERROR(VLOOKUP(G404,'2022. tervsor'!C:D,2,0)," ")</f>
        <v>15,5%-os szocho, manuálisan töltendő 2021 decemberre</v>
      </c>
      <c r="I404" s="181">
        <f t="shared" si="169"/>
        <v>0</v>
      </c>
      <c r="J404" s="181">
        <f t="shared" si="175"/>
        <v>0</v>
      </c>
      <c r="K404" s="166">
        <f t="shared" si="170"/>
        <v>0</v>
      </c>
      <c r="L404" s="166">
        <f t="shared" si="176"/>
        <v>0</v>
      </c>
      <c r="M404" s="182"/>
      <c r="N404" s="166"/>
      <c r="O404" s="166"/>
      <c r="P404" s="166"/>
      <c r="Q404" s="166"/>
      <c r="R404" s="166"/>
      <c r="S404" s="166"/>
      <c r="T404" s="166"/>
      <c r="U404" s="166"/>
      <c r="V404" s="166"/>
      <c r="W404" s="166"/>
      <c r="X404" s="166"/>
      <c r="Y404" s="166"/>
      <c r="Z404" s="166"/>
      <c r="AA404" s="166"/>
      <c r="AB404" s="166"/>
      <c r="AC404" s="181"/>
      <c r="AD404" s="181"/>
      <c r="AE404" s="181"/>
      <c r="AF404" s="181"/>
      <c r="AG404" s="181"/>
      <c r="AH404" s="181"/>
      <c r="AI404" s="166"/>
      <c r="AJ404" s="166"/>
      <c r="AK404" s="166"/>
      <c r="AL404" s="166"/>
      <c r="AM404" s="166"/>
      <c r="AN404" s="166"/>
      <c r="AO404" s="166"/>
      <c r="AP404" s="166"/>
      <c r="AQ404" s="166"/>
      <c r="AR404" s="166"/>
      <c r="AS404" s="166"/>
      <c r="AT404" s="166"/>
      <c r="AU404" s="166"/>
      <c r="AV404" s="166"/>
      <c r="AW404" s="166"/>
      <c r="AX404" s="166"/>
      <c r="AY404" s="166"/>
      <c r="AZ404" s="186"/>
      <c r="BA404" s="186"/>
      <c r="BB404" s="186"/>
      <c r="BC404" s="186"/>
      <c r="BD404" s="186"/>
      <c r="BE404" s="186"/>
      <c r="BF404" s="186"/>
      <c r="BG404" s="186"/>
      <c r="BH404" s="186"/>
      <c r="BI404" s="183">
        <f t="shared" si="171"/>
        <v>0</v>
      </c>
      <c r="BJ404" s="183">
        <f t="shared" si="172"/>
        <v>0</v>
      </c>
      <c r="BK404" s="183">
        <f t="shared" si="173"/>
        <v>0</v>
      </c>
      <c r="BL404" s="183">
        <f t="shared" si="174"/>
        <v>0</v>
      </c>
    </row>
    <row r="405" spans="1:64" s="187" customFormat="1" ht="15.75" hidden="1" customHeight="1" outlineLevel="3" x14ac:dyDescent="0.3">
      <c r="A405" s="185"/>
      <c r="B405" s="180" t="s">
        <v>2681</v>
      </c>
      <c r="C405" s="180" t="s">
        <v>83</v>
      </c>
      <c r="D405" s="180" t="s">
        <v>2951</v>
      </c>
      <c r="E405" s="185" t="s">
        <v>2681</v>
      </c>
      <c r="F405" s="185" t="s">
        <v>3363</v>
      </c>
      <c r="G405" s="185">
        <v>62</v>
      </c>
      <c r="H405" s="185" t="str">
        <f>IFERROR(VLOOKUP(G405,'2022. tervsor'!C:D,2,0)," ")</f>
        <v>EKHO (13%)</v>
      </c>
      <c r="I405" s="181">
        <f t="shared" si="169"/>
        <v>0</v>
      </c>
      <c r="J405" s="181">
        <f t="shared" si="175"/>
        <v>0</v>
      </c>
      <c r="K405" s="166">
        <f t="shared" si="170"/>
        <v>0</v>
      </c>
      <c r="L405" s="166">
        <f t="shared" si="176"/>
        <v>0</v>
      </c>
      <c r="M405" s="182"/>
      <c r="N405" s="166"/>
      <c r="O405" s="166"/>
      <c r="P405" s="166"/>
      <c r="Q405" s="166"/>
      <c r="R405" s="166"/>
      <c r="S405" s="166"/>
      <c r="T405" s="166"/>
      <c r="U405" s="166"/>
      <c r="V405" s="166"/>
      <c r="W405" s="166"/>
      <c r="X405" s="166"/>
      <c r="Y405" s="166"/>
      <c r="Z405" s="166"/>
      <c r="AA405" s="166"/>
      <c r="AB405" s="166"/>
      <c r="AC405" s="181"/>
      <c r="AD405" s="181"/>
      <c r="AE405" s="181"/>
      <c r="AF405" s="181"/>
      <c r="AG405" s="181"/>
      <c r="AH405" s="181"/>
      <c r="AI405" s="166"/>
      <c r="AJ405" s="166"/>
      <c r="AK405" s="166"/>
      <c r="AL405" s="166"/>
      <c r="AM405" s="166"/>
      <c r="AN405" s="166"/>
      <c r="AO405" s="166"/>
      <c r="AP405" s="166"/>
      <c r="AQ405" s="166"/>
      <c r="AR405" s="166"/>
      <c r="AS405" s="166"/>
      <c r="AT405" s="166"/>
      <c r="AU405" s="166"/>
      <c r="AV405" s="166"/>
      <c r="AW405" s="166"/>
      <c r="AX405" s="166"/>
      <c r="AY405" s="166"/>
      <c r="AZ405" s="186"/>
      <c r="BA405" s="186"/>
      <c r="BB405" s="186"/>
      <c r="BC405" s="186"/>
      <c r="BD405" s="186"/>
      <c r="BE405" s="186"/>
      <c r="BF405" s="186"/>
      <c r="BG405" s="186"/>
      <c r="BH405" s="186"/>
      <c r="BI405" s="183">
        <f t="shared" si="171"/>
        <v>0</v>
      </c>
      <c r="BJ405" s="183">
        <f t="shared" si="172"/>
        <v>0</v>
      </c>
      <c r="BK405" s="183">
        <f t="shared" si="173"/>
        <v>0</v>
      </c>
      <c r="BL405" s="183">
        <f t="shared" si="174"/>
        <v>0</v>
      </c>
    </row>
    <row r="406" spans="1:64" s="187" customFormat="1" ht="15.75" hidden="1" customHeight="1" outlineLevel="3" x14ac:dyDescent="0.3">
      <c r="A406" s="185"/>
      <c r="B406" s="180" t="s">
        <v>2681</v>
      </c>
      <c r="C406" s="180" t="s">
        <v>83</v>
      </c>
      <c r="D406" s="180" t="s">
        <v>2951</v>
      </c>
      <c r="E406" s="185" t="s">
        <v>2681</v>
      </c>
      <c r="F406" s="185" t="s">
        <v>3363</v>
      </c>
      <c r="G406" s="185">
        <v>63</v>
      </c>
      <c r="H406" s="185" t="str">
        <f>IFERROR(VLOOKUP(G406,'2022. tervsor'!C:D,2,0)," ")</f>
        <v>Kifizetői 13 %-os SZOCHO</v>
      </c>
      <c r="I406" s="181">
        <f t="shared" si="169"/>
        <v>0</v>
      </c>
      <c r="J406" s="181">
        <f t="shared" si="175"/>
        <v>0</v>
      </c>
      <c r="K406" s="166">
        <f t="shared" si="170"/>
        <v>0</v>
      </c>
      <c r="L406" s="166">
        <f t="shared" si="176"/>
        <v>0</v>
      </c>
      <c r="M406" s="182"/>
      <c r="N406" s="166">
        <f>+N399*1.4986*0.155</f>
        <v>0</v>
      </c>
      <c r="O406" s="166">
        <f>+O399*1.4986*0.155</f>
        <v>0</v>
      </c>
      <c r="P406" s="166">
        <f t="shared" ref="P406:Z406" si="179">+P399*1.4986*0.155</f>
        <v>0</v>
      </c>
      <c r="Q406" s="166">
        <f t="shared" si="179"/>
        <v>0</v>
      </c>
      <c r="R406" s="166">
        <f t="shared" si="179"/>
        <v>0</v>
      </c>
      <c r="S406" s="166">
        <f t="shared" si="179"/>
        <v>0</v>
      </c>
      <c r="T406" s="166">
        <f t="shared" si="179"/>
        <v>0</v>
      </c>
      <c r="U406" s="166">
        <f t="shared" si="179"/>
        <v>0</v>
      </c>
      <c r="V406" s="166">
        <f t="shared" si="179"/>
        <v>0</v>
      </c>
      <c r="W406" s="166">
        <f t="shared" si="179"/>
        <v>0</v>
      </c>
      <c r="X406" s="166">
        <f t="shared" si="179"/>
        <v>0</v>
      </c>
      <c r="Y406" s="166">
        <f t="shared" si="179"/>
        <v>0</v>
      </c>
      <c r="Z406" s="166">
        <f t="shared" si="179"/>
        <v>0</v>
      </c>
      <c r="AA406" s="166">
        <f t="shared" ref="AA406:AM406" si="180">+AA399*1.4986*0.155</f>
        <v>0</v>
      </c>
      <c r="AB406" s="166">
        <f t="shared" si="180"/>
        <v>0</v>
      </c>
      <c r="AC406" s="181">
        <f t="shared" si="180"/>
        <v>0</v>
      </c>
      <c r="AD406" s="181">
        <f t="shared" si="180"/>
        <v>0</v>
      </c>
      <c r="AE406" s="181">
        <f t="shared" si="180"/>
        <v>0</v>
      </c>
      <c r="AF406" s="181">
        <f>+AF399*1.4986*0.155</f>
        <v>0</v>
      </c>
      <c r="AG406" s="181">
        <f>+AG399*1.4986*0.155</f>
        <v>0</v>
      </c>
      <c r="AH406" s="181">
        <f t="shared" si="180"/>
        <v>0</v>
      </c>
      <c r="AI406" s="166">
        <f t="shared" si="180"/>
        <v>0</v>
      </c>
      <c r="AJ406" s="166">
        <f t="shared" si="180"/>
        <v>0</v>
      </c>
      <c r="AK406" s="166">
        <f t="shared" si="180"/>
        <v>0</v>
      </c>
      <c r="AL406" s="166">
        <f t="shared" si="180"/>
        <v>0</v>
      </c>
      <c r="AM406" s="166">
        <f t="shared" si="180"/>
        <v>0</v>
      </c>
      <c r="AN406" s="166"/>
      <c r="AO406" s="166"/>
      <c r="AP406" s="166"/>
      <c r="AQ406" s="166"/>
      <c r="AR406" s="166"/>
      <c r="AS406" s="166"/>
      <c r="AT406" s="166"/>
      <c r="AU406" s="166"/>
      <c r="AV406" s="166"/>
      <c r="AW406" s="166"/>
      <c r="AX406" s="166"/>
      <c r="AY406" s="166"/>
      <c r="AZ406" s="186"/>
      <c r="BA406" s="186"/>
      <c r="BB406" s="186"/>
      <c r="BC406" s="186"/>
      <c r="BD406" s="186"/>
      <c r="BE406" s="186"/>
      <c r="BF406" s="186"/>
      <c r="BG406" s="186"/>
      <c r="BH406" s="186"/>
      <c r="BI406" s="183">
        <f t="shared" si="171"/>
        <v>0</v>
      </c>
      <c r="BJ406" s="183">
        <f t="shared" si="172"/>
        <v>0</v>
      </c>
      <c r="BK406" s="183">
        <f t="shared" si="173"/>
        <v>0</v>
      </c>
      <c r="BL406" s="183">
        <f t="shared" si="174"/>
        <v>0</v>
      </c>
    </row>
    <row r="407" spans="1:64" s="187" customFormat="1" ht="15.75" hidden="1" customHeight="1" outlineLevel="3" x14ac:dyDescent="0.3">
      <c r="A407" s="185"/>
      <c r="B407" s="180" t="s">
        <v>2681</v>
      </c>
      <c r="C407" s="180" t="s">
        <v>83</v>
      </c>
      <c r="D407" s="180" t="s">
        <v>2951</v>
      </c>
      <c r="E407" s="185" t="s">
        <v>2681</v>
      </c>
      <c r="F407" s="185" t="s">
        <v>3363</v>
      </c>
      <c r="G407" s="185">
        <v>64</v>
      </c>
      <c r="H407" s="185" t="str">
        <f>IFERROR(VLOOKUP(G407,'2022. tervsor'!C:D,2,0)," ")</f>
        <v>Kifizető által fizetett SZJA</v>
      </c>
      <c r="I407" s="181">
        <f t="shared" si="169"/>
        <v>0</v>
      </c>
      <c r="J407" s="181">
        <f t="shared" si="175"/>
        <v>0</v>
      </c>
      <c r="K407" s="166">
        <f t="shared" si="170"/>
        <v>0</v>
      </c>
      <c r="L407" s="166">
        <f t="shared" si="176"/>
        <v>0</v>
      </c>
      <c r="M407" s="182"/>
      <c r="N407" s="166">
        <f>+N399*1.4986*0.15</f>
        <v>0</v>
      </c>
      <c r="O407" s="166">
        <f>+O399*1.4986*0.15</f>
        <v>0</v>
      </c>
      <c r="P407" s="166">
        <f t="shared" ref="P407:Z407" si="181">+P399*1.4986*0.15</f>
        <v>0</v>
      </c>
      <c r="Q407" s="166">
        <f t="shared" si="181"/>
        <v>0</v>
      </c>
      <c r="R407" s="166">
        <f t="shared" si="181"/>
        <v>0</v>
      </c>
      <c r="S407" s="166">
        <f t="shared" si="181"/>
        <v>0</v>
      </c>
      <c r="T407" s="166">
        <f t="shared" si="181"/>
        <v>0</v>
      </c>
      <c r="U407" s="166">
        <f t="shared" si="181"/>
        <v>0</v>
      </c>
      <c r="V407" s="166">
        <f t="shared" si="181"/>
        <v>0</v>
      </c>
      <c r="W407" s="166">
        <f t="shared" si="181"/>
        <v>0</v>
      </c>
      <c r="X407" s="166">
        <f t="shared" si="181"/>
        <v>0</v>
      </c>
      <c r="Y407" s="166">
        <f t="shared" si="181"/>
        <v>0</v>
      </c>
      <c r="Z407" s="166">
        <f t="shared" si="181"/>
        <v>0</v>
      </c>
      <c r="AA407" s="166">
        <f t="shared" ref="AA407:AM407" si="182">+AA399*1.4986*0.15</f>
        <v>0</v>
      </c>
      <c r="AB407" s="166">
        <f t="shared" si="182"/>
        <v>0</v>
      </c>
      <c r="AC407" s="181">
        <f t="shared" si="182"/>
        <v>0</v>
      </c>
      <c r="AD407" s="181">
        <f t="shared" si="182"/>
        <v>0</v>
      </c>
      <c r="AE407" s="181">
        <f t="shared" si="182"/>
        <v>0</v>
      </c>
      <c r="AF407" s="181">
        <f>+AF399*1.4986*0.15</f>
        <v>0</v>
      </c>
      <c r="AG407" s="181">
        <f>+AG399*1.4986*0.15</f>
        <v>0</v>
      </c>
      <c r="AH407" s="181">
        <f t="shared" si="182"/>
        <v>0</v>
      </c>
      <c r="AI407" s="166">
        <f t="shared" si="182"/>
        <v>0</v>
      </c>
      <c r="AJ407" s="166">
        <f t="shared" si="182"/>
        <v>0</v>
      </c>
      <c r="AK407" s="166">
        <f t="shared" si="182"/>
        <v>0</v>
      </c>
      <c r="AL407" s="166">
        <f t="shared" si="182"/>
        <v>0</v>
      </c>
      <c r="AM407" s="166">
        <f t="shared" si="182"/>
        <v>0</v>
      </c>
      <c r="AN407" s="166"/>
      <c r="AO407" s="166"/>
      <c r="AP407" s="166"/>
      <c r="AQ407" s="166"/>
      <c r="AR407" s="166"/>
      <c r="AS407" s="166"/>
      <c r="AT407" s="166"/>
      <c r="AU407" s="166"/>
      <c r="AV407" s="166"/>
      <c r="AW407" s="166"/>
      <c r="AX407" s="166"/>
      <c r="AY407" s="166"/>
      <c r="AZ407" s="186"/>
      <c r="BA407" s="186"/>
      <c r="BB407" s="186"/>
      <c r="BC407" s="186"/>
      <c r="BD407" s="186"/>
      <c r="BE407" s="186"/>
      <c r="BF407" s="186"/>
      <c r="BG407" s="186"/>
      <c r="BH407" s="186"/>
      <c r="BI407" s="183">
        <f t="shared" si="171"/>
        <v>0</v>
      </c>
      <c r="BJ407" s="183">
        <f t="shared" si="172"/>
        <v>0</v>
      </c>
      <c r="BK407" s="183">
        <f t="shared" si="173"/>
        <v>0</v>
      </c>
      <c r="BL407" s="183">
        <f t="shared" si="174"/>
        <v>0</v>
      </c>
    </row>
    <row r="408" spans="1:64" s="187" customFormat="1" ht="15.75" hidden="1" customHeight="1" outlineLevel="3" x14ac:dyDescent="0.3">
      <c r="A408" s="185"/>
      <c r="B408" s="180" t="s">
        <v>2681</v>
      </c>
      <c r="C408" s="180" t="s">
        <v>83</v>
      </c>
      <c r="D408" s="180" t="s">
        <v>2951</v>
      </c>
      <c r="E408" s="185" t="s">
        <v>2681</v>
      </c>
      <c r="F408" s="185" t="s">
        <v>3363</v>
      </c>
      <c r="G408" s="185">
        <v>65</v>
      </c>
      <c r="H408" s="185" t="str">
        <f>IFERROR(VLOOKUP(G408,'2022. tervsor'!C:D,2,0)," ")</f>
        <v>Rehabilitációs hozzájárulás</v>
      </c>
      <c r="I408" s="181">
        <f t="shared" si="169"/>
        <v>0</v>
      </c>
      <c r="J408" s="181">
        <f t="shared" si="175"/>
        <v>0</v>
      </c>
      <c r="K408" s="166">
        <f t="shared" si="170"/>
        <v>0</v>
      </c>
      <c r="L408" s="166">
        <f t="shared" si="176"/>
        <v>0</v>
      </c>
      <c r="M408" s="182"/>
      <c r="N408" s="166"/>
      <c r="O408" s="166"/>
      <c r="P408" s="166"/>
      <c r="Q408" s="166"/>
      <c r="R408" s="166"/>
      <c r="S408" s="166"/>
      <c r="T408" s="166"/>
      <c r="U408" s="166"/>
      <c r="V408" s="166"/>
      <c r="W408" s="166"/>
      <c r="X408" s="166"/>
      <c r="Y408" s="166"/>
      <c r="Z408" s="166"/>
      <c r="AA408" s="166"/>
      <c r="AB408" s="166"/>
      <c r="AC408" s="181"/>
      <c r="AD408" s="181"/>
      <c r="AE408" s="181"/>
      <c r="AF408" s="181"/>
      <c r="AG408" s="181"/>
      <c r="AH408" s="181"/>
      <c r="AI408" s="166"/>
      <c r="AJ408" s="166"/>
      <c r="AK408" s="166"/>
      <c r="AL408" s="166"/>
      <c r="AM408" s="166"/>
      <c r="AN408" s="166"/>
      <c r="AO408" s="166"/>
      <c r="AP408" s="166"/>
      <c r="AQ408" s="166"/>
      <c r="AR408" s="166"/>
      <c r="AS408" s="166"/>
      <c r="AT408" s="166"/>
      <c r="AU408" s="166"/>
      <c r="AV408" s="166"/>
      <c r="AW408" s="166"/>
      <c r="AX408" s="166"/>
      <c r="AY408" s="166"/>
      <c r="AZ408" s="186"/>
      <c r="BA408" s="186"/>
      <c r="BB408" s="186"/>
      <c r="BC408" s="186"/>
      <c r="BD408" s="186"/>
      <c r="BE408" s="186"/>
      <c r="BF408" s="186"/>
      <c r="BG408" s="186"/>
      <c r="BH408" s="186"/>
      <c r="BI408" s="183">
        <f t="shared" si="171"/>
        <v>0</v>
      </c>
      <c r="BJ408" s="183">
        <f t="shared" si="172"/>
        <v>0</v>
      </c>
      <c r="BK408" s="183">
        <f t="shared" si="173"/>
        <v>0</v>
      </c>
      <c r="BL408" s="183">
        <f t="shared" si="174"/>
        <v>0</v>
      </c>
    </row>
    <row r="409" spans="1:64" s="187" customFormat="1" ht="15.75" hidden="1" customHeight="1" outlineLevel="3" x14ac:dyDescent="0.3">
      <c r="A409" s="185"/>
      <c r="B409" s="180" t="s">
        <v>2681</v>
      </c>
      <c r="C409" s="180" t="s">
        <v>83</v>
      </c>
      <c r="D409" s="180" t="s">
        <v>2951</v>
      </c>
      <c r="E409" s="185" t="s">
        <v>2681</v>
      </c>
      <c r="F409" s="185" t="s">
        <v>3363</v>
      </c>
      <c r="G409" s="185">
        <v>66</v>
      </c>
      <c r="H409" s="185" t="str">
        <f>IFERROR(VLOOKUP(G409,'2022. tervsor'!C:D,2,0)," ")</f>
        <v>MUNKAADÓKAT T.JÁRULÉKOK ÉS SZOCIÁLIS HOZZÁJÁRULÁSI ADÓ</v>
      </c>
      <c r="I409" s="181">
        <f t="shared" si="169"/>
        <v>0</v>
      </c>
      <c r="J409" s="181">
        <f t="shared" si="175"/>
        <v>0</v>
      </c>
      <c r="K409" s="166">
        <f t="shared" si="170"/>
        <v>0</v>
      </c>
      <c r="L409" s="166">
        <f t="shared" si="176"/>
        <v>0</v>
      </c>
      <c r="M409" s="182"/>
      <c r="N409" s="166"/>
      <c r="O409" s="166"/>
      <c r="P409" s="166"/>
      <c r="Q409" s="166"/>
      <c r="R409" s="166"/>
      <c r="S409" s="166"/>
      <c r="T409" s="166"/>
      <c r="U409" s="166"/>
      <c r="V409" s="166"/>
      <c r="W409" s="166"/>
      <c r="X409" s="166"/>
      <c r="Y409" s="166"/>
      <c r="Z409" s="166"/>
      <c r="AA409" s="166"/>
      <c r="AB409" s="166"/>
      <c r="AC409" s="181"/>
      <c r="AD409" s="181"/>
      <c r="AE409" s="181"/>
      <c r="AF409" s="181"/>
      <c r="AG409" s="181"/>
      <c r="AH409" s="181"/>
      <c r="AI409" s="166"/>
      <c r="AJ409" s="166"/>
      <c r="AK409" s="166"/>
      <c r="AL409" s="166"/>
      <c r="AM409" s="166"/>
      <c r="AN409" s="166"/>
      <c r="AO409" s="166"/>
      <c r="AP409" s="166"/>
      <c r="AQ409" s="166"/>
      <c r="AR409" s="166"/>
      <c r="AS409" s="166"/>
      <c r="AT409" s="166"/>
      <c r="AU409" s="166"/>
      <c r="AV409" s="166"/>
      <c r="AW409" s="166"/>
      <c r="AX409" s="166"/>
      <c r="AY409" s="166"/>
      <c r="AZ409" s="186"/>
      <c r="BA409" s="186"/>
      <c r="BB409" s="186"/>
      <c r="BC409" s="186"/>
      <c r="BD409" s="186"/>
      <c r="BE409" s="186"/>
      <c r="BF409" s="186"/>
      <c r="BG409" s="186"/>
      <c r="BH409" s="186"/>
      <c r="BI409" s="183">
        <f t="shared" si="171"/>
        <v>0</v>
      </c>
      <c r="BJ409" s="183">
        <f t="shared" si="172"/>
        <v>0</v>
      </c>
      <c r="BK409" s="183">
        <f t="shared" si="173"/>
        <v>0</v>
      </c>
      <c r="BL409" s="183">
        <f t="shared" si="174"/>
        <v>0</v>
      </c>
    </row>
    <row r="410" spans="1:64" s="187" customFormat="1" ht="15.75" hidden="1" customHeight="1" outlineLevel="3" x14ac:dyDescent="0.3">
      <c r="A410" s="185"/>
      <c r="B410" s="180" t="s">
        <v>2804</v>
      </c>
      <c r="C410" s="180" t="s">
        <v>83</v>
      </c>
      <c r="D410" s="180" t="s">
        <v>2952</v>
      </c>
      <c r="E410" s="180" t="s">
        <v>2822</v>
      </c>
      <c r="F410" s="185" t="s">
        <v>3363</v>
      </c>
      <c r="G410" s="185"/>
      <c r="H410" s="180" t="s">
        <v>2710</v>
      </c>
      <c r="I410" s="196"/>
      <c r="J410" s="181">
        <f t="shared" si="175"/>
        <v>0</v>
      </c>
      <c r="K410" s="166">
        <f>+I410-J410</f>
        <v>0</v>
      </c>
      <c r="L410" s="166">
        <f t="shared" si="176"/>
        <v>0</v>
      </c>
      <c r="M410" s="182"/>
      <c r="N410" s="166"/>
      <c r="O410" s="166"/>
      <c r="P410" s="166"/>
      <c r="Q410" s="166"/>
      <c r="R410" s="166"/>
      <c r="S410" s="166"/>
      <c r="T410" s="166"/>
      <c r="U410" s="166"/>
      <c r="V410" s="166"/>
      <c r="W410" s="166"/>
      <c r="X410" s="166"/>
      <c r="Y410" s="166"/>
      <c r="Z410" s="181"/>
      <c r="AA410" s="181"/>
      <c r="AB410" s="181"/>
      <c r="AC410" s="181"/>
      <c r="AD410" s="181"/>
      <c r="AE410" s="181"/>
      <c r="AF410" s="181"/>
      <c r="AG410" s="181"/>
      <c r="AH410" s="181"/>
      <c r="AI410" s="181"/>
      <c r="AJ410" s="181"/>
      <c r="AK410" s="181"/>
      <c r="AL410" s="181"/>
      <c r="AM410" s="181"/>
      <c r="AN410" s="166"/>
      <c r="AO410" s="166"/>
      <c r="AP410" s="166"/>
      <c r="AQ410" s="166"/>
      <c r="AR410" s="166"/>
      <c r="AS410" s="166"/>
      <c r="AT410" s="166"/>
      <c r="AU410" s="166"/>
      <c r="AV410" s="166"/>
      <c r="AW410" s="166"/>
      <c r="AX410" s="166"/>
      <c r="AY410" s="166"/>
      <c r="AZ410" s="186"/>
      <c r="BA410" s="186"/>
      <c r="BB410" s="186"/>
      <c r="BC410" s="186"/>
      <c r="BD410" s="186"/>
      <c r="BE410" s="186"/>
      <c r="BF410" s="186"/>
      <c r="BG410" s="186"/>
      <c r="BH410" s="186"/>
      <c r="BI410" s="183">
        <f t="shared" si="171"/>
        <v>0</v>
      </c>
      <c r="BJ410" s="183">
        <f t="shared" si="172"/>
        <v>0</v>
      </c>
      <c r="BK410" s="183">
        <f t="shared" si="173"/>
        <v>0</v>
      </c>
      <c r="BL410" s="183">
        <f t="shared" si="174"/>
        <v>0</v>
      </c>
    </row>
    <row r="411" spans="1:64" s="187" customFormat="1" ht="15.75" hidden="1" customHeight="1" outlineLevel="3" x14ac:dyDescent="0.3">
      <c r="A411" s="185"/>
      <c r="B411" s="180" t="s">
        <v>2804</v>
      </c>
      <c r="C411" s="180" t="s">
        <v>83</v>
      </c>
      <c r="D411" s="180" t="s">
        <v>2952</v>
      </c>
      <c r="E411" s="185" t="s">
        <v>2804</v>
      </c>
      <c r="F411" s="185" t="s">
        <v>3363</v>
      </c>
      <c r="G411" s="185">
        <v>67</v>
      </c>
      <c r="H411" s="185" t="str">
        <f>IFERROR(VLOOKUP(G411,'2022. tervsor'!C:D,2,0)," ")</f>
        <v>Gyógyszerbeszerzés</v>
      </c>
      <c r="I411" s="181">
        <f>+J411</f>
        <v>0</v>
      </c>
      <c r="J411" s="181">
        <f t="shared" si="175"/>
        <v>0</v>
      </c>
      <c r="K411" s="166">
        <f t="shared" si="170"/>
        <v>0</v>
      </c>
      <c r="L411" s="166">
        <f t="shared" si="176"/>
        <v>0</v>
      </c>
      <c r="M411" s="182"/>
      <c r="N411" s="166"/>
      <c r="O411" s="166"/>
      <c r="P411" s="166"/>
      <c r="Q411" s="166"/>
      <c r="R411" s="166"/>
      <c r="S411" s="166"/>
      <c r="T411" s="166"/>
      <c r="U411" s="166"/>
      <c r="V411" s="166"/>
      <c r="W411" s="166"/>
      <c r="X411" s="166"/>
      <c r="Y411" s="166"/>
      <c r="Z411" s="166"/>
      <c r="AA411" s="166"/>
      <c r="AB411" s="166"/>
      <c r="AC411" s="181"/>
      <c r="AD411" s="181"/>
      <c r="AE411" s="181"/>
      <c r="AF411" s="181"/>
      <c r="AG411" s="181"/>
      <c r="AH411" s="181"/>
      <c r="AI411" s="166"/>
      <c r="AJ411" s="166"/>
      <c r="AK411" s="166"/>
      <c r="AL411" s="166"/>
      <c r="AM411" s="166"/>
      <c r="AN411" s="166"/>
      <c r="AO411" s="166"/>
      <c r="AP411" s="166"/>
      <c r="AQ411" s="166"/>
      <c r="AR411" s="166"/>
      <c r="AS411" s="166"/>
      <c r="AT411" s="166"/>
      <c r="AU411" s="166"/>
      <c r="AV411" s="166"/>
      <c r="AW411" s="166"/>
      <c r="AX411" s="166"/>
      <c r="AY411" s="166"/>
      <c r="AZ411" s="186"/>
      <c r="BA411" s="186"/>
      <c r="BB411" s="186"/>
      <c r="BC411" s="186"/>
      <c r="BD411" s="186"/>
      <c r="BE411" s="186"/>
      <c r="BF411" s="186"/>
      <c r="BG411" s="186"/>
      <c r="BH411" s="186"/>
      <c r="BI411" s="183">
        <f t="shared" si="171"/>
        <v>0</v>
      </c>
      <c r="BJ411" s="183">
        <f t="shared" si="172"/>
        <v>0</v>
      </c>
      <c r="BK411" s="183">
        <f t="shared" si="173"/>
        <v>0</v>
      </c>
      <c r="BL411" s="183">
        <f t="shared" si="174"/>
        <v>0</v>
      </c>
    </row>
    <row r="412" spans="1:64" s="187" customFormat="1" ht="15.75" hidden="1" customHeight="1" outlineLevel="3" x14ac:dyDescent="0.3">
      <c r="A412" s="185"/>
      <c r="B412" s="180" t="s">
        <v>2804</v>
      </c>
      <c r="C412" s="180" t="s">
        <v>83</v>
      </c>
      <c r="D412" s="180" t="s">
        <v>2952</v>
      </c>
      <c r="E412" s="185" t="s">
        <v>2804</v>
      </c>
      <c r="F412" s="185" t="s">
        <v>3363</v>
      </c>
      <c r="G412" s="185">
        <v>68</v>
      </c>
      <c r="H412" s="185" t="str">
        <f>IFERROR(VLOOKUP(G412,'2022. tervsor'!C:D,2,0)," ")</f>
        <v>Vegyszerbeszerzés</v>
      </c>
      <c r="I412" s="181">
        <f t="shared" ref="I412:I475" si="183">+J412</f>
        <v>0</v>
      </c>
      <c r="J412" s="181">
        <f t="shared" si="175"/>
        <v>0</v>
      </c>
      <c r="K412" s="166">
        <f t="shared" si="170"/>
        <v>0</v>
      </c>
      <c r="L412" s="166">
        <f t="shared" si="176"/>
        <v>0</v>
      </c>
      <c r="M412" s="182"/>
      <c r="N412" s="166"/>
      <c r="O412" s="166"/>
      <c r="P412" s="166"/>
      <c r="Q412" s="166"/>
      <c r="R412" s="166"/>
      <c r="S412" s="166"/>
      <c r="T412" s="166"/>
      <c r="U412" s="166"/>
      <c r="V412" s="166"/>
      <c r="W412" s="166"/>
      <c r="X412" s="166"/>
      <c r="Y412" s="166"/>
      <c r="Z412" s="166"/>
      <c r="AA412" s="166"/>
      <c r="AB412" s="166"/>
      <c r="AC412" s="181"/>
      <c r="AD412" s="181"/>
      <c r="AE412" s="181"/>
      <c r="AF412" s="181"/>
      <c r="AG412" s="181"/>
      <c r="AH412" s="181"/>
      <c r="AI412" s="166"/>
      <c r="AJ412" s="166"/>
      <c r="AK412" s="166"/>
      <c r="AL412" s="166"/>
      <c r="AM412" s="166"/>
      <c r="AN412" s="166"/>
      <c r="AO412" s="166"/>
      <c r="AP412" s="166"/>
      <c r="AQ412" s="166"/>
      <c r="AR412" s="166"/>
      <c r="AS412" s="166"/>
      <c r="AT412" s="166"/>
      <c r="AU412" s="166"/>
      <c r="AV412" s="166"/>
      <c r="AW412" s="166"/>
      <c r="AX412" s="166"/>
      <c r="AY412" s="166"/>
      <c r="AZ412" s="186"/>
      <c r="BA412" s="186"/>
      <c r="BB412" s="186"/>
      <c r="BC412" s="186"/>
      <c r="BD412" s="186"/>
      <c r="BE412" s="186"/>
      <c r="BF412" s="186"/>
      <c r="BG412" s="186"/>
      <c r="BH412" s="186"/>
      <c r="BI412" s="183">
        <f t="shared" si="171"/>
        <v>0</v>
      </c>
      <c r="BJ412" s="183">
        <f t="shared" si="172"/>
        <v>0</v>
      </c>
      <c r="BK412" s="183">
        <f t="shared" si="173"/>
        <v>0</v>
      </c>
      <c r="BL412" s="183">
        <f t="shared" si="174"/>
        <v>0</v>
      </c>
    </row>
    <row r="413" spans="1:64" s="187" customFormat="1" ht="15.75" hidden="1" customHeight="1" outlineLevel="3" x14ac:dyDescent="0.3">
      <c r="A413" s="185"/>
      <c r="B413" s="180" t="s">
        <v>2804</v>
      </c>
      <c r="C413" s="180" t="s">
        <v>83</v>
      </c>
      <c r="D413" s="180" t="s">
        <v>2952</v>
      </c>
      <c r="E413" s="185" t="s">
        <v>2804</v>
      </c>
      <c r="F413" s="185" t="s">
        <v>3363</v>
      </c>
      <c r="G413" s="185">
        <v>69</v>
      </c>
      <c r="H413" s="185" t="str">
        <f>IFERROR(VLOOKUP(G413,'2022. tervsor'!C:D,2,0)," ")</f>
        <v>Egyéb szakmai anyagbeszerzés</v>
      </c>
      <c r="I413" s="181">
        <v>11105887</v>
      </c>
      <c r="J413" s="181">
        <f t="shared" si="175"/>
        <v>11105887.15142275</v>
      </c>
      <c r="K413" s="166">
        <f t="shared" si="170"/>
        <v>-0.15142275020480156</v>
      </c>
      <c r="L413" s="166">
        <f t="shared" si="176"/>
        <v>11105887.15142275</v>
      </c>
      <c r="M413" s="182"/>
      <c r="N413" s="166"/>
      <c r="O413" s="166"/>
      <c r="P413" s="166"/>
      <c r="Q413" s="166"/>
      <c r="R413" s="166"/>
      <c r="S413" s="166"/>
      <c r="T413" s="166"/>
      <c r="U413" s="166"/>
      <c r="V413" s="166"/>
      <c r="W413" s="166"/>
      <c r="X413" s="166"/>
      <c r="Y413" s="166"/>
      <c r="Z413" s="166"/>
      <c r="AA413" s="166"/>
      <c r="AB413" s="166"/>
      <c r="AC413" s="181"/>
      <c r="AD413" s="181"/>
      <c r="AE413" s="181"/>
      <c r="AF413" s="181">
        <f>+(I355-I356)/1.27</f>
        <v>11105887.15142275</v>
      </c>
      <c r="AG413" s="181"/>
      <c r="AH413" s="181"/>
      <c r="AI413" s="166"/>
      <c r="AJ413" s="166"/>
      <c r="AK413" s="166"/>
      <c r="AL413" s="166"/>
      <c r="AM413" s="166"/>
      <c r="AN413" s="166"/>
      <c r="AO413" s="166"/>
      <c r="AP413" s="166"/>
      <c r="AQ413" s="166"/>
      <c r="AR413" s="166"/>
      <c r="AS413" s="166"/>
      <c r="AT413" s="166"/>
      <c r="AU413" s="166"/>
      <c r="AV413" s="166"/>
      <c r="AW413" s="166"/>
      <c r="AX413" s="166"/>
      <c r="AY413" s="166"/>
      <c r="AZ413" s="186"/>
      <c r="BA413" s="186"/>
      <c r="BB413" s="186"/>
      <c r="BC413" s="186"/>
      <c r="BD413" s="186"/>
      <c r="BE413" s="186"/>
      <c r="BF413" s="186"/>
      <c r="BG413" s="186"/>
      <c r="BH413" s="186"/>
      <c r="BI413" s="183">
        <f t="shared" si="171"/>
        <v>0</v>
      </c>
      <c r="BJ413" s="183">
        <f t="shared" si="172"/>
        <v>0</v>
      </c>
      <c r="BK413" s="183">
        <f t="shared" si="173"/>
        <v>11105887.15142275</v>
      </c>
      <c r="BL413" s="183">
        <f t="shared" si="174"/>
        <v>0</v>
      </c>
    </row>
    <row r="414" spans="1:64" s="187" customFormat="1" ht="15.75" hidden="1" customHeight="1" outlineLevel="3" x14ac:dyDescent="0.3">
      <c r="A414" s="185"/>
      <c r="B414" s="180" t="s">
        <v>2804</v>
      </c>
      <c r="C414" s="180" t="s">
        <v>83</v>
      </c>
      <c r="D414" s="180" t="s">
        <v>2952</v>
      </c>
      <c r="E414" s="185" t="s">
        <v>2804</v>
      </c>
      <c r="F414" s="185" t="s">
        <v>3363</v>
      </c>
      <c r="G414" s="185">
        <v>70</v>
      </c>
      <c r="H414" s="185" t="str">
        <f>IFERROR(VLOOKUP(G414,'2022. tervsor'!C:D,2,0)," ")</f>
        <v>Könyvbeszerzés (5% ÁFA)</v>
      </c>
      <c r="I414" s="181">
        <f t="shared" si="183"/>
        <v>0</v>
      </c>
      <c r="J414" s="181">
        <f t="shared" si="175"/>
        <v>0</v>
      </c>
      <c r="K414" s="166">
        <f t="shared" si="170"/>
        <v>0</v>
      </c>
      <c r="L414" s="166">
        <f t="shared" si="176"/>
        <v>0</v>
      </c>
      <c r="M414" s="182"/>
      <c r="N414" s="166"/>
      <c r="O414" s="166"/>
      <c r="P414" s="166"/>
      <c r="Q414" s="166"/>
      <c r="R414" s="166"/>
      <c r="S414" s="166"/>
      <c r="T414" s="166"/>
      <c r="U414" s="166"/>
      <c r="V414" s="166"/>
      <c r="W414" s="166"/>
      <c r="X414" s="166"/>
      <c r="Y414" s="166"/>
      <c r="Z414" s="166"/>
      <c r="AA414" s="166"/>
      <c r="AB414" s="166"/>
      <c r="AC414" s="181"/>
      <c r="AD414" s="181"/>
      <c r="AE414" s="181"/>
      <c r="AF414" s="181"/>
      <c r="AG414" s="181"/>
      <c r="AH414" s="181"/>
      <c r="AI414" s="166"/>
      <c r="AJ414" s="166"/>
      <c r="AK414" s="166"/>
      <c r="AL414" s="166"/>
      <c r="AM414" s="166"/>
      <c r="AN414" s="166"/>
      <c r="AO414" s="166"/>
      <c r="AP414" s="166"/>
      <c r="AQ414" s="166"/>
      <c r="AR414" s="166"/>
      <c r="AS414" s="166"/>
      <c r="AT414" s="166"/>
      <c r="AU414" s="166"/>
      <c r="AV414" s="166"/>
      <c r="AW414" s="166"/>
      <c r="AX414" s="166"/>
      <c r="AY414" s="166"/>
      <c r="AZ414" s="186"/>
      <c r="BA414" s="186"/>
      <c r="BB414" s="186"/>
      <c r="BC414" s="186"/>
      <c r="BD414" s="186"/>
      <c r="BE414" s="186"/>
      <c r="BF414" s="186"/>
      <c r="BG414" s="186"/>
      <c r="BH414" s="186"/>
      <c r="BI414" s="183">
        <f t="shared" si="171"/>
        <v>0</v>
      </c>
      <c r="BJ414" s="183">
        <f t="shared" si="172"/>
        <v>0</v>
      </c>
      <c r="BK414" s="183">
        <f t="shared" si="173"/>
        <v>0</v>
      </c>
      <c r="BL414" s="183">
        <f t="shared" si="174"/>
        <v>0</v>
      </c>
    </row>
    <row r="415" spans="1:64" s="187" customFormat="1" ht="15.75" hidden="1" customHeight="1" outlineLevel="3" x14ac:dyDescent="0.3">
      <c r="A415" s="185"/>
      <c r="B415" s="180" t="s">
        <v>2804</v>
      </c>
      <c r="C415" s="180" t="s">
        <v>83</v>
      </c>
      <c r="D415" s="180" t="s">
        <v>2952</v>
      </c>
      <c r="E415" s="185" t="s">
        <v>2804</v>
      </c>
      <c r="F415" s="185" t="s">
        <v>3363</v>
      </c>
      <c r="G415" s="185">
        <v>71</v>
      </c>
      <c r="H415" s="185" t="str">
        <f>IFERROR(VLOOKUP(G415,'2022. tervsor'!C:D,2,0)," ")</f>
        <v>Egy éven belül elhasználódó szakmai anyag</v>
      </c>
      <c r="I415" s="181">
        <f t="shared" si="183"/>
        <v>0</v>
      </c>
      <c r="J415" s="181">
        <f t="shared" si="175"/>
        <v>0</v>
      </c>
      <c r="K415" s="166">
        <f t="shared" si="170"/>
        <v>0</v>
      </c>
      <c r="L415" s="166">
        <f t="shared" si="176"/>
        <v>0</v>
      </c>
      <c r="M415" s="182"/>
      <c r="N415" s="166"/>
      <c r="O415" s="166"/>
      <c r="P415" s="166"/>
      <c r="Q415" s="166"/>
      <c r="R415" s="166"/>
      <c r="S415" s="166"/>
      <c r="T415" s="166"/>
      <c r="U415" s="166"/>
      <c r="V415" s="166"/>
      <c r="W415" s="166"/>
      <c r="X415" s="166"/>
      <c r="Y415" s="166"/>
      <c r="Z415" s="166"/>
      <c r="AA415" s="166"/>
      <c r="AB415" s="166"/>
      <c r="AC415" s="181"/>
      <c r="AD415" s="181"/>
      <c r="AE415" s="181"/>
      <c r="AF415" s="181"/>
      <c r="AG415" s="181"/>
      <c r="AH415" s="181"/>
      <c r="AI415" s="166"/>
      <c r="AJ415" s="166"/>
      <c r="AK415" s="166"/>
      <c r="AL415" s="166"/>
      <c r="AM415" s="166"/>
      <c r="AN415" s="166"/>
      <c r="AO415" s="166"/>
      <c r="AP415" s="166"/>
      <c r="AQ415" s="166"/>
      <c r="AR415" s="166"/>
      <c r="AS415" s="166"/>
      <c r="AT415" s="166"/>
      <c r="AU415" s="166"/>
      <c r="AV415" s="166"/>
      <c r="AW415" s="166"/>
      <c r="AX415" s="166"/>
      <c r="AY415" s="166"/>
      <c r="AZ415" s="186"/>
      <c r="BA415" s="186"/>
      <c r="BB415" s="186"/>
      <c r="BC415" s="186"/>
      <c r="BD415" s="186"/>
      <c r="BE415" s="186"/>
      <c r="BF415" s="186"/>
      <c r="BG415" s="186"/>
      <c r="BH415" s="186"/>
      <c r="BI415" s="183">
        <f t="shared" si="171"/>
        <v>0</v>
      </c>
      <c r="BJ415" s="183">
        <f t="shared" si="172"/>
        <v>0</v>
      </c>
      <c r="BK415" s="183">
        <f t="shared" si="173"/>
        <v>0</v>
      </c>
      <c r="BL415" s="183">
        <f t="shared" si="174"/>
        <v>0</v>
      </c>
    </row>
    <row r="416" spans="1:64" s="187" customFormat="1" ht="15.75" hidden="1" customHeight="1" outlineLevel="3" x14ac:dyDescent="0.3">
      <c r="A416" s="185"/>
      <c r="B416" s="180" t="s">
        <v>2804</v>
      </c>
      <c r="C416" s="180" t="s">
        <v>83</v>
      </c>
      <c r="D416" s="180" t="s">
        <v>2952</v>
      </c>
      <c r="E416" s="185" t="s">
        <v>2804</v>
      </c>
      <c r="F416" s="185" t="s">
        <v>3363</v>
      </c>
      <c r="G416" s="185">
        <v>73</v>
      </c>
      <c r="H416" s="185" t="str">
        <f>IFERROR(VLOOKUP(G416,'2022. tervsor'!C:D,2,0)," ")</f>
        <v>Irodaszer. sokszorosítási. számítástechnikai anyagok</v>
      </c>
      <c r="I416" s="181">
        <f t="shared" si="183"/>
        <v>0</v>
      </c>
      <c r="J416" s="181">
        <f t="shared" si="175"/>
        <v>0</v>
      </c>
      <c r="K416" s="166">
        <f t="shared" si="170"/>
        <v>0</v>
      </c>
      <c r="L416" s="166">
        <f t="shared" si="176"/>
        <v>0</v>
      </c>
      <c r="M416" s="182"/>
      <c r="N416" s="166"/>
      <c r="O416" s="166"/>
      <c r="P416" s="166"/>
      <c r="Q416" s="166"/>
      <c r="R416" s="166"/>
      <c r="S416" s="166"/>
      <c r="T416" s="166"/>
      <c r="U416" s="166"/>
      <c r="V416" s="166"/>
      <c r="W416" s="166"/>
      <c r="X416" s="166"/>
      <c r="Y416" s="166"/>
      <c r="Z416" s="166"/>
      <c r="AA416" s="166"/>
      <c r="AB416" s="166"/>
      <c r="AC416" s="181"/>
      <c r="AD416" s="181"/>
      <c r="AE416" s="181"/>
      <c r="AF416" s="181"/>
      <c r="AG416" s="181"/>
      <c r="AH416" s="181"/>
      <c r="AI416" s="166"/>
      <c r="AJ416" s="166"/>
      <c r="AK416" s="166"/>
      <c r="AL416" s="166"/>
      <c r="AM416" s="166"/>
      <c r="AN416" s="166"/>
      <c r="AO416" s="166"/>
      <c r="AP416" s="166"/>
      <c r="AQ416" s="166"/>
      <c r="AR416" s="166"/>
      <c r="AS416" s="166"/>
      <c r="AT416" s="166"/>
      <c r="AU416" s="166"/>
      <c r="AV416" s="166"/>
      <c r="AW416" s="166"/>
      <c r="AX416" s="166"/>
      <c r="AY416" s="166"/>
      <c r="AZ416" s="186"/>
      <c r="BA416" s="186"/>
      <c r="BB416" s="186"/>
      <c r="BC416" s="186"/>
      <c r="BD416" s="186"/>
      <c r="BE416" s="186"/>
      <c r="BF416" s="186"/>
      <c r="BG416" s="186"/>
      <c r="BH416" s="186"/>
      <c r="BI416" s="183">
        <f t="shared" si="171"/>
        <v>0</v>
      </c>
      <c r="BJ416" s="183">
        <f t="shared" si="172"/>
        <v>0</v>
      </c>
      <c r="BK416" s="183">
        <f t="shared" si="173"/>
        <v>0</v>
      </c>
      <c r="BL416" s="183">
        <f t="shared" si="174"/>
        <v>0</v>
      </c>
    </row>
    <row r="417" spans="1:64" s="187" customFormat="1" ht="15.75" hidden="1" customHeight="1" outlineLevel="3" x14ac:dyDescent="0.3">
      <c r="A417" s="185"/>
      <c r="B417" s="180" t="s">
        <v>2804</v>
      </c>
      <c r="C417" s="180" t="s">
        <v>83</v>
      </c>
      <c r="D417" s="180" t="s">
        <v>2952</v>
      </c>
      <c r="E417" s="185" t="s">
        <v>2804</v>
      </c>
      <c r="F417" s="185" t="s">
        <v>3363</v>
      </c>
      <c r="G417" s="185">
        <v>74</v>
      </c>
      <c r="H417" s="185" t="str">
        <f>IFERROR(VLOOKUP(G417,'2022. tervsor'!C:D,2,0)," ")</f>
        <v>Nyomtatvány beszerzés</v>
      </c>
      <c r="I417" s="181">
        <f t="shared" si="183"/>
        <v>0</v>
      </c>
      <c r="J417" s="181">
        <f t="shared" si="175"/>
        <v>0</v>
      </c>
      <c r="K417" s="166">
        <f t="shared" si="170"/>
        <v>0</v>
      </c>
      <c r="L417" s="166">
        <f t="shared" si="176"/>
        <v>0</v>
      </c>
      <c r="M417" s="182"/>
      <c r="N417" s="166"/>
      <c r="O417" s="166"/>
      <c r="P417" s="166"/>
      <c r="Q417" s="166"/>
      <c r="R417" s="166"/>
      <c r="S417" s="166"/>
      <c r="T417" s="166"/>
      <c r="U417" s="166"/>
      <c r="V417" s="166"/>
      <c r="W417" s="166"/>
      <c r="X417" s="166"/>
      <c r="Y417" s="166"/>
      <c r="Z417" s="166"/>
      <c r="AA417" s="166"/>
      <c r="AB417" s="166"/>
      <c r="AC417" s="181"/>
      <c r="AD417" s="181"/>
      <c r="AE417" s="181"/>
      <c r="AF417" s="181"/>
      <c r="AG417" s="181"/>
      <c r="AH417" s="181"/>
      <c r="AI417" s="166"/>
      <c r="AJ417" s="166"/>
      <c r="AK417" s="166"/>
      <c r="AL417" s="166"/>
      <c r="AM417" s="166"/>
      <c r="AN417" s="166"/>
      <c r="AO417" s="166"/>
      <c r="AP417" s="166"/>
      <c r="AQ417" s="166"/>
      <c r="AR417" s="166"/>
      <c r="AS417" s="166"/>
      <c r="AT417" s="166"/>
      <c r="AU417" s="166"/>
      <c r="AV417" s="166"/>
      <c r="AW417" s="166"/>
      <c r="AX417" s="166"/>
      <c r="AY417" s="166"/>
      <c r="AZ417" s="186"/>
      <c r="BA417" s="186"/>
      <c r="BB417" s="186"/>
      <c r="BC417" s="186"/>
      <c r="BD417" s="186"/>
      <c r="BE417" s="186"/>
      <c r="BF417" s="186"/>
      <c r="BG417" s="186"/>
      <c r="BH417" s="186"/>
      <c r="BI417" s="183">
        <f t="shared" si="171"/>
        <v>0</v>
      </c>
      <c r="BJ417" s="183">
        <f t="shared" si="172"/>
        <v>0</v>
      </c>
      <c r="BK417" s="183">
        <f t="shared" si="173"/>
        <v>0</v>
      </c>
      <c r="BL417" s="183">
        <f t="shared" si="174"/>
        <v>0</v>
      </c>
    </row>
    <row r="418" spans="1:64" s="187" customFormat="1" ht="15.75" hidden="1" customHeight="1" outlineLevel="3" x14ac:dyDescent="0.3">
      <c r="A418" s="185"/>
      <c r="B418" s="180" t="s">
        <v>2804</v>
      </c>
      <c r="C418" s="180" t="s">
        <v>83</v>
      </c>
      <c r="D418" s="180" t="s">
        <v>2952</v>
      </c>
      <c r="E418" s="185" t="s">
        <v>2804</v>
      </c>
      <c r="F418" s="185" t="s">
        <v>3363</v>
      </c>
      <c r="G418" s="185">
        <v>75</v>
      </c>
      <c r="H418" s="185" t="str">
        <f>IFERROR(VLOOKUP(G418,'2022. tervsor'!C:D,2,0)," ")</f>
        <v>Hajtó- és kenőanyag beszerzése</v>
      </c>
      <c r="I418" s="181">
        <f t="shared" si="183"/>
        <v>0</v>
      </c>
      <c r="J418" s="181">
        <f t="shared" si="175"/>
        <v>0</v>
      </c>
      <c r="K418" s="166">
        <f t="shared" si="170"/>
        <v>0</v>
      </c>
      <c r="L418" s="166">
        <f t="shared" si="176"/>
        <v>0</v>
      </c>
      <c r="M418" s="182"/>
      <c r="N418" s="166"/>
      <c r="O418" s="166"/>
      <c r="P418" s="166"/>
      <c r="Q418" s="166"/>
      <c r="R418" s="166"/>
      <c r="S418" s="166"/>
      <c r="T418" s="166"/>
      <c r="U418" s="166"/>
      <c r="V418" s="166"/>
      <c r="W418" s="166"/>
      <c r="X418" s="166"/>
      <c r="Y418" s="166"/>
      <c r="Z418" s="166"/>
      <c r="AA418" s="166"/>
      <c r="AB418" s="166"/>
      <c r="AC418" s="181"/>
      <c r="AD418" s="181"/>
      <c r="AE418" s="181"/>
      <c r="AF418" s="181"/>
      <c r="AG418" s="181"/>
      <c r="AH418" s="181"/>
      <c r="AI418" s="166"/>
      <c r="AJ418" s="166"/>
      <c r="AK418" s="166"/>
      <c r="AL418" s="166"/>
      <c r="AM418" s="166"/>
      <c r="AN418" s="166"/>
      <c r="AO418" s="166"/>
      <c r="AP418" s="166"/>
      <c r="AQ418" s="166"/>
      <c r="AR418" s="166"/>
      <c r="AS418" s="166"/>
      <c r="AT418" s="166"/>
      <c r="AU418" s="166"/>
      <c r="AV418" s="166"/>
      <c r="AW418" s="166"/>
      <c r="AX418" s="166"/>
      <c r="AY418" s="166"/>
      <c r="AZ418" s="186"/>
      <c r="BA418" s="186"/>
      <c r="BB418" s="186"/>
      <c r="BC418" s="186"/>
      <c r="BD418" s="186"/>
      <c r="BE418" s="186"/>
      <c r="BF418" s="186"/>
      <c r="BG418" s="186"/>
      <c r="BH418" s="186"/>
      <c r="BI418" s="183">
        <f t="shared" si="171"/>
        <v>0</v>
      </c>
      <c r="BJ418" s="183">
        <f t="shared" si="172"/>
        <v>0</v>
      </c>
      <c r="BK418" s="183">
        <f t="shared" si="173"/>
        <v>0</v>
      </c>
      <c r="BL418" s="183">
        <f t="shared" si="174"/>
        <v>0</v>
      </c>
    </row>
    <row r="419" spans="1:64" s="187" customFormat="1" ht="15.75" hidden="1" customHeight="1" outlineLevel="3" x14ac:dyDescent="0.3">
      <c r="A419" s="185"/>
      <c r="B419" s="180" t="s">
        <v>2804</v>
      </c>
      <c r="C419" s="180" t="s">
        <v>83</v>
      </c>
      <c r="D419" s="180" t="s">
        <v>2952</v>
      </c>
      <c r="E419" s="185" t="s">
        <v>2804</v>
      </c>
      <c r="F419" s="185" t="s">
        <v>3363</v>
      </c>
      <c r="G419" s="185">
        <v>76</v>
      </c>
      <c r="H419" s="185" t="str">
        <f>IFERROR(VLOOKUP(G419,'2022. tervsor'!C:D,2,0)," ")</f>
        <v>Munka-. védő- és formaruha beszerzés</v>
      </c>
      <c r="I419" s="181">
        <f t="shared" si="183"/>
        <v>0</v>
      </c>
      <c r="J419" s="181">
        <f t="shared" ref="J419:J450" si="184">SUM(N419:AM419)</f>
        <v>0</v>
      </c>
      <c r="K419" s="166">
        <f t="shared" si="170"/>
        <v>0</v>
      </c>
      <c r="L419" s="166">
        <f t="shared" ref="L419:L450" si="185">SUM(N419:BH419)</f>
        <v>0</v>
      </c>
      <c r="M419" s="182"/>
      <c r="N419" s="166"/>
      <c r="O419" s="166"/>
      <c r="P419" s="166"/>
      <c r="Q419" s="166"/>
      <c r="R419" s="166"/>
      <c r="S419" s="166"/>
      <c r="T419" s="166"/>
      <c r="U419" s="166"/>
      <c r="V419" s="166"/>
      <c r="W419" s="166"/>
      <c r="X419" s="166"/>
      <c r="Y419" s="166"/>
      <c r="Z419" s="166"/>
      <c r="AA419" s="166"/>
      <c r="AB419" s="166"/>
      <c r="AC419" s="181"/>
      <c r="AD419" s="181"/>
      <c r="AE419" s="181"/>
      <c r="AF419" s="181"/>
      <c r="AG419" s="181"/>
      <c r="AH419" s="181"/>
      <c r="AI419" s="166"/>
      <c r="AJ419" s="166"/>
      <c r="AK419" s="166"/>
      <c r="AL419" s="166"/>
      <c r="AM419" s="166"/>
      <c r="AN419" s="166"/>
      <c r="AO419" s="166"/>
      <c r="AP419" s="166"/>
      <c r="AQ419" s="166"/>
      <c r="AR419" s="166"/>
      <c r="AS419" s="166"/>
      <c r="AT419" s="166"/>
      <c r="AU419" s="166"/>
      <c r="AV419" s="166"/>
      <c r="AW419" s="166"/>
      <c r="AX419" s="166"/>
      <c r="AY419" s="166"/>
      <c r="AZ419" s="186"/>
      <c r="BA419" s="186"/>
      <c r="BB419" s="186"/>
      <c r="BC419" s="186"/>
      <c r="BD419" s="186"/>
      <c r="BE419" s="186"/>
      <c r="BF419" s="186"/>
      <c r="BG419" s="186"/>
      <c r="BH419" s="186"/>
      <c r="BI419" s="183">
        <f t="shared" si="171"/>
        <v>0</v>
      </c>
      <c r="BJ419" s="183">
        <f t="shared" si="172"/>
        <v>0</v>
      </c>
      <c r="BK419" s="183">
        <f t="shared" si="173"/>
        <v>0</v>
      </c>
      <c r="BL419" s="183">
        <f t="shared" si="174"/>
        <v>0</v>
      </c>
    </row>
    <row r="420" spans="1:64" s="187" customFormat="1" ht="15.75" hidden="1" customHeight="1" outlineLevel="3" x14ac:dyDescent="0.3">
      <c r="A420" s="185"/>
      <c r="B420" s="180" t="s">
        <v>2804</v>
      </c>
      <c r="C420" s="180" t="s">
        <v>83</v>
      </c>
      <c r="D420" s="180" t="s">
        <v>2952</v>
      </c>
      <c r="E420" s="185" t="s">
        <v>2804</v>
      </c>
      <c r="F420" s="185" t="s">
        <v>3363</v>
      </c>
      <c r="G420" s="185">
        <v>77</v>
      </c>
      <c r="H420" s="185" t="str">
        <f>IFERROR(VLOOKUP(G420,'2022. tervsor'!C:D,2,0)," ")</f>
        <v>Karbantartási anyagok. alkatrészek.szerszámok beszerz</v>
      </c>
      <c r="I420" s="181">
        <f t="shared" si="183"/>
        <v>0</v>
      </c>
      <c r="J420" s="181">
        <f t="shared" si="184"/>
        <v>0</v>
      </c>
      <c r="K420" s="166">
        <f t="shared" si="170"/>
        <v>0</v>
      </c>
      <c r="L420" s="166">
        <f t="shared" si="185"/>
        <v>0</v>
      </c>
      <c r="M420" s="182"/>
      <c r="N420" s="166"/>
      <c r="O420" s="166"/>
      <c r="P420" s="166"/>
      <c r="Q420" s="166"/>
      <c r="R420" s="166"/>
      <c r="S420" s="166"/>
      <c r="T420" s="166"/>
      <c r="U420" s="166"/>
      <c r="V420" s="166"/>
      <c r="W420" s="166"/>
      <c r="X420" s="166"/>
      <c r="Y420" s="166"/>
      <c r="Z420" s="166"/>
      <c r="AA420" s="166"/>
      <c r="AB420" s="166"/>
      <c r="AC420" s="181"/>
      <c r="AD420" s="181"/>
      <c r="AE420" s="181"/>
      <c r="AG420" s="181"/>
      <c r="AH420" s="181"/>
      <c r="AI420" s="166"/>
      <c r="AJ420" s="166"/>
      <c r="AK420" s="166"/>
      <c r="AL420" s="166"/>
      <c r="AM420" s="166"/>
      <c r="AN420" s="166"/>
      <c r="AO420" s="166"/>
      <c r="AP420" s="166"/>
      <c r="AQ420" s="166"/>
      <c r="AR420" s="166"/>
      <c r="AS420" s="166"/>
      <c r="AT420" s="166"/>
      <c r="AU420" s="166"/>
      <c r="AV420" s="166"/>
      <c r="AW420" s="166"/>
      <c r="AX420" s="166"/>
      <c r="AY420" s="166"/>
      <c r="AZ420" s="186"/>
      <c r="BA420" s="186"/>
      <c r="BB420" s="186"/>
      <c r="BC420" s="186"/>
      <c r="BD420" s="186"/>
      <c r="BE420" s="186"/>
      <c r="BF420" s="186"/>
      <c r="BG420" s="186"/>
      <c r="BH420" s="186"/>
      <c r="BI420" s="183">
        <f t="shared" si="171"/>
        <v>0</v>
      </c>
      <c r="BJ420" s="183">
        <f t="shared" si="172"/>
        <v>0</v>
      </c>
      <c r="BK420" s="183">
        <f t="shared" si="173"/>
        <v>0</v>
      </c>
      <c r="BL420" s="183">
        <f t="shared" si="174"/>
        <v>0</v>
      </c>
    </row>
    <row r="421" spans="1:64" s="187" customFormat="1" ht="15.75" hidden="1" customHeight="1" outlineLevel="3" x14ac:dyDescent="0.3">
      <c r="A421" s="185"/>
      <c r="B421" s="180" t="s">
        <v>2804</v>
      </c>
      <c r="C421" s="180" t="s">
        <v>83</v>
      </c>
      <c r="D421" s="180" t="s">
        <v>2952</v>
      </c>
      <c r="E421" s="185" t="s">
        <v>2804</v>
      </c>
      <c r="F421" s="185" t="s">
        <v>3363</v>
      </c>
      <c r="G421" s="185">
        <v>78</v>
      </c>
      <c r="H421" s="185" t="str">
        <f>IFERROR(VLOOKUP(G421,'2022. tervsor'!C:D,2,0)," ")</f>
        <v>Bútorok.berend..felszer. tárgyak. textíliák beszerz.</v>
      </c>
      <c r="I421" s="181">
        <f t="shared" si="183"/>
        <v>0</v>
      </c>
      <c r="J421" s="181">
        <f t="shared" si="184"/>
        <v>0</v>
      </c>
      <c r="K421" s="166">
        <f t="shared" si="170"/>
        <v>0</v>
      </c>
      <c r="L421" s="166">
        <f t="shared" si="185"/>
        <v>0</v>
      </c>
      <c r="M421" s="182"/>
      <c r="N421" s="166"/>
      <c r="O421" s="166"/>
      <c r="P421" s="166"/>
      <c r="Q421" s="166"/>
      <c r="R421" s="166"/>
      <c r="S421" s="166"/>
      <c r="T421" s="166"/>
      <c r="U421" s="166"/>
      <c r="V421" s="166"/>
      <c r="W421" s="166"/>
      <c r="X421" s="166"/>
      <c r="Y421" s="166"/>
      <c r="Z421" s="166"/>
      <c r="AA421" s="166"/>
      <c r="AB421" s="166"/>
      <c r="AC421" s="181"/>
      <c r="AD421" s="181"/>
      <c r="AE421" s="181"/>
      <c r="AF421" s="181"/>
      <c r="AG421" s="181"/>
      <c r="AH421" s="181"/>
      <c r="AI421" s="166"/>
      <c r="AJ421" s="166"/>
      <c r="AK421" s="166"/>
      <c r="AL421" s="166"/>
      <c r="AM421" s="166"/>
      <c r="AN421" s="166"/>
      <c r="AO421" s="166"/>
      <c r="AP421" s="166"/>
      <c r="AQ421" s="166"/>
      <c r="AR421" s="166"/>
      <c r="AS421" s="166"/>
      <c r="AT421" s="166"/>
      <c r="AU421" s="166"/>
      <c r="AV421" s="166"/>
      <c r="AW421" s="166"/>
      <c r="AX421" s="166"/>
      <c r="AY421" s="166"/>
      <c r="AZ421" s="186"/>
      <c r="BA421" s="186"/>
      <c r="BB421" s="186"/>
      <c r="BC421" s="186"/>
      <c r="BD421" s="186"/>
      <c r="BE421" s="186"/>
      <c r="BF421" s="186"/>
      <c r="BG421" s="186"/>
      <c r="BH421" s="186"/>
      <c r="BI421" s="183">
        <f t="shared" si="171"/>
        <v>0</v>
      </c>
      <c r="BJ421" s="183">
        <f t="shared" si="172"/>
        <v>0</v>
      </c>
      <c r="BK421" s="183">
        <f t="shared" si="173"/>
        <v>0</v>
      </c>
      <c r="BL421" s="183">
        <f t="shared" si="174"/>
        <v>0</v>
      </c>
    </row>
    <row r="422" spans="1:64" s="187" customFormat="1" ht="15.75" hidden="1" customHeight="1" outlineLevel="3" x14ac:dyDescent="0.3">
      <c r="A422" s="185"/>
      <c r="B422" s="180" t="s">
        <v>2804</v>
      </c>
      <c r="C422" s="180" t="s">
        <v>83</v>
      </c>
      <c r="D422" s="180" t="s">
        <v>2952</v>
      </c>
      <c r="E422" s="185" t="s">
        <v>2804</v>
      </c>
      <c r="F422" s="185" t="s">
        <v>3363</v>
      </c>
      <c r="G422" s="185">
        <v>79</v>
      </c>
      <c r="H422" s="185" t="str">
        <f>IFERROR(VLOOKUP(G422,'2022. tervsor'!C:D,2,0)," ")</f>
        <v>Tisztítószerek. tisztálkodási szerek beszerzése</v>
      </c>
      <c r="I422" s="181">
        <f t="shared" si="183"/>
        <v>0</v>
      </c>
      <c r="J422" s="181">
        <f t="shared" si="184"/>
        <v>0</v>
      </c>
      <c r="K422" s="166">
        <f t="shared" si="170"/>
        <v>0</v>
      </c>
      <c r="L422" s="166">
        <f t="shared" si="185"/>
        <v>0</v>
      </c>
      <c r="M422" s="182"/>
      <c r="N422" s="166"/>
      <c r="O422" s="166"/>
      <c r="P422" s="166"/>
      <c r="Q422" s="166"/>
      <c r="R422" s="166"/>
      <c r="S422" s="166"/>
      <c r="T422" s="166"/>
      <c r="U422" s="166"/>
      <c r="V422" s="166"/>
      <c r="W422" s="166"/>
      <c r="X422" s="166"/>
      <c r="Y422" s="166"/>
      <c r="Z422" s="166"/>
      <c r="AA422" s="166"/>
      <c r="AB422" s="166"/>
      <c r="AC422" s="181"/>
      <c r="AD422" s="181"/>
      <c r="AE422" s="181"/>
      <c r="AF422" s="181"/>
      <c r="AG422" s="181"/>
      <c r="AH422" s="181"/>
      <c r="AI422" s="166"/>
      <c r="AJ422" s="166"/>
      <c r="AK422" s="166"/>
      <c r="AL422" s="166"/>
      <c r="AM422" s="166"/>
      <c r="AN422" s="166"/>
      <c r="AO422" s="166"/>
      <c r="AP422" s="166"/>
      <c r="AQ422" s="166"/>
      <c r="AR422" s="166"/>
      <c r="AS422" s="166"/>
      <c r="AT422" s="166"/>
      <c r="AU422" s="166"/>
      <c r="AV422" s="166"/>
      <c r="AW422" s="166"/>
      <c r="AX422" s="166"/>
      <c r="AY422" s="166"/>
      <c r="AZ422" s="186"/>
      <c r="BA422" s="186"/>
      <c r="BB422" s="186"/>
      <c r="BC422" s="186"/>
      <c r="BD422" s="186"/>
      <c r="BE422" s="186"/>
      <c r="BF422" s="186"/>
      <c r="BG422" s="186"/>
      <c r="BH422" s="186"/>
      <c r="BI422" s="183">
        <f t="shared" si="171"/>
        <v>0</v>
      </c>
      <c r="BJ422" s="183">
        <f t="shared" si="172"/>
        <v>0</v>
      </c>
      <c r="BK422" s="183">
        <f t="shared" si="173"/>
        <v>0</v>
      </c>
      <c r="BL422" s="183">
        <f t="shared" si="174"/>
        <v>0</v>
      </c>
    </row>
    <row r="423" spans="1:64" s="187" customFormat="1" ht="15.75" hidden="1" customHeight="1" outlineLevel="3" x14ac:dyDescent="0.3">
      <c r="A423" s="185"/>
      <c r="B423" s="180" t="s">
        <v>2804</v>
      </c>
      <c r="C423" s="180" t="s">
        <v>83</v>
      </c>
      <c r="D423" s="180" t="s">
        <v>2952</v>
      </c>
      <c r="E423" s="185" t="s">
        <v>2804</v>
      </c>
      <c r="F423" s="185" t="s">
        <v>3363</v>
      </c>
      <c r="G423" s="185">
        <v>80</v>
      </c>
      <c r="H423" s="185" t="str">
        <f>IFERROR(VLOOKUP(G423,'2022. tervsor'!C:D,2,0)," ")</f>
        <v>Számítástechnikai alkatrészek.készletek beszerzése</v>
      </c>
      <c r="I423" s="181">
        <f t="shared" si="183"/>
        <v>0</v>
      </c>
      <c r="J423" s="181">
        <f t="shared" si="184"/>
        <v>0</v>
      </c>
      <c r="K423" s="166">
        <f t="shared" si="170"/>
        <v>0</v>
      </c>
      <c r="L423" s="166">
        <f t="shared" si="185"/>
        <v>0</v>
      </c>
      <c r="M423" s="182"/>
      <c r="N423" s="166"/>
      <c r="O423" s="166"/>
      <c r="P423" s="166"/>
      <c r="Q423" s="166"/>
      <c r="R423" s="166"/>
      <c r="S423" s="166"/>
      <c r="T423" s="166"/>
      <c r="U423" s="166"/>
      <c r="V423" s="166"/>
      <c r="W423" s="166"/>
      <c r="X423" s="166"/>
      <c r="Y423" s="166"/>
      <c r="Z423" s="166"/>
      <c r="AA423" s="166"/>
      <c r="AB423" s="166"/>
      <c r="AC423" s="181"/>
      <c r="AD423" s="181"/>
      <c r="AE423" s="181"/>
      <c r="AF423" s="181"/>
      <c r="AG423" s="181"/>
      <c r="AH423" s="181"/>
      <c r="AI423" s="166"/>
      <c r="AJ423" s="166"/>
      <c r="AK423" s="166"/>
      <c r="AL423" s="166"/>
      <c r="AM423" s="166"/>
      <c r="AN423" s="166"/>
      <c r="AO423" s="166"/>
      <c r="AP423" s="166"/>
      <c r="AQ423" s="166"/>
      <c r="AR423" s="166"/>
      <c r="AS423" s="166"/>
      <c r="AT423" s="166"/>
      <c r="AU423" s="166"/>
      <c r="AV423" s="166"/>
      <c r="AW423" s="166"/>
      <c r="AX423" s="166"/>
      <c r="AY423" s="166"/>
      <c r="AZ423" s="186"/>
      <c r="BA423" s="186"/>
      <c r="BB423" s="186"/>
      <c r="BC423" s="186"/>
      <c r="BD423" s="186"/>
      <c r="BE423" s="186"/>
      <c r="BF423" s="186"/>
      <c r="BG423" s="186"/>
      <c r="BH423" s="186"/>
      <c r="BI423" s="183">
        <f t="shared" si="171"/>
        <v>0</v>
      </c>
      <c r="BJ423" s="183">
        <f t="shared" si="172"/>
        <v>0</v>
      </c>
      <c r="BK423" s="183">
        <f t="shared" si="173"/>
        <v>0</v>
      </c>
      <c r="BL423" s="183">
        <f t="shared" si="174"/>
        <v>0</v>
      </c>
    </row>
    <row r="424" spans="1:64" s="187" customFormat="1" ht="15.75" hidden="1" customHeight="1" outlineLevel="3" x14ac:dyDescent="0.3">
      <c r="A424" s="185"/>
      <c r="B424" s="180" t="s">
        <v>2804</v>
      </c>
      <c r="C424" s="180" t="s">
        <v>83</v>
      </c>
      <c r="D424" s="180" t="s">
        <v>2952</v>
      </c>
      <c r="E424" s="185" t="s">
        <v>2804</v>
      </c>
      <c r="F424" s="185" t="s">
        <v>3363</v>
      </c>
      <c r="G424" s="185">
        <v>81</v>
      </c>
      <c r="H424" s="185" t="str">
        <f>IFERROR(VLOOKUP(G424,'2022. tervsor'!C:D,2,0)," ")</f>
        <v>Egyéb készletbeszerzés</v>
      </c>
      <c r="I424" s="181">
        <f t="shared" si="183"/>
        <v>0</v>
      </c>
      <c r="J424" s="181">
        <f t="shared" si="184"/>
        <v>0</v>
      </c>
      <c r="K424" s="166">
        <f t="shared" si="170"/>
        <v>0</v>
      </c>
      <c r="L424" s="166">
        <f t="shared" si="185"/>
        <v>0</v>
      </c>
      <c r="M424" s="182"/>
      <c r="N424" s="166"/>
      <c r="O424" s="166"/>
      <c r="P424" s="166"/>
      <c r="Q424" s="166"/>
      <c r="R424" s="166"/>
      <c r="S424" s="166"/>
      <c r="T424" s="166"/>
      <c r="U424" s="166"/>
      <c r="V424" s="166"/>
      <c r="W424" s="166"/>
      <c r="X424" s="166"/>
      <c r="Y424" s="166"/>
      <c r="Z424" s="166"/>
      <c r="AA424" s="166"/>
      <c r="AB424" s="166"/>
      <c r="AC424" s="181"/>
      <c r="AD424" s="181"/>
      <c r="AE424" s="181"/>
      <c r="AF424" s="181"/>
      <c r="AG424" s="181"/>
      <c r="AH424" s="181"/>
      <c r="AI424" s="166"/>
      <c r="AJ424" s="166"/>
      <c r="AK424" s="166"/>
      <c r="AL424" s="166"/>
      <c r="AM424" s="166"/>
      <c r="AN424" s="166"/>
      <c r="AO424" s="166"/>
      <c r="AP424" s="166"/>
      <c r="AQ424" s="166"/>
      <c r="AR424" s="166"/>
      <c r="AS424" s="166"/>
      <c r="AT424" s="166"/>
      <c r="AU424" s="166"/>
      <c r="AV424" s="166"/>
      <c r="AW424" s="166"/>
      <c r="AX424" s="166"/>
      <c r="AY424" s="166"/>
      <c r="AZ424" s="186"/>
      <c r="BA424" s="186"/>
      <c r="BB424" s="186"/>
      <c r="BC424" s="186"/>
      <c r="BD424" s="186"/>
      <c r="BE424" s="186"/>
      <c r="BF424" s="186"/>
      <c r="BG424" s="186"/>
      <c r="BH424" s="186"/>
      <c r="BI424" s="183">
        <f t="shared" si="171"/>
        <v>0</v>
      </c>
      <c r="BJ424" s="183">
        <f t="shared" si="172"/>
        <v>0</v>
      </c>
      <c r="BK424" s="183">
        <f t="shared" si="173"/>
        <v>0</v>
      </c>
      <c r="BL424" s="183">
        <f t="shared" si="174"/>
        <v>0</v>
      </c>
    </row>
    <row r="425" spans="1:64" s="187" customFormat="1" ht="15.75" hidden="1" customHeight="1" outlineLevel="3" x14ac:dyDescent="0.3">
      <c r="A425" s="185"/>
      <c r="B425" s="180" t="s">
        <v>2804</v>
      </c>
      <c r="C425" s="180" t="s">
        <v>83</v>
      </c>
      <c r="D425" s="180" t="s">
        <v>2952</v>
      </c>
      <c r="E425" s="185" t="s">
        <v>2804</v>
      </c>
      <c r="F425" s="185" t="s">
        <v>3363</v>
      </c>
      <c r="G425" s="185">
        <v>84</v>
      </c>
      <c r="H425" s="185" t="str">
        <f>IFERROR(VLOOKUP(G425,'2022. tervsor'!C:D,2,0)," ")</f>
        <v>Számítástechnikai oktatási szolg.</v>
      </c>
      <c r="I425" s="181">
        <f t="shared" si="183"/>
        <v>0</v>
      </c>
      <c r="J425" s="181">
        <f t="shared" si="184"/>
        <v>0</v>
      </c>
      <c r="K425" s="166">
        <f t="shared" si="170"/>
        <v>0</v>
      </c>
      <c r="L425" s="166">
        <f t="shared" si="185"/>
        <v>0</v>
      </c>
      <c r="M425" s="182"/>
      <c r="N425" s="166"/>
      <c r="O425" s="166"/>
      <c r="P425" s="166"/>
      <c r="Q425" s="166"/>
      <c r="R425" s="166"/>
      <c r="S425" s="166"/>
      <c r="T425" s="166"/>
      <c r="U425" s="166"/>
      <c r="V425" s="166"/>
      <c r="W425" s="166"/>
      <c r="X425" s="166"/>
      <c r="Y425" s="166"/>
      <c r="Z425" s="166"/>
      <c r="AA425" s="166"/>
      <c r="AB425" s="166"/>
      <c r="AC425" s="181"/>
      <c r="AD425" s="181"/>
      <c r="AE425" s="181"/>
      <c r="AF425" s="181"/>
      <c r="AG425" s="181"/>
      <c r="AH425" s="181"/>
      <c r="AI425" s="166"/>
      <c r="AJ425" s="166"/>
      <c r="AK425" s="166"/>
      <c r="AL425" s="166"/>
      <c r="AM425" s="166"/>
      <c r="AN425" s="166"/>
      <c r="AO425" s="166"/>
      <c r="AP425" s="166"/>
      <c r="AQ425" s="166"/>
      <c r="AR425" s="166"/>
      <c r="AS425" s="166"/>
      <c r="AT425" s="166"/>
      <c r="AU425" s="166"/>
      <c r="AV425" s="166"/>
      <c r="AW425" s="166"/>
      <c r="AX425" s="166"/>
      <c r="AY425" s="166"/>
      <c r="AZ425" s="186"/>
      <c r="BA425" s="186"/>
      <c r="BB425" s="186"/>
      <c r="BC425" s="186"/>
      <c r="BD425" s="186"/>
      <c r="BE425" s="186"/>
      <c r="BF425" s="186"/>
      <c r="BG425" s="186"/>
      <c r="BH425" s="186"/>
      <c r="BI425" s="183">
        <f t="shared" si="171"/>
        <v>0</v>
      </c>
      <c r="BJ425" s="183">
        <f t="shared" si="172"/>
        <v>0</v>
      </c>
      <c r="BK425" s="183">
        <f t="shared" si="173"/>
        <v>0</v>
      </c>
      <c r="BL425" s="183">
        <f t="shared" si="174"/>
        <v>0</v>
      </c>
    </row>
    <row r="426" spans="1:64" s="187" customFormat="1" ht="15.75" hidden="1" customHeight="1" outlineLevel="3" x14ac:dyDescent="0.3">
      <c r="A426" s="185"/>
      <c r="B426" s="180" t="s">
        <v>2804</v>
      </c>
      <c r="C426" s="180" t="s">
        <v>83</v>
      </c>
      <c r="D426" s="180" t="s">
        <v>2952</v>
      </c>
      <c r="E426" s="185" t="s">
        <v>2804</v>
      </c>
      <c r="F426" s="185" t="s">
        <v>3363</v>
      </c>
      <c r="G426" s="185">
        <v>85</v>
      </c>
      <c r="H426" s="185" t="str">
        <f>IFERROR(VLOOKUP(G426,'2022. tervsor'!C:D,2,0)," ")</f>
        <v>Inform.eszközök, szolg.bérlet,lízingelés ktg.</v>
      </c>
      <c r="I426" s="181">
        <f t="shared" si="183"/>
        <v>0</v>
      </c>
      <c r="J426" s="181">
        <f t="shared" si="184"/>
        <v>0</v>
      </c>
      <c r="K426" s="166">
        <f t="shared" si="170"/>
        <v>0</v>
      </c>
      <c r="L426" s="166">
        <f t="shared" si="185"/>
        <v>0</v>
      </c>
      <c r="M426" s="182"/>
      <c r="N426" s="166"/>
      <c r="O426" s="166"/>
      <c r="P426" s="166"/>
      <c r="Q426" s="166"/>
      <c r="R426" s="166"/>
      <c r="S426" s="166"/>
      <c r="T426" s="166"/>
      <c r="U426" s="166"/>
      <c r="V426" s="166"/>
      <c r="W426" s="166"/>
      <c r="X426" s="166"/>
      <c r="Y426" s="166"/>
      <c r="Z426" s="166"/>
      <c r="AA426" s="166"/>
      <c r="AB426" s="166"/>
      <c r="AC426" s="181"/>
      <c r="AD426" s="181"/>
      <c r="AE426" s="181"/>
      <c r="AF426" s="181"/>
      <c r="AG426" s="181"/>
      <c r="AH426" s="181"/>
      <c r="AI426" s="166"/>
      <c r="AJ426" s="166"/>
      <c r="AK426" s="166"/>
      <c r="AL426" s="166"/>
      <c r="AM426" s="166"/>
      <c r="AN426" s="166"/>
      <c r="AO426" s="166"/>
      <c r="AP426" s="166"/>
      <c r="AQ426" s="166"/>
      <c r="AR426" s="166"/>
      <c r="AS426" s="166"/>
      <c r="AT426" s="166"/>
      <c r="AU426" s="166"/>
      <c r="AV426" s="166"/>
      <c r="AW426" s="166"/>
      <c r="AX426" s="166"/>
      <c r="AY426" s="166"/>
      <c r="AZ426" s="186"/>
      <c r="BA426" s="186"/>
      <c r="BB426" s="186"/>
      <c r="BC426" s="186"/>
      <c r="BD426" s="186"/>
      <c r="BE426" s="186"/>
      <c r="BF426" s="186"/>
      <c r="BG426" s="186"/>
      <c r="BH426" s="186"/>
      <c r="BI426" s="183">
        <f t="shared" si="171"/>
        <v>0</v>
      </c>
      <c r="BJ426" s="183">
        <f t="shared" si="172"/>
        <v>0</v>
      </c>
      <c r="BK426" s="183">
        <f t="shared" si="173"/>
        <v>0</v>
      </c>
      <c r="BL426" s="183">
        <f t="shared" si="174"/>
        <v>0</v>
      </c>
    </row>
    <row r="427" spans="1:64" s="187" customFormat="1" ht="15.75" hidden="1" customHeight="1" outlineLevel="3" x14ac:dyDescent="0.3">
      <c r="A427" s="185"/>
      <c r="B427" s="180" t="s">
        <v>2804</v>
      </c>
      <c r="C427" s="180" t="s">
        <v>83</v>
      </c>
      <c r="D427" s="180" t="s">
        <v>2952</v>
      </c>
      <c r="E427" s="185" t="s">
        <v>2804</v>
      </c>
      <c r="F427" s="185" t="s">
        <v>3363</v>
      </c>
      <c r="G427" s="185">
        <v>86</v>
      </c>
      <c r="H427" s="185" t="str">
        <f>IFERROR(VLOOKUP(G427,'2022. tervsor'!C:D,2,0)," ")</f>
        <v>Informatikai eszközök karbantartása. kisjav.</v>
      </c>
      <c r="I427" s="181">
        <f t="shared" si="183"/>
        <v>0</v>
      </c>
      <c r="J427" s="181">
        <f t="shared" si="184"/>
        <v>0</v>
      </c>
      <c r="K427" s="166">
        <f t="shared" si="170"/>
        <v>0</v>
      </c>
      <c r="L427" s="166">
        <f t="shared" si="185"/>
        <v>0</v>
      </c>
      <c r="M427" s="182"/>
      <c r="N427" s="166"/>
      <c r="O427" s="166"/>
      <c r="P427" s="166"/>
      <c r="Q427" s="166"/>
      <c r="R427" s="166"/>
      <c r="S427" s="166"/>
      <c r="T427" s="166"/>
      <c r="U427" s="166"/>
      <c r="V427" s="166"/>
      <c r="W427" s="166"/>
      <c r="X427" s="166"/>
      <c r="Y427" s="166"/>
      <c r="Z427" s="166"/>
      <c r="AA427" s="166"/>
      <c r="AB427" s="166"/>
      <c r="AC427" s="181"/>
      <c r="AD427" s="181"/>
      <c r="AE427" s="181"/>
      <c r="AF427" s="181"/>
      <c r="AG427" s="181"/>
      <c r="AH427" s="181"/>
      <c r="AI427" s="166"/>
      <c r="AJ427" s="166"/>
      <c r="AK427" s="166"/>
      <c r="AL427" s="166"/>
      <c r="AM427" s="166"/>
      <c r="AN427" s="166"/>
      <c r="AO427" s="166"/>
      <c r="AP427" s="166"/>
      <c r="AQ427" s="166"/>
      <c r="AR427" s="166"/>
      <c r="AS427" s="166"/>
      <c r="AT427" s="166"/>
      <c r="AU427" s="166"/>
      <c r="AV427" s="166"/>
      <c r="AW427" s="166"/>
      <c r="AX427" s="166"/>
      <c r="AY427" s="166"/>
      <c r="AZ427" s="186"/>
      <c r="BA427" s="186"/>
      <c r="BB427" s="186"/>
      <c r="BC427" s="186"/>
      <c r="BD427" s="186"/>
      <c r="BE427" s="186"/>
      <c r="BF427" s="186"/>
      <c r="BG427" s="186"/>
      <c r="BH427" s="186"/>
      <c r="BI427" s="183">
        <f t="shared" si="171"/>
        <v>0</v>
      </c>
      <c r="BJ427" s="183">
        <f t="shared" si="172"/>
        <v>0</v>
      </c>
      <c r="BK427" s="183">
        <f t="shared" si="173"/>
        <v>0</v>
      </c>
      <c r="BL427" s="183">
        <f t="shared" si="174"/>
        <v>0</v>
      </c>
    </row>
    <row r="428" spans="1:64" s="187" customFormat="1" ht="15.75" hidden="1" customHeight="1" outlineLevel="3" x14ac:dyDescent="0.3">
      <c r="A428" s="185"/>
      <c r="B428" s="180" t="s">
        <v>2804</v>
      </c>
      <c r="C428" s="180" t="s">
        <v>83</v>
      </c>
      <c r="D428" s="180" t="s">
        <v>2952</v>
      </c>
      <c r="E428" s="185" t="s">
        <v>2804</v>
      </c>
      <c r="F428" s="185" t="s">
        <v>3363</v>
      </c>
      <c r="G428" s="185">
        <v>87</v>
      </c>
      <c r="H428" s="185" t="str">
        <f>IFERROR(VLOOKUP(G428,'2022. tervsor'!C:D,2,0)," ")</f>
        <v>Adatfeldolgozási szolgáltatások</v>
      </c>
      <c r="I428" s="181">
        <f t="shared" si="183"/>
        <v>0</v>
      </c>
      <c r="J428" s="181">
        <f t="shared" si="184"/>
        <v>0</v>
      </c>
      <c r="K428" s="166">
        <f t="shared" si="170"/>
        <v>0</v>
      </c>
      <c r="L428" s="166">
        <f t="shared" si="185"/>
        <v>0</v>
      </c>
      <c r="M428" s="182"/>
      <c r="N428" s="166"/>
      <c r="O428" s="166"/>
      <c r="P428" s="166"/>
      <c r="Q428" s="166"/>
      <c r="R428" s="166"/>
      <c r="S428" s="166"/>
      <c r="T428" s="166"/>
      <c r="U428" s="166"/>
      <c r="V428" s="166"/>
      <c r="W428" s="166"/>
      <c r="X428" s="166"/>
      <c r="Y428" s="166"/>
      <c r="Z428" s="166"/>
      <c r="AA428" s="166"/>
      <c r="AB428" s="166"/>
      <c r="AC428" s="181"/>
      <c r="AD428" s="181"/>
      <c r="AE428" s="181"/>
      <c r="AF428" s="181"/>
      <c r="AG428" s="181"/>
      <c r="AH428" s="181"/>
      <c r="AI428" s="166"/>
      <c r="AJ428" s="166"/>
      <c r="AK428" s="166"/>
      <c r="AL428" s="166"/>
      <c r="AM428" s="166"/>
      <c r="AN428" s="166"/>
      <c r="AO428" s="166"/>
      <c r="AP428" s="166"/>
      <c r="AQ428" s="166"/>
      <c r="AR428" s="166"/>
      <c r="AS428" s="166"/>
      <c r="AT428" s="166"/>
      <c r="AU428" s="166"/>
      <c r="AV428" s="166"/>
      <c r="AW428" s="166"/>
      <c r="AX428" s="166"/>
      <c r="AY428" s="166"/>
      <c r="AZ428" s="186"/>
      <c r="BA428" s="186"/>
      <c r="BB428" s="186"/>
      <c r="BC428" s="186"/>
      <c r="BD428" s="186"/>
      <c r="BE428" s="186"/>
      <c r="BF428" s="186"/>
      <c r="BG428" s="186"/>
      <c r="BH428" s="186"/>
      <c r="BI428" s="183">
        <f t="shared" si="171"/>
        <v>0</v>
      </c>
      <c r="BJ428" s="183">
        <f t="shared" si="172"/>
        <v>0</v>
      </c>
      <c r="BK428" s="183">
        <f t="shared" si="173"/>
        <v>0</v>
      </c>
      <c r="BL428" s="183">
        <f t="shared" si="174"/>
        <v>0</v>
      </c>
    </row>
    <row r="429" spans="1:64" s="187" customFormat="1" ht="15.75" hidden="1" customHeight="1" outlineLevel="3" x14ac:dyDescent="0.3">
      <c r="A429" s="185"/>
      <c r="B429" s="180" t="s">
        <v>2804</v>
      </c>
      <c r="C429" s="180" t="s">
        <v>83</v>
      </c>
      <c r="D429" s="180" t="s">
        <v>2952</v>
      </c>
      <c r="E429" s="185" t="s">
        <v>2804</v>
      </c>
      <c r="F429" s="185" t="s">
        <v>3363</v>
      </c>
      <c r="G429" s="185">
        <v>88</v>
      </c>
      <c r="H429" s="185" t="str">
        <f>IFERROR(VLOOKUP(G429,'2022. tervsor'!C:D,2,0)," ")</f>
        <v>Adatátviteli célú távközlési díjak</v>
      </c>
      <c r="I429" s="181">
        <f t="shared" si="183"/>
        <v>0</v>
      </c>
      <c r="J429" s="181">
        <f t="shared" si="184"/>
        <v>0</v>
      </c>
      <c r="K429" s="166">
        <f t="shared" si="170"/>
        <v>0</v>
      </c>
      <c r="L429" s="166">
        <f t="shared" si="185"/>
        <v>0</v>
      </c>
      <c r="M429" s="182"/>
      <c r="N429" s="166"/>
      <c r="O429" s="166"/>
      <c r="P429" s="166"/>
      <c r="Q429" s="166"/>
      <c r="R429" s="166"/>
      <c r="S429" s="166"/>
      <c r="T429" s="166"/>
      <c r="U429" s="166"/>
      <c r="V429" s="166"/>
      <c r="W429" s="166"/>
      <c r="X429" s="166"/>
      <c r="Y429" s="166"/>
      <c r="Z429" s="166"/>
      <c r="AA429" s="166"/>
      <c r="AB429" s="166"/>
      <c r="AC429" s="181"/>
      <c r="AD429" s="181"/>
      <c r="AE429" s="181"/>
      <c r="AF429" s="181"/>
      <c r="AG429" s="181"/>
      <c r="AH429" s="181"/>
      <c r="AI429" s="166"/>
      <c r="AJ429" s="166"/>
      <c r="AK429" s="166"/>
      <c r="AL429" s="166"/>
      <c r="AM429" s="166"/>
      <c r="AN429" s="166"/>
      <c r="AO429" s="166"/>
      <c r="AP429" s="166"/>
      <c r="AQ429" s="166"/>
      <c r="AR429" s="166"/>
      <c r="AS429" s="166"/>
      <c r="AT429" s="166"/>
      <c r="AU429" s="166"/>
      <c r="AV429" s="166"/>
      <c r="AW429" s="166"/>
      <c r="AX429" s="166"/>
      <c r="AY429" s="166"/>
      <c r="AZ429" s="186"/>
      <c r="BA429" s="186"/>
      <c r="BB429" s="186"/>
      <c r="BC429" s="186"/>
      <c r="BD429" s="186"/>
      <c r="BE429" s="186"/>
      <c r="BF429" s="186"/>
      <c r="BG429" s="186"/>
      <c r="BH429" s="186"/>
      <c r="BI429" s="183">
        <f t="shared" si="171"/>
        <v>0</v>
      </c>
      <c r="BJ429" s="183">
        <f t="shared" si="172"/>
        <v>0</v>
      </c>
      <c r="BK429" s="183">
        <f t="shared" si="173"/>
        <v>0</v>
      </c>
      <c r="BL429" s="183">
        <f t="shared" si="174"/>
        <v>0</v>
      </c>
    </row>
    <row r="430" spans="1:64" s="187" customFormat="1" ht="15.75" hidden="1" customHeight="1" outlineLevel="3" x14ac:dyDescent="0.3">
      <c r="A430" s="185"/>
      <c r="B430" s="180" t="s">
        <v>2804</v>
      </c>
      <c r="C430" s="180" t="s">
        <v>83</v>
      </c>
      <c r="D430" s="180" t="s">
        <v>2952</v>
      </c>
      <c r="E430" s="185" t="s">
        <v>2804</v>
      </c>
      <c r="F430" s="185" t="s">
        <v>3363</v>
      </c>
      <c r="G430" s="185">
        <v>90</v>
      </c>
      <c r="H430" s="185" t="str">
        <f>IFERROR(VLOOKUP(G430,'2022. tervsor'!C:D,2,0)," ")</f>
        <v>TV előfizetési díj</v>
      </c>
      <c r="I430" s="181">
        <f t="shared" si="183"/>
        <v>0</v>
      </c>
      <c r="J430" s="181">
        <f t="shared" si="184"/>
        <v>0</v>
      </c>
      <c r="K430" s="166">
        <f t="shared" si="170"/>
        <v>0</v>
      </c>
      <c r="L430" s="166">
        <f t="shared" si="185"/>
        <v>0</v>
      </c>
      <c r="M430" s="182"/>
      <c r="N430" s="166"/>
      <c r="O430" s="166"/>
      <c r="P430" s="166"/>
      <c r="Q430" s="166"/>
      <c r="R430" s="166"/>
      <c r="S430" s="166"/>
      <c r="T430" s="166"/>
      <c r="U430" s="166"/>
      <c r="V430" s="166"/>
      <c r="W430" s="166"/>
      <c r="X430" s="166"/>
      <c r="Y430" s="166"/>
      <c r="Z430" s="166"/>
      <c r="AA430" s="166"/>
      <c r="AB430" s="166"/>
      <c r="AC430" s="181"/>
      <c r="AD430" s="181"/>
      <c r="AE430" s="181"/>
      <c r="AF430" s="181"/>
      <c r="AG430" s="181"/>
      <c r="AH430" s="181"/>
      <c r="AI430" s="166"/>
      <c r="AJ430" s="166"/>
      <c r="AK430" s="166"/>
      <c r="AL430" s="166"/>
      <c r="AM430" s="166"/>
      <c r="AN430" s="166"/>
      <c r="AO430" s="166"/>
      <c r="AP430" s="166"/>
      <c r="AQ430" s="166"/>
      <c r="AR430" s="166"/>
      <c r="AS430" s="166"/>
      <c r="AT430" s="166"/>
      <c r="AU430" s="166"/>
      <c r="AV430" s="166"/>
      <c r="AW430" s="166"/>
      <c r="AX430" s="166"/>
      <c r="AY430" s="166"/>
      <c r="AZ430" s="186"/>
      <c r="BA430" s="186"/>
      <c r="BB430" s="186"/>
      <c r="BC430" s="186"/>
      <c r="BD430" s="186"/>
      <c r="BE430" s="186"/>
      <c r="BF430" s="186"/>
      <c r="BG430" s="186"/>
      <c r="BH430" s="186"/>
      <c r="BI430" s="183">
        <f t="shared" si="171"/>
        <v>0</v>
      </c>
      <c r="BJ430" s="183">
        <f t="shared" si="172"/>
        <v>0</v>
      </c>
      <c r="BK430" s="183">
        <f t="shared" si="173"/>
        <v>0</v>
      </c>
      <c r="BL430" s="183">
        <f t="shared" si="174"/>
        <v>0</v>
      </c>
    </row>
    <row r="431" spans="1:64" s="187" customFormat="1" ht="15.75" hidden="1" customHeight="1" outlineLevel="3" x14ac:dyDescent="0.3">
      <c r="A431" s="185"/>
      <c r="B431" s="180" t="s">
        <v>2804</v>
      </c>
      <c r="C431" s="180" t="s">
        <v>83</v>
      </c>
      <c r="D431" s="180" t="s">
        <v>2952</v>
      </c>
      <c r="E431" s="185" t="s">
        <v>2804</v>
      </c>
      <c r="F431" s="185" t="s">
        <v>3363</v>
      </c>
      <c r="G431" s="185">
        <v>91</v>
      </c>
      <c r="H431" s="185" t="str">
        <f>IFERROR(VLOOKUP(G431,'2022. tervsor'!C:D,2,0)," ")</f>
        <v>Egyéb kommunikációs szolgáltatások</v>
      </c>
      <c r="I431" s="181">
        <f t="shared" si="183"/>
        <v>0</v>
      </c>
      <c r="J431" s="181">
        <f t="shared" si="184"/>
        <v>0</v>
      </c>
      <c r="K431" s="166">
        <f t="shared" si="170"/>
        <v>0</v>
      </c>
      <c r="L431" s="166">
        <f t="shared" si="185"/>
        <v>0</v>
      </c>
      <c r="M431" s="182"/>
      <c r="N431" s="166"/>
      <c r="O431" s="166"/>
      <c r="P431" s="166"/>
      <c r="Q431" s="166"/>
      <c r="R431" s="166"/>
      <c r="S431" s="166"/>
      <c r="T431" s="166"/>
      <c r="U431" s="166"/>
      <c r="V431" s="166"/>
      <c r="W431" s="166"/>
      <c r="X431" s="166"/>
      <c r="Y431" s="166"/>
      <c r="Z431" s="166"/>
      <c r="AA431" s="166"/>
      <c r="AB431" s="166"/>
      <c r="AC431" s="181"/>
      <c r="AD431" s="181"/>
      <c r="AE431" s="181"/>
      <c r="AF431" s="181"/>
      <c r="AG431" s="181"/>
      <c r="AH431" s="181"/>
      <c r="AI431" s="166"/>
      <c r="AJ431" s="166"/>
      <c r="AK431" s="166"/>
      <c r="AL431" s="166"/>
      <c r="AM431" s="166"/>
      <c r="AN431" s="166"/>
      <c r="AO431" s="166"/>
      <c r="AP431" s="166"/>
      <c r="AQ431" s="166"/>
      <c r="AR431" s="166"/>
      <c r="AS431" s="166"/>
      <c r="AT431" s="166"/>
      <c r="AU431" s="166"/>
      <c r="AV431" s="166"/>
      <c r="AW431" s="166"/>
      <c r="AX431" s="166"/>
      <c r="AY431" s="166"/>
      <c r="AZ431" s="186"/>
      <c r="BA431" s="186"/>
      <c r="BB431" s="186"/>
      <c r="BC431" s="186"/>
      <c r="BD431" s="186"/>
      <c r="BE431" s="186"/>
      <c r="BF431" s="186"/>
      <c r="BG431" s="186"/>
      <c r="BH431" s="186"/>
      <c r="BI431" s="183">
        <f t="shared" si="171"/>
        <v>0</v>
      </c>
      <c r="BJ431" s="183">
        <f t="shared" si="172"/>
        <v>0</v>
      </c>
      <c r="BK431" s="183">
        <f t="shared" si="173"/>
        <v>0</v>
      </c>
      <c r="BL431" s="183">
        <f t="shared" si="174"/>
        <v>0</v>
      </c>
    </row>
    <row r="432" spans="1:64" s="187" customFormat="1" ht="15.75" hidden="1" customHeight="1" outlineLevel="3" x14ac:dyDescent="0.3">
      <c r="A432" s="185"/>
      <c r="B432" s="180" t="s">
        <v>2804</v>
      </c>
      <c r="C432" s="180" t="s">
        <v>83</v>
      </c>
      <c r="D432" s="180" t="s">
        <v>2952</v>
      </c>
      <c r="E432" s="185" t="s">
        <v>2804</v>
      </c>
      <c r="F432" s="185" t="s">
        <v>3363</v>
      </c>
      <c r="G432" s="185">
        <v>92</v>
      </c>
      <c r="H432" s="185" t="str">
        <f>IFERROR(VLOOKUP(G432,'2022. tervsor'!C:D,2,0)," ")</f>
        <v>Nem adatátviteli célú távközlési díjak</v>
      </c>
      <c r="I432" s="181">
        <f t="shared" si="183"/>
        <v>0</v>
      </c>
      <c r="J432" s="181">
        <f t="shared" si="184"/>
        <v>0</v>
      </c>
      <c r="K432" s="166">
        <f t="shared" si="170"/>
        <v>0</v>
      </c>
      <c r="L432" s="166">
        <f t="shared" si="185"/>
        <v>0</v>
      </c>
      <c r="M432" s="182"/>
      <c r="N432" s="166"/>
      <c r="O432" s="166"/>
      <c r="P432" s="166"/>
      <c r="Q432" s="166"/>
      <c r="R432" s="166"/>
      <c r="S432" s="166"/>
      <c r="T432" s="166"/>
      <c r="U432" s="166"/>
      <c r="V432" s="166"/>
      <c r="W432" s="166"/>
      <c r="X432" s="166"/>
      <c r="Y432" s="166"/>
      <c r="Z432" s="166"/>
      <c r="AA432" s="166"/>
      <c r="AB432" s="166"/>
      <c r="AC432" s="181"/>
      <c r="AD432" s="181"/>
      <c r="AE432" s="181"/>
      <c r="AF432" s="181"/>
      <c r="AG432" s="181"/>
      <c r="AH432" s="181"/>
      <c r="AI432" s="166"/>
      <c r="AJ432" s="166"/>
      <c r="AK432" s="166"/>
      <c r="AL432" s="166"/>
      <c r="AM432" s="166"/>
      <c r="AN432" s="166"/>
      <c r="AO432" s="166"/>
      <c r="AP432" s="166"/>
      <c r="AQ432" s="166"/>
      <c r="AR432" s="166"/>
      <c r="AS432" s="166"/>
      <c r="AT432" s="166"/>
      <c r="AU432" s="166"/>
      <c r="AV432" s="166"/>
      <c r="AW432" s="166"/>
      <c r="AX432" s="166"/>
      <c r="AY432" s="166"/>
      <c r="AZ432" s="186"/>
      <c r="BA432" s="186"/>
      <c r="BB432" s="186"/>
      <c r="BC432" s="186"/>
      <c r="BD432" s="186"/>
      <c r="BE432" s="186"/>
      <c r="BF432" s="186"/>
      <c r="BG432" s="186"/>
      <c r="BH432" s="186"/>
      <c r="BI432" s="183">
        <f t="shared" si="171"/>
        <v>0</v>
      </c>
      <c r="BJ432" s="183">
        <f t="shared" si="172"/>
        <v>0</v>
      </c>
      <c r="BK432" s="183">
        <f t="shared" si="173"/>
        <v>0</v>
      </c>
      <c r="BL432" s="183">
        <f t="shared" si="174"/>
        <v>0</v>
      </c>
    </row>
    <row r="433" spans="1:64" s="187" customFormat="1" ht="15.75" hidden="1" customHeight="1" outlineLevel="3" x14ac:dyDescent="0.3">
      <c r="A433" s="185"/>
      <c r="B433" s="180" t="s">
        <v>2804</v>
      </c>
      <c r="C433" s="180" t="s">
        <v>83</v>
      </c>
      <c r="D433" s="180" t="s">
        <v>2952</v>
      </c>
      <c r="E433" s="185" t="s">
        <v>2804</v>
      </c>
      <c r="F433" s="185" t="s">
        <v>3363</v>
      </c>
      <c r="G433" s="185">
        <v>93</v>
      </c>
      <c r="H433" s="185" t="str">
        <f>IFERROR(VLOOKUP(G433,'2022. tervsor'!C:D,2,0)," ")</f>
        <v>Nem járulékköteles távközlési díj</v>
      </c>
      <c r="I433" s="181">
        <f t="shared" si="183"/>
        <v>0</v>
      </c>
      <c r="J433" s="181">
        <f t="shared" si="184"/>
        <v>0</v>
      </c>
      <c r="K433" s="166">
        <f t="shared" si="170"/>
        <v>0</v>
      </c>
      <c r="L433" s="166">
        <f t="shared" si="185"/>
        <v>0</v>
      </c>
      <c r="M433" s="182"/>
      <c r="N433" s="166"/>
      <c r="O433" s="166"/>
      <c r="P433" s="166"/>
      <c r="Q433" s="166"/>
      <c r="R433" s="166"/>
      <c r="S433" s="166"/>
      <c r="T433" s="166"/>
      <c r="U433" s="166"/>
      <c r="V433" s="166"/>
      <c r="W433" s="166"/>
      <c r="X433" s="166"/>
      <c r="Y433" s="166"/>
      <c r="Z433" s="166"/>
      <c r="AA433" s="166"/>
      <c r="AB433" s="166"/>
      <c r="AC433" s="181"/>
      <c r="AD433" s="181"/>
      <c r="AE433" s="181"/>
      <c r="AF433" s="181"/>
      <c r="AG433" s="181"/>
      <c r="AH433" s="181"/>
      <c r="AI433" s="166"/>
      <c r="AJ433" s="166"/>
      <c r="AK433" s="166"/>
      <c r="AL433" s="166"/>
      <c r="AM433" s="166"/>
      <c r="AN433" s="166"/>
      <c r="AO433" s="166"/>
      <c r="AP433" s="166"/>
      <c r="AQ433" s="166"/>
      <c r="AR433" s="166"/>
      <c r="AS433" s="166"/>
      <c r="AT433" s="166"/>
      <c r="AU433" s="166"/>
      <c r="AV433" s="166"/>
      <c r="AW433" s="166"/>
      <c r="AX433" s="166"/>
      <c r="AY433" s="166"/>
      <c r="AZ433" s="186"/>
      <c r="BA433" s="186"/>
      <c r="BB433" s="186"/>
      <c r="BC433" s="186"/>
      <c r="BD433" s="186"/>
      <c r="BE433" s="186"/>
      <c r="BF433" s="186"/>
      <c r="BG433" s="186"/>
      <c r="BH433" s="186"/>
      <c r="BI433" s="183">
        <f t="shared" si="171"/>
        <v>0</v>
      </c>
      <c r="BJ433" s="183">
        <f t="shared" si="172"/>
        <v>0</v>
      </c>
      <c r="BK433" s="183">
        <f t="shared" si="173"/>
        <v>0</v>
      </c>
      <c r="BL433" s="183">
        <f t="shared" si="174"/>
        <v>0</v>
      </c>
    </row>
    <row r="434" spans="1:64" s="187" customFormat="1" ht="15.75" hidden="1" customHeight="1" outlineLevel="3" x14ac:dyDescent="0.3">
      <c r="A434" s="185"/>
      <c r="B434" s="180" t="s">
        <v>2804</v>
      </c>
      <c r="C434" s="180" t="s">
        <v>83</v>
      </c>
      <c r="D434" s="180" t="s">
        <v>2952</v>
      </c>
      <c r="E434" s="185" t="s">
        <v>2804</v>
      </c>
      <c r="F434" s="185" t="s">
        <v>3363</v>
      </c>
      <c r="G434" s="185">
        <v>96</v>
      </c>
      <c r="H434" s="185" t="str">
        <f>IFERROR(VLOOKUP(G434,'2022. tervsor'!C:D,2,0)," ")</f>
        <v>Villamosenergia szolgáltatás díja</v>
      </c>
      <c r="I434" s="181">
        <f t="shared" si="183"/>
        <v>0</v>
      </c>
      <c r="J434" s="181">
        <f t="shared" si="184"/>
        <v>0</v>
      </c>
      <c r="K434" s="166">
        <f t="shared" si="170"/>
        <v>0</v>
      </c>
      <c r="L434" s="166">
        <f t="shared" si="185"/>
        <v>0</v>
      </c>
      <c r="M434" s="182"/>
      <c r="N434" s="166"/>
      <c r="O434" s="166"/>
      <c r="P434" s="166"/>
      <c r="Q434" s="166"/>
      <c r="R434" s="166"/>
      <c r="S434" s="166"/>
      <c r="T434" s="166"/>
      <c r="U434" s="166"/>
      <c r="V434" s="166"/>
      <c r="W434" s="166"/>
      <c r="X434" s="166"/>
      <c r="Y434" s="166"/>
      <c r="Z434" s="166"/>
      <c r="AA434" s="166"/>
      <c r="AB434" s="166"/>
      <c r="AC434" s="181"/>
      <c r="AD434" s="181"/>
      <c r="AE434" s="181"/>
      <c r="AF434" s="181"/>
      <c r="AG434" s="181"/>
      <c r="AH434" s="181"/>
      <c r="AI434" s="166"/>
      <c r="AJ434" s="166"/>
      <c r="AK434" s="166"/>
      <c r="AL434" s="166"/>
      <c r="AM434" s="166"/>
      <c r="AN434" s="166"/>
      <c r="AO434" s="166"/>
      <c r="AP434" s="166"/>
      <c r="AQ434" s="166"/>
      <c r="AR434" s="166"/>
      <c r="AS434" s="166"/>
      <c r="AT434" s="166"/>
      <c r="AU434" s="166"/>
      <c r="AV434" s="166"/>
      <c r="AW434" s="166"/>
      <c r="AX434" s="166"/>
      <c r="AY434" s="166"/>
      <c r="AZ434" s="186"/>
      <c r="BA434" s="186"/>
      <c r="BB434" s="186"/>
      <c r="BC434" s="186"/>
      <c r="BD434" s="186"/>
      <c r="BE434" s="186"/>
      <c r="BF434" s="186"/>
      <c r="BG434" s="186"/>
      <c r="BH434" s="186"/>
      <c r="BI434" s="183">
        <f t="shared" si="171"/>
        <v>0</v>
      </c>
      <c r="BJ434" s="183">
        <f t="shared" si="172"/>
        <v>0</v>
      </c>
      <c r="BK434" s="183">
        <f t="shared" si="173"/>
        <v>0</v>
      </c>
      <c r="BL434" s="183">
        <f t="shared" si="174"/>
        <v>0</v>
      </c>
    </row>
    <row r="435" spans="1:64" s="187" customFormat="1" ht="15.75" hidden="1" customHeight="1" outlineLevel="3" x14ac:dyDescent="0.3">
      <c r="A435" s="185"/>
      <c r="B435" s="180" t="s">
        <v>2804</v>
      </c>
      <c r="C435" s="180" t="s">
        <v>83</v>
      </c>
      <c r="D435" s="180" t="s">
        <v>2952</v>
      </c>
      <c r="E435" s="185" t="s">
        <v>2804</v>
      </c>
      <c r="F435" s="185" t="s">
        <v>3363</v>
      </c>
      <c r="G435" s="185">
        <v>97</v>
      </c>
      <c r="H435" s="185" t="str">
        <f>IFERROR(VLOOKUP(G435,'2022. tervsor'!C:D,2,0)," ")</f>
        <v>Gázenergia szolgáltatás díja</v>
      </c>
      <c r="I435" s="181">
        <f t="shared" si="183"/>
        <v>0</v>
      </c>
      <c r="J435" s="181">
        <f t="shared" si="184"/>
        <v>0</v>
      </c>
      <c r="K435" s="166">
        <f t="shared" si="170"/>
        <v>0</v>
      </c>
      <c r="L435" s="166">
        <f t="shared" si="185"/>
        <v>0</v>
      </c>
      <c r="M435" s="182"/>
      <c r="N435" s="166"/>
      <c r="O435" s="166"/>
      <c r="P435" s="166"/>
      <c r="Q435" s="166"/>
      <c r="R435" s="166"/>
      <c r="S435" s="166"/>
      <c r="T435" s="166"/>
      <c r="U435" s="166"/>
      <c r="V435" s="166"/>
      <c r="W435" s="166"/>
      <c r="X435" s="166"/>
      <c r="Y435" s="166"/>
      <c r="Z435" s="166"/>
      <c r="AA435" s="166"/>
      <c r="AB435" s="166"/>
      <c r="AC435" s="181"/>
      <c r="AD435" s="181"/>
      <c r="AE435" s="181"/>
      <c r="AF435" s="181"/>
      <c r="AG435" s="181"/>
      <c r="AH435" s="181"/>
      <c r="AI435" s="166"/>
      <c r="AJ435" s="166"/>
      <c r="AK435" s="166"/>
      <c r="AL435" s="166"/>
      <c r="AM435" s="166"/>
      <c r="AN435" s="166"/>
      <c r="AO435" s="166"/>
      <c r="AP435" s="166"/>
      <c r="AQ435" s="166"/>
      <c r="AR435" s="166"/>
      <c r="AS435" s="166"/>
      <c r="AT435" s="166"/>
      <c r="AU435" s="166"/>
      <c r="AV435" s="166"/>
      <c r="AW435" s="166"/>
      <c r="AX435" s="166"/>
      <c r="AY435" s="166"/>
      <c r="AZ435" s="186"/>
      <c r="BA435" s="186"/>
      <c r="BB435" s="186"/>
      <c r="BC435" s="186"/>
      <c r="BD435" s="186"/>
      <c r="BE435" s="186"/>
      <c r="BF435" s="186"/>
      <c r="BG435" s="186"/>
      <c r="BH435" s="186"/>
      <c r="BI435" s="183">
        <f t="shared" si="171"/>
        <v>0</v>
      </c>
      <c r="BJ435" s="183">
        <f t="shared" si="172"/>
        <v>0</v>
      </c>
      <c r="BK435" s="183">
        <f t="shared" si="173"/>
        <v>0</v>
      </c>
      <c r="BL435" s="183">
        <f t="shared" si="174"/>
        <v>0</v>
      </c>
    </row>
    <row r="436" spans="1:64" s="187" customFormat="1" ht="15.75" hidden="1" customHeight="1" outlineLevel="3" x14ac:dyDescent="0.3">
      <c r="A436" s="185"/>
      <c r="B436" s="180" t="s">
        <v>2804</v>
      </c>
      <c r="C436" s="180" t="s">
        <v>83</v>
      </c>
      <c r="D436" s="180" t="s">
        <v>2952</v>
      </c>
      <c r="E436" s="185" t="s">
        <v>2804</v>
      </c>
      <c r="F436" s="185" t="s">
        <v>3363</v>
      </c>
      <c r="G436" s="185">
        <v>98</v>
      </c>
      <c r="H436" s="185" t="str">
        <f>IFERROR(VLOOKUP(G436,'2022. tervsor'!C:D,2,0)," ")</f>
        <v>Távhő és melegvíz szolgáltatás díja</v>
      </c>
      <c r="I436" s="181">
        <f t="shared" si="183"/>
        <v>0</v>
      </c>
      <c r="J436" s="181">
        <f t="shared" si="184"/>
        <v>0</v>
      </c>
      <c r="K436" s="166">
        <f t="shared" si="170"/>
        <v>0</v>
      </c>
      <c r="L436" s="166">
        <f t="shared" si="185"/>
        <v>0</v>
      </c>
      <c r="M436" s="182"/>
      <c r="N436" s="166"/>
      <c r="O436" s="166"/>
      <c r="P436" s="166"/>
      <c r="Q436" s="166"/>
      <c r="R436" s="166"/>
      <c r="S436" s="166"/>
      <c r="T436" s="166"/>
      <c r="U436" s="166"/>
      <c r="V436" s="166"/>
      <c r="W436" s="166"/>
      <c r="X436" s="166"/>
      <c r="Y436" s="166"/>
      <c r="Z436" s="166"/>
      <c r="AA436" s="166"/>
      <c r="AB436" s="166"/>
      <c r="AC436" s="181"/>
      <c r="AD436" s="181"/>
      <c r="AE436" s="181"/>
      <c r="AF436" s="181"/>
      <c r="AG436" s="181"/>
      <c r="AH436" s="181"/>
      <c r="AI436" s="166"/>
      <c r="AJ436" s="166"/>
      <c r="AK436" s="166"/>
      <c r="AL436" s="166"/>
      <c r="AM436" s="166"/>
      <c r="AN436" s="166"/>
      <c r="AO436" s="166"/>
      <c r="AP436" s="166"/>
      <c r="AQ436" s="166"/>
      <c r="AR436" s="166"/>
      <c r="AS436" s="166"/>
      <c r="AT436" s="166"/>
      <c r="AU436" s="166"/>
      <c r="AV436" s="166"/>
      <c r="AW436" s="166"/>
      <c r="AX436" s="166"/>
      <c r="AY436" s="166"/>
      <c r="AZ436" s="186"/>
      <c r="BA436" s="186"/>
      <c r="BB436" s="186"/>
      <c r="BC436" s="186"/>
      <c r="BD436" s="186"/>
      <c r="BE436" s="186"/>
      <c r="BF436" s="186"/>
      <c r="BG436" s="186"/>
      <c r="BH436" s="186"/>
      <c r="BI436" s="183">
        <f t="shared" si="171"/>
        <v>0</v>
      </c>
      <c r="BJ436" s="183">
        <f t="shared" si="172"/>
        <v>0</v>
      </c>
      <c r="BK436" s="183">
        <f t="shared" si="173"/>
        <v>0</v>
      </c>
      <c r="BL436" s="183">
        <f t="shared" si="174"/>
        <v>0</v>
      </c>
    </row>
    <row r="437" spans="1:64" s="187" customFormat="1" ht="15.75" hidden="1" customHeight="1" outlineLevel="3" x14ac:dyDescent="0.3">
      <c r="A437" s="185"/>
      <c r="B437" s="180" t="s">
        <v>2804</v>
      </c>
      <c r="C437" s="180" t="s">
        <v>83</v>
      </c>
      <c r="D437" s="180" t="s">
        <v>2952</v>
      </c>
      <c r="E437" s="185" t="s">
        <v>2804</v>
      </c>
      <c r="F437" s="185" t="s">
        <v>3363</v>
      </c>
      <c r="G437" s="185">
        <v>99</v>
      </c>
      <c r="H437" s="185" t="str">
        <f>IFERROR(VLOOKUP(G437,'2022. tervsor'!C:D,2,0)," ")</f>
        <v>Víz- és csatornadíjak</v>
      </c>
      <c r="I437" s="181">
        <f t="shared" si="183"/>
        <v>0</v>
      </c>
      <c r="J437" s="181">
        <f t="shared" si="184"/>
        <v>0</v>
      </c>
      <c r="K437" s="166">
        <f t="shared" si="170"/>
        <v>0</v>
      </c>
      <c r="L437" s="166">
        <f t="shared" si="185"/>
        <v>0</v>
      </c>
      <c r="M437" s="182"/>
      <c r="N437" s="166"/>
      <c r="O437" s="166"/>
      <c r="P437" s="166"/>
      <c r="Q437" s="166"/>
      <c r="R437" s="166"/>
      <c r="S437" s="166"/>
      <c r="T437" s="166"/>
      <c r="U437" s="166"/>
      <c r="V437" s="166"/>
      <c r="W437" s="166"/>
      <c r="X437" s="166"/>
      <c r="Y437" s="166"/>
      <c r="Z437" s="166"/>
      <c r="AA437" s="166"/>
      <c r="AB437" s="166"/>
      <c r="AC437" s="181"/>
      <c r="AD437" s="181"/>
      <c r="AE437" s="181"/>
      <c r="AF437" s="181"/>
      <c r="AG437" s="181"/>
      <c r="AH437" s="181"/>
      <c r="AI437" s="166"/>
      <c r="AJ437" s="166"/>
      <c r="AK437" s="166"/>
      <c r="AL437" s="166"/>
      <c r="AM437" s="166"/>
      <c r="AN437" s="166"/>
      <c r="AO437" s="166"/>
      <c r="AP437" s="166"/>
      <c r="AQ437" s="166"/>
      <c r="AR437" s="166"/>
      <c r="AS437" s="166"/>
      <c r="AT437" s="166"/>
      <c r="AU437" s="166"/>
      <c r="AV437" s="166"/>
      <c r="AW437" s="166"/>
      <c r="AX437" s="166"/>
      <c r="AY437" s="166"/>
      <c r="AZ437" s="186"/>
      <c r="BA437" s="186"/>
      <c r="BB437" s="186"/>
      <c r="BC437" s="186"/>
      <c r="BD437" s="186"/>
      <c r="BE437" s="186"/>
      <c r="BF437" s="186"/>
      <c r="BG437" s="186"/>
      <c r="BH437" s="186"/>
      <c r="BI437" s="183">
        <f t="shared" si="171"/>
        <v>0</v>
      </c>
      <c r="BJ437" s="183">
        <f t="shared" si="172"/>
        <v>0</v>
      </c>
      <c r="BK437" s="183">
        <f t="shared" si="173"/>
        <v>0</v>
      </c>
      <c r="BL437" s="183">
        <f t="shared" si="174"/>
        <v>0</v>
      </c>
    </row>
    <row r="438" spans="1:64" s="187" customFormat="1" ht="15.75" hidden="1" customHeight="1" outlineLevel="3" x14ac:dyDescent="0.3">
      <c r="A438" s="185"/>
      <c r="B438" s="180" t="s">
        <v>2804</v>
      </c>
      <c r="C438" s="180" t="s">
        <v>83</v>
      </c>
      <c r="D438" s="180" t="s">
        <v>2952</v>
      </c>
      <c r="E438" s="185" t="s">
        <v>2804</v>
      </c>
      <c r="F438" s="185" t="s">
        <v>3363</v>
      </c>
      <c r="G438" s="185">
        <v>100</v>
      </c>
      <c r="H438" s="185" t="str">
        <f>IFERROR(VLOOKUP(G438,'2022. tervsor'!C:D,2,0)," ")</f>
        <v>ÁFA mentes villamosenergia szolgáltatás díja</v>
      </c>
      <c r="I438" s="181">
        <f t="shared" si="183"/>
        <v>0</v>
      </c>
      <c r="J438" s="181">
        <f t="shared" si="184"/>
        <v>0</v>
      </c>
      <c r="K438" s="166">
        <f t="shared" si="170"/>
        <v>0</v>
      </c>
      <c r="L438" s="166">
        <f t="shared" si="185"/>
        <v>0</v>
      </c>
      <c r="M438" s="182"/>
      <c r="N438" s="166"/>
      <c r="O438" s="166"/>
      <c r="P438" s="166"/>
      <c r="Q438" s="166"/>
      <c r="R438" s="166"/>
      <c r="S438" s="166"/>
      <c r="T438" s="166"/>
      <c r="U438" s="166"/>
      <c r="V438" s="166"/>
      <c r="W438" s="166"/>
      <c r="X438" s="166"/>
      <c r="Y438" s="166"/>
      <c r="Z438" s="166"/>
      <c r="AA438" s="166"/>
      <c r="AB438" s="166"/>
      <c r="AC438" s="181"/>
      <c r="AD438" s="181"/>
      <c r="AE438" s="181"/>
      <c r="AF438" s="181"/>
      <c r="AG438" s="181"/>
      <c r="AH438" s="181"/>
      <c r="AI438" s="166"/>
      <c r="AJ438" s="166"/>
      <c r="AK438" s="166"/>
      <c r="AL438" s="166"/>
      <c r="AM438" s="166"/>
      <c r="AN438" s="166"/>
      <c r="AO438" s="166"/>
      <c r="AP438" s="166"/>
      <c r="AQ438" s="166"/>
      <c r="AR438" s="166"/>
      <c r="AS438" s="166"/>
      <c r="AT438" s="166"/>
      <c r="AU438" s="166"/>
      <c r="AV438" s="166"/>
      <c r="AW438" s="166"/>
      <c r="AX438" s="166"/>
      <c r="AY438" s="166"/>
      <c r="AZ438" s="186"/>
      <c r="BA438" s="186"/>
      <c r="BB438" s="186"/>
      <c r="BC438" s="186"/>
      <c r="BD438" s="186"/>
      <c r="BE438" s="186"/>
      <c r="BF438" s="186"/>
      <c r="BG438" s="186"/>
      <c r="BH438" s="186"/>
      <c r="BI438" s="183">
        <f t="shared" si="171"/>
        <v>0</v>
      </c>
      <c r="BJ438" s="183">
        <f t="shared" si="172"/>
        <v>0</v>
      </c>
      <c r="BK438" s="183">
        <f t="shared" si="173"/>
        <v>0</v>
      </c>
      <c r="BL438" s="183">
        <f t="shared" si="174"/>
        <v>0</v>
      </c>
    </row>
    <row r="439" spans="1:64" s="187" customFormat="1" ht="15.75" hidden="1" customHeight="1" outlineLevel="3" x14ac:dyDescent="0.3">
      <c r="A439" s="185"/>
      <c r="B439" s="180" t="s">
        <v>2804</v>
      </c>
      <c r="C439" s="180" t="s">
        <v>83</v>
      </c>
      <c r="D439" s="180" t="s">
        <v>2952</v>
      </c>
      <c r="E439" s="185" t="s">
        <v>2804</v>
      </c>
      <c r="F439" s="185" t="s">
        <v>3363</v>
      </c>
      <c r="G439" s="185">
        <v>102</v>
      </c>
      <c r="H439" s="185" t="str">
        <f>IFERROR(VLOOKUP(G439,'2022. tervsor'!C:D,2,0)," ")</f>
        <v>Vásárolt élelmezés</v>
      </c>
      <c r="I439" s="181">
        <f t="shared" si="183"/>
        <v>0</v>
      </c>
      <c r="J439" s="181">
        <f t="shared" si="184"/>
        <v>0</v>
      </c>
      <c r="K439" s="166">
        <f t="shared" si="170"/>
        <v>0</v>
      </c>
      <c r="L439" s="166">
        <f t="shared" si="185"/>
        <v>0</v>
      </c>
      <c r="M439" s="182"/>
      <c r="N439" s="166"/>
      <c r="O439" s="166"/>
      <c r="P439" s="166"/>
      <c r="Q439" s="166"/>
      <c r="R439" s="166"/>
      <c r="S439" s="166"/>
      <c r="T439" s="166"/>
      <c r="U439" s="166"/>
      <c r="V439" s="166"/>
      <c r="W439" s="166"/>
      <c r="X439" s="166"/>
      <c r="Y439" s="166"/>
      <c r="Z439" s="166"/>
      <c r="AA439" s="166"/>
      <c r="AB439" s="166"/>
      <c r="AC439" s="181"/>
      <c r="AD439" s="181"/>
      <c r="AE439" s="181"/>
      <c r="AF439" s="181"/>
      <c r="AG439" s="181"/>
      <c r="AH439" s="181"/>
      <c r="AI439" s="166"/>
      <c r="AJ439" s="166"/>
      <c r="AK439" s="166"/>
      <c r="AL439" s="166"/>
      <c r="AM439" s="166"/>
      <c r="AN439" s="166"/>
      <c r="AO439" s="166"/>
      <c r="AP439" s="166"/>
      <c r="AQ439" s="166"/>
      <c r="AR439" s="166"/>
      <c r="AS439" s="166"/>
      <c r="AT439" s="166"/>
      <c r="AU439" s="166"/>
      <c r="AV439" s="166"/>
      <c r="AW439" s="166"/>
      <c r="AX439" s="166"/>
      <c r="AY439" s="166"/>
      <c r="AZ439" s="186"/>
      <c r="BA439" s="186"/>
      <c r="BB439" s="186"/>
      <c r="BC439" s="186"/>
      <c r="BD439" s="186"/>
      <c r="BE439" s="186"/>
      <c r="BF439" s="186"/>
      <c r="BG439" s="186"/>
      <c r="BH439" s="186"/>
      <c r="BI439" s="183">
        <f t="shared" si="171"/>
        <v>0</v>
      </c>
      <c r="BJ439" s="183">
        <f t="shared" si="172"/>
        <v>0</v>
      </c>
      <c r="BK439" s="183">
        <f t="shared" si="173"/>
        <v>0</v>
      </c>
      <c r="BL439" s="183">
        <f t="shared" si="174"/>
        <v>0</v>
      </c>
    </row>
    <row r="440" spans="1:64" s="187" customFormat="1" ht="15.75" hidden="1" customHeight="1" outlineLevel="3" x14ac:dyDescent="0.3">
      <c r="A440" s="185"/>
      <c r="B440" s="180" t="s">
        <v>2804</v>
      </c>
      <c r="C440" s="180" t="s">
        <v>83</v>
      </c>
      <c r="D440" s="180" t="s">
        <v>2952</v>
      </c>
      <c r="E440" s="185" t="s">
        <v>2804</v>
      </c>
      <c r="F440" s="185" t="s">
        <v>3363</v>
      </c>
      <c r="G440" s="185">
        <v>104</v>
      </c>
      <c r="H440" s="185" t="str">
        <f>IFERROR(VLOOKUP(G440,'2022. tervsor'!C:D,2,0)," ")</f>
        <v>PPP szolgáltatás</v>
      </c>
      <c r="I440" s="181">
        <f t="shared" si="183"/>
        <v>0</v>
      </c>
      <c r="J440" s="181">
        <f t="shared" si="184"/>
        <v>0</v>
      </c>
      <c r="K440" s="166">
        <f t="shared" si="170"/>
        <v>0</v>
      </c>
      <c r="L440" s="166">
        <f t="shared" si="185"/>
        <v>0</v>
      </c>
      <c r="M440" s="182"/>
      <c r="N440" s="166"/>
      <c r="O440" s="166"/>
      <c r="P440" s="166"/>
      <c r="Q440" s="166"/>
      <c r="R440" s="166"/>
      <c r="S440" s="166"/>
      <c r="T440" s="166"/>
      <c r="U440" s="166"/>
      <c r="V440" s="166"/>
      <c r="W440" s="166"/>
      <c r="X440" s="166"/>
      <c r="Y440" s="166"/>
      <c r="Z440" s="166"/>
      <c r="AA440" s="166"/>
      <c r="AB440" s="166"/>
      <c r="AC440" s="181"/>
      <c r="AD440" s="181"/>
      <c r="AE440" s="181"/>
      <c r="AF440" s="181"/>
      <c r="AG440" s="181"/>
      <c r="AH440" s="181"/>
      <c r="AI440" s="166"/>
      <c r="AJ440" s="166"/>
      <c r="AK440" s="166"/>
      <c r="AL440" s="166"/>
      <c r="AM440" s="166"/>
      <c r="AN440" s="166"/>
      <c r="AO440" s="166"/>
      <c r="AP440" s="166"/>
      <c r="AQ440" s="166"/>
      <c r="AR440" s="166"/>
      <c r="AS440" s="166"/>
      <c r="AT440" s="166"/>
      <c r="AU440" s="166"/>
      <c r="AV440" s="166"/>
      <c r="AW440" s="166"/>
      <c r="AX440" s="166"/>
      <c r="AY440" s="166"/>
      <c r="AZ440" s="186"/>
      <c r="BA440" s="186"/>
      <c r="BB440" s="186"/>
      <c r="BC440" s="186"/>
      <c r="BD440" s="186"/>
      <c r="BE440" s="186"/>
      <c r="BF440" s="186"/>
      <c r="BG440" s="186"/>
      <c r="BH440" s="186"/>
      <c r="BI440" s="183">
        <f t="shared" si="171"/>
        <v>0</v>
      </c>
      <c r="BJ440" s="183">
        <f t="shared" si="172"/>
        <v>0</v>
      </c>
      <c r="BK440" s="183">
        <f t="shared" si="173"/>
        <v>0</v>
      </c>
      <c r="BL440" s="183">
        <f t="shared" si="174"/>
        <v>0</v>
      </c>
    </row>
    <row r="441" spans="1:64" s="187" customFormat="1" ht="15.75" hidden="1" customHeight="1" outlineLevel="3" x14ac:dyDescent="0.3">
      <c r="A441" s="185"/>
      <c r="B441" s="180" t="s">
        <v>2804</v>
      </c>
      <c r="C441" s="180" t="s">
        <v>83</v>
      </c>
      <c r="D441" s="180" t="s">
        <v>2952</v>
      </c>
      <c r="E441" s="185" t="s">
        <v>2804</v>
      </c>
      <c r="F441" s="185" t="s">
        <v>3363</v>
      </c>
      <c r="G441" s="185">
        <v>105</v>
      </c>
      <c r="H441" s="185" t="str">
        <f>IFERROR(VLOOKUP(G441,'2022. tervsor'!C:D,2,0)," ")</f>
        <v>Egyéb kül. bérleti és lízing díjak (PPP nélkül)</v>
      </c>
      <c r="I441" s="181">
        <f t="shared" si="183"/>
        <v>0</v>
      </c>
      <c r="J441" s="181">
        <f t="shared" si="184"/>
        <v>0</v>
      </c>
      <c r="K441" s="166">
        <f t="shared" si="170"/>
        <v>0</v>
      </c>
      <c r="L441" s="166">
        <f t="shared" si="185"/>
        <v>0</v>
      </c>
      <c r="M441" s="182"/>
      <c r="N441" s="166"/>
      <c r="O441" s="166"/>
      <c r="P441" s="166"/>
      <c r="Q441" s="166"/>
      <c r="R441" s="166"/>
      <c r="S441" s="166"/>
      <c r="T441" s="166"/>
      <c r="U441" s="166"/>
      <c r="V441" s="166"/>
      <c r="W441" s="166"/>
      <c r="X441" s="166"/>
      <c r="Y441" s="166"/>
      <c r="Z441" s="166"/>
      <c r="AA441" s="166"/>
      <c r="AB441" s="166"/>
      <c r="AC441" s="181"/>
      <c r="AD441" s="181"/>
      <c r="AE441" s="181"/>
      <c r="AF441" s="181"/>
      <c r="AG441" s="181"/>
      <c r="AH441" s="181"/>
      <c r="AI441" s="166"/>
      <c r="AJ441" s="166"/>
      <c r="AK441" s="166"/>
      <c r="AL441" s="166"/>
      <c r="AM441" s="166"/>
      <c r="AN441" s="166"/>
      <c r="AO441" s="166"/>
      <c r="AP441" s="166"/>
      <c r="AQ441" s="166"/>
      <c r="AR441" s="166"/>
      <c r="AS441" s="166"/>
      <c r="AT441" s="166"/>
      <c r="AU441" s="166"/>
      <c r="AV441" s="166"/>
      <c r="AW441" s="166"/>
      <c r="AX441" s="166"/>
      <c r="AY441" s="166"/>
      <c r="AZ441" s="186"/>
      <c r="BA441" s="186"/>
      <c r="BB441" s="186"/>
      <c r="BC441" s="186"/>
      <c r="BD441" s="186"/>
      <c r="BE441" s="186"/>
      <c r="BF441" s="186"/>
      <c r="BG441" s="186"/>
      <c r="BH441" s="186"/>
      <c r="BI441" s="183">
        <f t="shared" si="171"/>
        <v>0</v>
      </c>
      <c r="BJ441" s="183">
        <f t="shared" si="172"/>
        <v>0</v>
      </c>
      <c r="BK441" s="183">
        <f t="shared" si="173"/>
        <v>0</v>
      </c>
      <c r="BL441" s="183">
        <f t="shared" si="174"/>
        <v>0</v>
      </c>
    </row>
    <row r="442" spans="1:64" s="187" customFormat="1" ht="15.75" hidden="1" customHeight="1" outlineLevel="3" x14ac:dyDescent="0.3">
      <c r="A442" s="185"/>
      <c r="B442" s="180" t="s">
        <v>2804</v>
      </c>
      <c r="C442" s="180" t="s">
        <v>83</v>
      </c>
      <c r="D442" s="180" t="s">
        <v>2952</v>
      </c>
      <c r="E442" s="185" t="s">
        <v>2804</v>
      </c>
      <c r="F442" s="185" t="s">
        <v>3363</v>
      </c>
      <c r="G442" s="185">
        <v>106</v>
      </c>
      <c r="H442" s="185" t="str">
        <f>IFERROR(VLOOKUP(G442,'2022. tervsor'!C:D,2,0)," ")</f>
        <v>Ingatlan bérleti díj költségei (Áfa mentes)</v>
      </c>
      <c r="I442" s="181">
        <f t="shared" si="183"/>
        <v>0</v>
      </c>
      <c r="J442" s="181">
        <f t="shared" si="184"/>
        <v>0</v>
      </c>
      <c r="K442" s="166">
        <f t="shared" si="170"/>
        <v>0</v>
      </c>
      <c r="L442" s="166">
        <f t="shared" si="185"/>
        <v>0</v>
      </c>
      <c r="M442" s="182"/>
      <c r="N442" s="166"/>
      <c r="O442" s="166"/>
      <c r="P442" s="166"/>
      <c r="Q442" s="166"/>
      <c r="R442" s="166"/>
      <c r="S442" s="166"/>
      <c r="T442" s="166"/>
      <c r="U442" s="166"/>
      <c r="V442" s="166"/>
      <c r="W442" s="166"/>
      <c r="X442" s="166"/>
      <c r="Y442" s="166"/>
      <c r="Z442" s="166"/>
      <c r="AA442" s="166"/>
      <c r="AB442" s="166"/>
      <c r="AC442" s="181"/>
      <c r="AD442" s="181"/>
      <c r="AE442" s="181"/>
      <c r="AF442" s="181"/>
      <c r="AG442" s="181"/>
      <c r="AH442" s="181"/>
      <c r="AI442" s="166"/>
      <c r="AJ442" s="166"/>
      <c r="AK442" s="166"/>
      <c r="AL442" s="166"/>
      <c r="AM442" s="166"/>
      <c r="AN442" s="166"/>
      <c r="AO442" s="166"/>
      <c r="AP442" s="166"/>
      <c r="AQ442" s="166"/>
      <c r="AR442" s="166"/>
      <c r="AS442" s="166"/>
      <c r="AT442" s="166"/>
      <c r="AU442" s="166"/>
      <c r="AV442" s="166"/>
      <c r="AW442" s="166"/>
      <c r="AX442" s="166"/>
      <c r="AY442" s="166"/>
      <c r="AZ442" s="186"/>
      <c r="BA442" s="186"/>
      <c r="BB442" s="186"/>
      <c r="BC442" s="186"/>
      <c r="BD442" s="186"/>
      <c r="BE442" s="186"/>
      <c r="BF442" s="186"/>
      <c r="BG442" s="186"/>
      <c r="BH442" s="186"/>
      <c r="BI442" s="183">
        <f t="shared" si="171"/>
        <v>0</v>
      </c>
      <c r="BJ442" s="183">
        <f t="shared" si="172"/>
        <v>0</v>
      </c>
      <c r="BK442" s="183">
        <f t="shared" si="173"/>
        <v>0</v>
      </c>
      <c r="BL442" s="183">
        <f t="shared" si="174"/>
        <v>0</v>
      </c>
    </row>
    <row r="443" spans="1:64" s="187" customFormat="1" ht="15.75" hidden="1" customHeight="1" outlineLevel="3" x14ac:dyDescent="0.3">
      <c r="A443" s="185"/>
      <c r="B443" s="180" t="s">
        <v>2804</v>
      </c>
      <c r="C443" s="180" t="s">
        <v>83</v>
      </c>
      <c r="D443" s="180" t="s">
        <v>2952</v>
      </c>
      <c r="E443" s="185" t="s">
        <v>2804</v>
      </c>
      <c r="F443" s="185" t="s">
        <v>3363</v>
      </c>
      <c r="G443" s="185">
        <v>108</v>
      </c>
      <c r="H443" s="185" t="str">
        <f>IFERROR(VLOOKUP(G443,'2022. tervsor'!C:D,2,0)," ")</f>
        <v>Ingatlanok karbantartása. kisjavítása</v>
      </c>
      <c r="I443" s="181">
        <f t="shared" si="183"/>
        <v>0</v>
      </c>
      <c r="J443" s="181">
        <f t="shared" si="184"/>
        <v>0</v>
      </c>
      <c r="K443" s="166">
        <f t="shared" si="170"/>
        <v>0</v>
      </c>
      <c r="L443" s="166">
        <f t="shared" si="185"/>
        <v>0</v>
      </c>
      <c r="M443" s="182"/>
      <c r="N443" s="166"/>
      <c r="O443" s="166"/>
      <c r="P443" s="166"/>
      <c r="Q443" s="166"/>
      <c r="R443" s="166"/>
      <c r="S443" s="166"/>
      <c r="T443" s="166"/>
      <c r="U443" s="166"/>
      <c r="V443" s="166"/>
      <c r="W443" s="166"/>
      <c r="X443" s="166"/>
      <c r="Y443" s="166"/>
      <c r="Z443" s="166"/>
      <c r="AA443" s="166"/>
      <c r="AB443" s="166"/>
      <c r="AC443" s="181"/>
      <c r="AD443" s="181"/>
      <c r="AE443" s="181"/>
      <c r="AF443" s="181"/>
      <c r="AG443" s="181"/>
      <c r="AH443" s="181"/>
      <c r="AI443" s="166"/>
      <c r="AJ443" s="166"/>
      <c r="AK443" s="166"/>
      <c r="AL443" s="166"/>
      <c r="AM443" s="166"/>
      <c r="AN443" s="166"/>
      <c r="AO443" s="166"/>
      <c r="AP443" s="166"/>
      <c r="AQ443" s="166"/>
      <c r="AR443" s="166"/>
      <c r="AS443" s="166"/>
      <c r="AT443" s="166"/>
      <c r="AU443" s="166"/>
      <c r="AV443" s="166"/>
      <c r="AW443" s="166"/>
      <c r="AX443" s="166"/>
      <c r="AY443" s="166"/>
      <c r="AZ443" s="186"/>
      <c r="BA443" s="186"/>
      <c r="BB443" s="186"/>
      <c r="BC443" s="186"/>
      <c r="BD443" s="186"/>
      <c r="BE443" s="186"/>
      <c r="BF443" s="186"/>
      <c r="BG443" s="186"/>
      <c r="BH443" s="186"/>
      <c r="BI443" s="183">
        <f t="shared" si="171"/>
        <v>0</v>
      </c>
      <c r="BJ443" s="183">
        <f t="shared" si="172"/>
        <v>0</v>
      </c>
      <c r="BK443" s="183">
        <f t="shared" si="173"/>
        <v>0</v>
      </c>
      <c r="BL443" s="183">
        <f t="shared" si="174"/>
        <v>0</v>
      </c>
    </row>
    <row r="444" spans="1:64" s="187" customFormat="1" ht="15.75" hidden="1" customHeight="1" outlineLevel="3" x14ac:dyDescent="0.3">
      <c r="A444" s="185"/>
      <c r="B444" s="180" t="s">
        <v>2804</v>
      </c>
      <c r="C444" s="180" t="s">
        <v>83</v>
      </c>
      <c r="D444" s="180" t="s">
        <v>2952</v>
      </c>
      <c r="E444" s="185" t="s">
        <v>2804</v>
      </c>
      <c r="F444" s="185" t="s">
        <v>3363</v>
      </c>
      <c r="G444" s="185">
        <v>109</v>
      </c>
      <c r="H444" s="185" t="str">
        <f>IFERROR(VLOOKUP(G444,'2022. tervsor'!C:D,2,0)," ")</f>
        <v>Gépek berendezések karbantartása, kisjavítása ktg.</v>
      </c>
      <c r="I444" s="181">
        <f t="shared" si="183"/>
        <v>0</v>
      </c>
      <c r="J444" s="181">
        <f t="shared" si="184"/>
        <v>0</v>
      </c>
      <c r="K444" s="166">
        <f t="shared" si="170"/>
        <v>0</v>
      </c>
      <c r="L444" s="166">
        <f t="shared" si="185"/>
        <v>0</v>
      </c>
      <c r="M444" s="182"/>
      <c r="N444" s="166"/>
      <c r="O444" s="166"/>
      <c r="P444" s="166"/>
      <c r="Q444" s="166"/>
      <c r="R444" s="166"/>
      <c r="S444" s="166"/>
      <c r="T444" s="166"/>
      <c r="U444" s="166"/>
      <c r="V444" s="166"/>
      <c r="W444" s="166"/>
      <c r="X444" s="166"/>
      <c r="Y444" s="166"/>
      <c r="Z444" s="166"/>
      <c r="AA444" s="166"/>
      <c r="AB444" s="166"/>
      <c r="AC444" s="181"/>
      <c r="AD444" s="181"/>
      <c r="AE444" s="181"/>
      <c r="AF444" s="181"/>
      <c r="AG444" s="181"/>
      <c r="AH444" s="181"/>
      <c r="AI444" s="166"/>
      <c r="AJ444" s="166"/>
      <c r="AK444" s="166"/>
      <c r="AL444" s="166"/>
      <c r="AM444" s="166"/>
      <c r="AN444" s="166"/>
      <c r="AO444" s="166"/>
      <c r="AP444" s="166"/>
      <c r="AQ444" s="166"/>
      <c r="AR444" s="166"/>
      <c r="AS444" s="166"/>
      <c r="AT444" s="166"/>
      <c r="AU444" s="166"/>
      <c r="AV444" s="166"/>
      <c r="AW444" s="166"/>
      <c r="AX444" s="166"/>
      <c r="AY444" s="166"/>
      <c r="AZ444" s="186"/>
      <c r="BA444" s="186"/>
      <c r="BB444" s="186"/>
      <c r="BC444" s="186"/>
      <c r="BD444" s="186"/>
      <c r="BE444" s="186"/>
      <c r="BF444" s="186"/>
      <c r="BG444" s="186"/>
      <c r="BH444" s="186"/>
      <c r="BI444" s="183">
        <f t="shared" si="171"/>
        <v>0</v>
      </c>
      <c r="BJ444" s="183">
        <f t="shared" si="172"/>
        <v>0</v>
      </c>
      <c r="BK444" s="183">
        <f t="shared" si="173"/>
        <v>0</v>
      </c>
      <c r="BL444" s="183">
        <f t="shared" si="174"/>
        <v>0</v>
      </c>
    </row>
    <row r="445" spans="1:64" s="187" customFormat="1" ht="15.75" hidden="1" customHeight="1" outlineLevel="3" x14ac:dyDescent="0.3">
      <c r="A445" s="185"/>
      <c r="B445" s="180" t="s">
        <v>2804</v>
      </c>
      <c r="C445" s="180" t="s">
        <v>83</v>
      </c>
      <c r="D445" s="180" t="s">
        <v>2952</v>
      </c>
      <c r="E445" s="185" t="s">
        <v>2804</v>
      </c>
      <c r="F445" s="185" t="s">
        <v>3363</v>
      </c>
      <c r="G445" s="185">
        <v>110</v>
      </c>
      <c r="H445" s="185" t="str">
        <f>IFERROR(VLOOKUP(G445,'2022. tervsor'!C:D,2,0)," ")</f>
        <v>Járművekkel kapcsolatos karbantartási, kisjav. kiadások</v>
      </c>
      <c r="I445" s="181">
        <f t="shared" si="183"/>
        <v>0</v>
      </c>
      <c r="J445" s="181">
        <f t="shared" si="184"/>
        <v>0</v>
      </c>
      <c r="K445" s="166">
        <f t="shared" si="170"/>
        <v>0</v>
      </c>
      <c r="L445" s="166">
        <f t="shared" si="185"/>
        <v>0</v>
      </c>
      <c r="M445" s="182"/>
      <c r="N445" s="166"/>
      <c r="O445" s="166"/>
      <c r="P445" s="166"/>
      <c r="Q445" s="166"/>
      <c r="R445" s="166"/>
      <c r="S445" s="166"/>
      <c r="T445" s="166"/>
      <c r="U445" s="166"/>
      <c r="V445" s="166"/>
      <c r="W445" s="166"/>
      <c r="X445" s="166"/>
      <c r="Y445" s="166"/>
      <c r="Z445" s="166"/>
      <c r="AA445" s="166"/>
      <c r="AB445" s="166"/>
      <c r="AC445" s="181"/>
      <c r="AD445" s="181"/>
      <c r="AE445" s="181"/>
      <c r="AF445" s="181"/>
      <c r="AG445" s="181"/>
      <c r="AH445" s="181"/>
      <c r="AI445" s="166"/>
      <c r="AJ445" s="166"/>
      <c r="AK445" s="166"/>
      <c r="AL445" s="166"/>
      <c r="AM445" s="166"/>
      <c r="AN445" s="166"/>
      <c r="AO445" s="166"/>
      <c r="AP445" s="166"/>
      <c r="AQ445" s="166"/>
      <c r="AR445" s="166"/>
      <c r="AS445" s="166"/>
      <c r="AT445" s="166"/>
      <c r="AU445" s="166"/>
      <c r="AV445" s="166"/>
      <c r="AW445" s="166"/>
      <c r="AX445" s="166"/>
      <c r="AY445" s="166"/>
      <c r="AZ445" s="186"/>
      <c r="BA445" s="186"/>
      <c r="BB445" s="186"/>
      <c r="BC445" s="186"/>
      <c r="BD445" s="186"/>
      <c r="BE445" s="186"/>
      <c r="BF445" s="186"/>
      <c r="BG445" s="186"/>
      <c r="BH445" s="186"/>
      <c r="BI445" s="183">
        <f t="shared" si="171"/>
        <v>0</v>
      </c>
      <c r="BJ445" s="183">
        <f t="shared" si="172"/>
        <v>0</v>
      </c>
      <c r="BK445" s="183">
        <f t="shared" si="173"/>
        <v>0</v>
      </c>
      <c r="BL445" s="183">
        <f t="shared" si="174"/>
        <v>0</v>
      </c>
    </row>
    <row r="446" spans="1:64" s="187" customFormat="1" ht="15.75" hidden="1" customHeight="1" outlineLevel="3" x14ac:dyDescent="0.3">
      <c r="A446" s="185"/>
      <c r="B446" s="180" t="s">
        <v>2804</v>
      </c>
      <c r="C446" s="180" t="s">
        <v>83</v>
      </c>
      <c r="D446" s="180" t="s">
        <v>2952</v>
      </c>
      <c r="E446" s="185" t="s">
        <v>2804</v>
      </c>
      <c r="F446" s="185" t="s">
        <v>3363</v>
      </c>
      <c r="G446" s="185">
        <v>112</v>
      </c>
      <c r="H446" s="185" t="str">
        <f>IFERROR(VLOOKUP(G446,'2022. tervsor'!C:D,2,0)," ")</f>
        <v>AHT-n belüli közvetített szolgáltatások</v>
      </c>
      <c r="I446" s="181">
        <f t="shared" si="183"/>
        <v>0</v>
      </c>
      <c r="J446" s="181">
        <f t="shared" si="184"/>
        <v>0</v>
      </c>
      <c r="K446" s="166">
        <f t="shared" si="170"/>
        <v>0</v>
      </c>
      <c r="L446" s="166">
        <f t="shared" si="185"/>
        <v>0</v>
      </c>
      <c r="M446" s="182"/>
      <c r="N446" s="166"/>
      <c r="O446" s="166"/>
      <c r="P446" s="166"/>
      <c r="Q446" s="166"/>
      <c r="R446" s="166"/>
      <c r="S446" s="166"/>
      <c r="T446" s="166"/>
      <c r="U446" s="166"/>
      <c r="V446" s="166"/>
      <c r="W446" s="166"/>
      <c r="X446" s="166"/>
      <c r="Y446" s="166"/>
      <c r="Z446" s="166"/>
      <c r="AA446" s="166"/>
      <c r="AB446" s="166"/>
      <c r="AC446" s="181"/>
      <c r="AD446" s="181"/>
      <c r="AE446" s="181"/>
      <c r="AF446" s="181"/>
      <c r="AG446" s="181"/>
      <c r="AH446" s="181"/>
      <c r="AI446" s="166"/>
      <c r="AJ446" s="166"/>
      <c r="AK446" s="166"/>
      <c r="AL446" s="166"/>
      <c r="AM446" s="166"/>
      <c r="AN446" s="166"/>
      <c r="AO446" s="166"/>
      <c r="AP446" s="166"/>
      <c r="AQ446" s="166"/>
      <c r="AR446" s="166"/>
      <c r="AS446" s="166"/>
      <c r="AT446" s="166"/>
      <c r="AU446" s="166"/>
      <c r="AV446" s="166"/>
      <c r="AW446" s="166"/>
      <c r="AX446" s="166"/>
      <c r="AY446" s="166"/>
      <c r="AZ446" s="186"/>
      <c r="BA446" s="186"/>
      <c r="BB446" s="186"/>
      <c r="BC446" s="186"/>
      <c r="BD446" s="186"/>
      <c r="BE446" s="186"/>
      <c r="BF446" s="186"/>
      <c r="BG446" s="186"/>
      <c r="BH446" s="186"/>
      <c r="BI446" s="183">
        <f t="shared" si="171"/>
        <v>0</v>
      </c>
      <c r="BJ446" s="183">
        <f t="shared" si="172"/>
        <v>0</v>
      </c>
      <c r="BK446" s="183">
        <f t="shared" si="173"/>
        <v>0</v>
      </c>
      <c r="BL446" s="183">
        <f t="shared" si="174"/>
        <v>0</v>
      </c>
    </row>
    <row r="447" spans="1:64" s="187" customFormat="1" ht="15.75" hidden="1" customHeight="1" outlineLevel="3" x14ac:dyDescent="0.3">
      <c r="A447" s="185"/>
      <c r="B447" s="180" t="s">
        <v>2804</v>
      </c>
      <c r="C447" s="180" t="s">
        <v>83</v>
      </c>
      <c r="D447" s="180" t="s">
        <v>2952</v>
      </c>
      <c r="E447" s="185" t="s">
        <v>2804</v>
      </c>
      <c r="F447" s="185" t="s">
        <v>3363</v>
      </c>
      <c r="G447" s="185">
        <v>113</v>
      </c>
      <c r="H447" s="185" t="str">
        <f>IFERROR(VLOOKUP(G447,'2022. tervsor'!C:D,2,0)," ")</f>
        <v>AHT-n kívüli közvetített szolgáltatások</v>
      </c>
      <c r="I447" s="181">
        <f t="shared" si="183"/>
        <v>0</v>
      </c>
      <c r="J447" s="181">
        <f t="shared" si="184"/>
        <v>0</v>
      </c>
      <c r="K447" s="166">
        <f t="shared" si="170"/>
        <v>0</v>
      </c>
      <c r="L447" s="166">
        <f t="shared" si="185"/>
        <v>0</v>
      </c>
      <c r="M447" s="182"/>
      <c r="N447" s="166"/>
      <c r="O447" s="166"/>
      <c r="P447" s="166"/>
      <c r="Q447" s="166"/>
      <c r="R447" s="166"/>
      <c r="S447" s="166"/>
      <c r="T447" s="166"/>
      <c r="U447" s="166"/>
      <c r="V447" s="166"/>
      <c r="W447" s="166"/>
      <c r="X447" s="166"/>
      <c r="Y447" s="166"/>
      <c r="Z447" s="166"/>
      <c r="AA447" s="166"/>
      <c r="AB447" s="166"/>
      <c r="AC447" s="181"/>
      <c r="AD447" s="181"/>
      <c r="AE447" s="181"/>
      <c r="AF447" s="181"/>
      <c r="AG447" s="181"/>
      <c r="AH447" s="181"/>
      <c r="AI447" s="166"/>
      <c r="AJ447" s="166"/>
      <c r="AK447" s="166"/>
      <c r="AL447" s="166"/>
      <c r="AM447" s="166"/>
      <c r="AN447" s="166"/>
      <c r="AO447" s="166"/>
      <c r="AP447" s="166"/>
      <c r="AQ447" s="166"/>
      <c r="AR447" s="166"/>
      <c r="AS447" s="166"/>
      <c r="AT447" s="166"/>
      <c r="AU447" s="166"/>
      <c r="AV447" s="166"/>
      <c r="AW447" s="166"/>
      <c r="AX447" s="166"/>
      <c r="AY447" s="166"/>
      <c r="AZ447" s="186"/>
      <c r="BA447" s="186"/>
      <c r="BB447" s="186"/>
      <c r="BC447" s="186"/>
      <c r="BD447" s="186"/>
      <c r="BE447" s="186"/>
      <c r="BF447" s="186"/>
      <c r="BG447" s="186"/>
      <c r="BH447" s="186"/>
      <c r="BI447" s="183">
        <f t="shared" si="171"/>
        <v>0</v>
      </c>
      <c r="BJ447" s="183">
        <f t="shared" si="172"/>
        <v>0</v>
      </c>
      <c r="BK447" s="183">
        <f t="shared" si="173"/>
        <v>0</v>
      </c>
      <c r="BL447" s="183">
        <f t="shared" si="174"/>
        <v>0</v>
      </c>
    </row>
    <row r="448" spans="1:64" s="187" customFormat="1" ht="15.75" hidden="1" customHeight="1" outlineLevel="3" x14ac:dyDescent="0.3">
      <c r="A448" s="185"/>
      <c r="B448" s="180" t="s">
        <v>2804</v>
      </c>
      <c r="C448" s="180" t="s">
        <v>83</v>
      </c>
      <c r="D448" s="180" t="s">
        <v>2952</v>
      </c>
      <c r="E448" s="185" t="s">
        <v>2804</v>
      </c>
      <c r="F448" s="185" t="s">
        <v>3363</v>
      </c>
      <c r="G448" s="185">
        <v>115</v>
      </c>
      <c r="H448" s="185" t="str">
        <f>IFERROR(VLOOKUP(G448,'2022. tervsor'!C:D,2,0)," ")</f>
        <v>Vásárolt közszolgáltatások (pld. egészségügyi)</v>
      </c>
      <c r="I448" s="181">
        <f t="shared" si="183"/>
        <v>0</v>
      </c>
      <c r="J448" s="181">
        <f t="shared" si="184"/>
        <v>0</v>
      </c>
      <c r="K448" s="166">
        <f t="shared" si="170"/>
        <v>0</v>
      </c>
      <c r="L448" s="166">
        <f t="shared" si="185"/>
        <v>0</v>
      </c>
      <c r="M448" s="182"/>
      <c r="N448" s="166"/>
      <c r="O448" s="166"/>
      <c r="P448" s="166"/>
      <c r="Q448" s="166"/>
      <c r="R448" s="166"/>
      <c r="S448" s="166"/>
      <c r="T448" s="166"/>
      <c r="U448" s="166"/>
      <c r="V448" s="166"/>
      <c r="W448" s="166"/>
      <c r="X448" s="166"/>
      <c r="Y448" s="166"/>
      <c r="Z448" s="166"/>
      <c r="AA448" s="166"/>
      <c r="AB448" s="166"/>
      <c r="AC448" s="181"/>
      <c r="AD448" s="181"/>
      <c r="AE448" s="181"/>
      <c r="AF448" s="181"/>
      <c r="AG448" s="181"/>
      <c r="AH448" s="181"/>
      <c r="AI448" s="166"/>
      <c r="AJ448" s="166"/>
      <c r="AK448" s="166"/>
      <c r="AL448" s="166"/>
      <c r="AM448" s="166"/>
      <c r="AN448" s="166"/>
      <c r="AO448" s="166"/>
      <c r="AP448" s="166"/>
      <c r="AQ448" s="166"/>
      <c r="AR448" s="166"/>
      <c r="AS448" s="166"/>
      <c r="AT448" s="166"/>
      <c r="AU448" s="166"/>
      <c r="AV448" s="166"/>
      <c r="AW448" s="166"/>
      <c r="AX448" s="166"/>
      <c r="AY448" s="166"/>
      <c r="AZ448" s="186"/>
      <c r="BA448" s="186"/>
      <c r="BB448" s="186"/>
      <c r="BC448" s="186"/>
      <c r="BD448" s="186"/>
      <c r="BE448" s="186"/>
      <c r="BF448" s="186"/>
      <c r="BG448" s="186"/>
      <c r="BH448" s="186"/>
      <c r="BI448" s="183">
        <f t="shared" si="171"/>
        <v>0</v>
      </c>
      <c r="BJ448" s="183">
        <f t="shared" si="172"/>
        <v>0</v>
      </c>
      <c r="BK448" s="183">
        <f t="shared" si="173"/>
        <v>0</v>
      </c>
      <c r="BL448" s="183">
        <f t="shared" si="174"/>
        <v>0</v>
      </c>
    </row>
    <row r="449" spans="1:64" s="187" customFormat="1" ht="15.75" hidden="1" customHeight="1" outlineLevel="3" x14ac:dyDescent="0.3">
      <c r="A449" s="185"/>
      <c r="B449" s="180" t="s">
        <v>2804</v>
      </c>
      <c r="C449" s="180" t="s">
        <v>83</v>
      </c>
      <c r="D449" s="180" t="s">
        <v>2952</v>
      </c>
      <c r="E449" s="185" t="s">
        <v>2804</v>
      </c>
      <c r="F449" s="185" t="s">
        <v>3363</v>
      </c>
      <c r="G449" s="185">
        <v>116</v>
      </c>
      <c r="H449" s="185" t="str">
        <f>IFERROR(VLOOKUP(G449,'2022. tervsor'!C:D,2,0)," ")</f>
        <v>Jogi szolgáltatások</v>
      </c>
      <c r="I449" s="181">
        <f t="shared" si="183"/>
        <v>0</v>
      </c>
      <c r="J449" s="181">
        <f t="shared" si="184"/>
        <v>0</v>
      </c>
      <c r="K449" s="166">
        <f t="shared" si="170"/>
        <v>0</v>
      </c>
      <c r="L449" s="166">
        <f t="shared" si="185"/>
        <v>0</v>
      </c>
      <c r="M449" s="182"/>
      <c r="N449" s="166"/>
      <c r="O449" s="166"/>
      <c r="P449" s="166"/>
      <c r="Q449" s="166"/>
      <c r="R449" s="166"/>
      <c r="S449" s="166"/>
      <c r="T449" s="166"/>
      <c r="U449" s="166"/>
      <c r="V449" s="166"/>
      <c r="W449" s="166"/>
      <c r="X449" s="166"/>
      <c r="Y449" s="166"/>
      <c r="Z449" s="166"/>
      <c r="AA449" s="166"/>
      <c r="AB449" s="166"/>
      <c r="AC449" s="181"/>
      <c r="AD449" s="181"/>
      <c r="AE449" s="181"/>
      <c r="AF449" s="181"/>
      <c r="AG449" s="181"/>
      <c r="AH449" s="181"/>
      <c r="AI449" s="166"/>
      <c r="AJ449" s="166"/>
      <c r="AK449" s="166"/>
      <c r="AL449" s="166"/>
      <c r="AM449" s="166"/>
      <c r="AN449" s="166"/>
      <c r="AO449" s="166"/>
      <c r="AP449" s="166"/>
      <c r="AQ449" s="166"/>
      <c r="AR449" s="166"/>
      <c r="AS449" s="166"/>
      <c r="AT449" s="166"/>
      <c r="AU449" s="166"/>
      <c r="AV449" s="166"/>
      <c r="AW449" s="166"/>
      <c r="AX449" s="166"/>
      <c r="AY449" s="166"/>
      <c r="AZ449" s="186"/>
      <c r="BA449" s="186"/>
      <c r="BB449" s="186"/>
      <c r="BC449" s="186"/>
      <c r="BD449" s="186"/>
      <c r="BE449" s="186"/>
      <c r="BF449" s="186"/>
      <c r="BG449" s="186"/>
      <c r="BH449" s="186"/>
      <c r="BI449" s="183">
        <f t="shared" si="171"/>
        <v>0</v>
      </c>
      <c r="BJ449" s="183">
        <f t="shared" si="172"/>
        <v>0</v>
      </c>
      <c r="BK449" s="183">
        <f t="shared" si="173"/>
        <v>0</v>
      </c>
      <c r="BL449" s="183">
        <f t="shared" si="174"/>
        <v>0</v>
      </c>
    </row>
    <row r="450" spans="1:64" s="187" customFormat="1" ht="15.75" hidden="1" customHeight="1" outlineLevel="3" x14ac:dyDescent="0.3">
      <c r="A450" s="185"/>
      <c r="B450" s="180" t="s">
        <v>2804</v>
      </c>
      <c r="C450" s="180" t="s">
        <v>83</v>
      </c>
      <c r="D450" s="180" t="s">
        <v>2952</v>
      </c>
      <c r="E450" s="185" t="s">
        <v>2804</v>
      </c>
      <c r="F450" s="185" t="s">
        <v>3363</v>
      </c>
      <c r="G450" s="185">
        <v>117</v>
      </c>
      <c r="H450" s="185" t="str">
        <f>IFERROR(VLOOKUP(G450,'2022. tervsor'!C:D,2,0)," ")</f>
        <v>ÁFA mentes számlázott(okt.kut.)szellemi tev.kiad.</v>
      </c>
      <c r="I450" s="181">
        <f t="shared" si="183"/>
        <v>0</v>
      </c>
      <c r="J450" s="181">
        <f t="shared" si="184"/>
        <v>0</v>
      </c>
      <c r="K450" s="166">
        <f t="shared" si="170"/>
        <v>0</v>
      </c>
      <c r="L450" s="166">
        <f t="shared" si="185"/>
        <v>0</v>
      </c>
      <c r="M450" s="182"/>
      <c r="N450" s="166"/>
      <c r="O450" s="166"/>
      <c r="P450" s="166"/>
      <c r="Q450" s="166"/>
      <c r="R450" s="166"/>
      <c r="S450" s="166"/>
      <c r="T450" s="166"/>
      <c r="U450" s="166"/>
      <c r="V450" s="166"/>
      <c r="W450" s="166"/>
      <c r="X450" s="166"/>
      <c r="Y450" s="166"/>
      <c r="Z450" s="166"/>
      <c r="AA450" s="166"/>
      <c r="AB450" s="166"/>
      <c r="AC450" s="181"/>
      <c r="AD450" s="181"/>
      <c r="AE450" s="181"/>
      <c r="AF450" s="181"/>
      <c r="AG450" s="181"/>
      <c r="AH450" s="181"/>
      <c r="AI450" s="166"/>
      <c r="AJ450" s="166"/>
      <c r="AK450" s="166"/>
      <c r="AL450" s="166"/>
      <c r="AM450" s="166"/>
      <c r="AN450" s="166"/>
      <c r="AO450" s="166"/>
      <c r="AP450" s="166"/>
      <c r="AQ450" s="166"/>
      <c r="AR450" s="166"/>
      <c r="AS450" s="166"/>
      <c r="AT450" s="166"/>
      <c r="AU450" s="166"/>
      <c r="AV450" s="166"/>
      <c r="AW450" s="166"/>
      <c r="AX450" s="166"/>
      <c r="AY450" s="166"/>
      <c r="AZ450" s="186"/>
      <c r="BA450" s="186"/>
      <c r="BB450" s="186"/>
      <c r="BC450" s="186"/>
      <c r="BD450" s="186"/>
      <c r="BE450" s="186"/>
      <c r="BF450" s="186"/>
      <c r="BG450" s="186"/>
      <c r="BH450" s="186"/>
      <c r="BI450" s="183">
        <f t="shared" ref="BI450:BI484" si="186">+SUM(N450:AA450)</f>
        <v>0</v>
      </c>
      <c r="BJ450" s="183">
        <f t="shared" ref="BJ450:BJ490" si="187">+AB450</f>
        <v>0</v>
      </c>
      <c r="BK450" s="183">
        <f t="shared" ref="BK450:BK490" si="188">+SUM(AC450:AM450)</f>
        <v>0</v>
      </c>
      <c r="BL450" s="183">
        <f t="shared" ref="BL450:BL490" si="189">+SUM(AN450:BH450)</f>
        <v>0</v>
      </c>
    </row>
    <row r="451" spans="1:64" s="187" customFormat="1" ht="15.75" hidden="1" customHeight="1" outlineLevel="3" x14ac:dyDescent="0.3">
      <c r="A451" s="185"/>
      <c r="B451" s="180" t="s">
        <v>2804</v>
      </c>
      <c r="C451" s="180" t="s">
        <v>83</v>
      </c>
      <c r="D451" s="180" t="s">
        <v>2952</v>
      </c>
      <c r="E451" s="185" t="s">
        <v>2804</v>
      </c>
      <c r="F451" s="185" t="s">
        <v>3363</v>
      </c>
      <c r="G451" s="185">
        <v>118</v>
      </c>
      <c r="H451" s="185" t="str">
        <f>IFERROR(VLOOKUP(G451,'2022. tervsor'!C:D,2,0)," ")</f>
        <v>ÁFA-s számlázott(okt.kut.)szellemi tev.kiad.</v>
      </c>
      <c r="I451" s="181">
        <f t="shared" si="183"/>
        <v>0</v>
      </c>
      <c r="J451" s="181">
        <f t="shared" ref="J451:J484" si="190">SUM(N451:AM451)</f>
        <v>0</v>
      </c>
      <c r="K451" s="166">
        <f t="shared" si="170"/>
        <v>0</v>
      </c>
      <c r="L451" s="166">
        <f t="shared" ref="L451:L484" si="191">SUM(N451:BH451)</f>
        <v>0</v>
      </c>
      <c r="M451" s="182"/>
      <c r="N451" s="166"/>
      <c r="O451" s="166"/>
      <c r="P451" s="166"/>
      <c r="Q451" s="166"/>
      <c r="R451" s="166"/>
      <c r="S451" s="166"/>
      <c r="T451" s="166"/>
      <c r="U451" s="166"/>
      <c r="V451" s="166"/>
      <c r="W451" s="166"/>
      <c r="X451" s="166"/>
      <c r="Y451" s="166"/>
      <c r="Z451" s="166"/>
      <c r="AA451" s="166"/>
      <c r="AB451" s="166"/>
      <c r="AC451" s="181"/>
      <c r="AD451" s="181"/>
      <c r="AE451" s="181"/>
      <c r="AF451" s="181"/>
      <c r="AG451" s="181"/>
      <c r="AH451" s="181"/>
      <c r="AI451" s="166"/>
      <c r="AJ451" s="166"/>
      <c r="AK451" s="166"/>
      <c r="AL451" s="166"/>
      <c r="AM451" s="166"/>
      <c r="AN451" s="166"/>
      <c r="AO451" s="166"/>
      <c r="AP451" s="166"/>
      <c r="AQ451" s="166"/>
      <c r="AR451" s="166"/>
      <c r="AS451" s="166"/>
      <c r="AT451" s="166"/>
      <c r="AU451" s="166"/>
      <c r="AV451" s="166"/>
      <c r="AW451" s="166"/>
      <c r="AX451" s="166"/>
      <c r="AY451" s="166"/>
      <c r="AZ451" s="186"/>
      <c r="BA451" s="186"/>
      <c r="BB451" s="186"/>
      <c r="BC451" s="186"/>
      <c r="BD451" s="186"/>
      <c r="BE451" s="186"/>
      <c r="BF451" s="186"/>
      <c r="BG451" s="186"/>
      <c r="BH451" s="186"/>
      <c r="BI451" s="183">
        <f t="shared" si="186"/>
        <v>0</v>
      </c>
      <c r="BJ451" s="183">
        <f t="shared" si="187"/>
        <v>0</v>
      </c>
      <c r="BK451" s="183">
        <f t="shared" si="188"/>
        <v>0</v>
      </c>
      <c r="BL451" s="183">
        <f t="shared" si="189"/>
        <v>0</v>
      </c>
    </row>
    <row r="452" spans="1:64" s="187" customFormat="1" ht="15.75" hidden="1" customHeight="1" outlineLevel="3" x14ac:dyDescent="0.3">
      <c r="A452" s="185"/>
      <c r="B452" s="180" t="s">
        <v>2804</v>
      </c>
      <c r="C452" s="180" t="s">
        <v>83</v>
      </c>
      <c r="D452" s="180" t="s">
        <v>2952</v>
      </c>
      <c r="E452" s="185" t="s">
        <v>2804</v>
      </c>
      <c r="F452" s="185" t="s">
        <v>3363</v>
      </c>
      <c r="G452" s="185">
        <v>119</v>
      </c>
      <c r="H452" s="185" t="str">
        <f>IFERROR(VLOOKUP(G452,'2022. tervsor'!C:D,2,0)," ")</f>
        <v>Sport és kulturális szolgáltatás</v>
      </c>
      <c r="I452" s="181">
        <f t="shared" si="183"/>
        <v>0</v>
      </c>
      <c r="J452" s="181">
        <f t="shared" si="190"/>
        <v>0</v>
      </c>
      <c r="K452" s="166">
        <f t="shared" si="170"/>
        <v>0</v>
      </c>
      <c r="L452" s="166">
        <f t="shared" si="191"/>
        <v>0</v>
      </c>
      <c r="M452" s="182"/>
      <c r="N452" s="166"/>
      <c r="O452" s="166"/>
      <c r="P452" s="166"/>
      <c r="Q452" s="166"/>
      <c r="R452" s="166"/>
      <c r="S452" s="166"/>
      <c r="T452" s="166"/>
      <c r="U452" s="166"/>
      <c r="V452" s="166"/>
      <c r="W452" s="166"/>
      <c r="X452" s="166"/>
      <c r="Y452" s="166"/>
      <c r="Z452" s="166"/>
      <c r="AA452" s="166"/>
      <c r="AB452" s="166"/>
      <c r="AC452" s="181"/>
      <c r="AD452" s="181"/>
      <c r="AE452" s="181"/>
      <c r="AF452" s="181"/>
      <c r="AG452" s="181"/>
      <c r="AH452" s="181"/>
      <c r="AI452" s="166"/>
      <c r="AJ452" s="166"/>
      <c r="AK452" s="166"/>
      <c r="AL452" s="166"/>
      <c r="AM452" s="166"/>
      <c r="AN452" s="166"/>
      <c r="AO452" s="166"/>
      <c r="AP452" s="166"/>
      <c r="AQ452" s="166"/>
      <c r="AR452" s="166"/>
      <c r="AS452" s="166"/>
      <c r="AT452" s="166"/>
      <c r="AU452" s="166"/>
      <c r="AV452" s="166"/>
      <c r="AW452" s="166"/>
      <c r="AX452" s="166"/>
      <c r="AY452" s="166"/>
      <c r="AZ452" s="186"/>
      <c r="BA452" s="186"/>
      <c r="BB452" s="186"/>
      <c r="BC452" s="186"/>
      <c r="BD452" s="186"/>
      <c r="BE452" s="186"/>
      <c r="BF452" s="186"/>
      <c r="BG452" s="186"/>
      <c r="BH452" s="186"/>
      <c r="BI452" s="183">
        <f t="shared" si="186"/>
        <v>0</v>
      </c>
      <c r="BJ452" s="183">
        <f t="shared" si="187"/>
        <v>0</v>
      </c>
      <c r="BK452" s="183">
        <f t="shared" si="188"/>
        <v>0</v>
      </c>
      <c r="BL452" s="183">
        <f t="shared" si="189"/>
        <v>0</v>
      </c>
    </row>
    <row r="453" spans="1:64" s="187" customFormat="1" ht="15.75" hidden="1" customHeight="1" outlineLevel="3" x14ac:dyDescent="0.3">
      <c r="A453" s="185"/>
      <c r="B453" s="180" t="s">
        <v>2804</v>
      </c>
      <c r="C453" s="180" t="s">
        <v>83</v>
      </c>
      <c r="D453" s="180" t="s">
        <v>2952</v>
      </c>
      <c r="E453" s="185" t="s">
        <v>2804</v>
      </c>
      <c r="F453" s="185" t="s">
        <v>3363</v>
      </c>
      <c r="G453" s="185">
        <v>120</v>
      </c>
      <c r="H453" s="185" t="str">
        <f>IFERROR(VLOOKUP(G453,'2022. tervsor'!C:D,2,0)," ")</f>
        <v>Szakmai szolg. tanfolyamok, továbbképzések</v>
      </c>
      <c r="I453" s="181">
        <f t="shared" si="183"/>
        <v>0</v>
      </c>
      <c r="J453" s="181">
        <f t="shared" si="190"/>
        <v>0</v>
      </c>
      <c r="K453" s="166">
        <f t="shared" si="170"/>
        <v>0</v>
      </c>
      <c r="L453" s="166">
        <f t="shared" si="191"/>
        <v>0</v>
      </c>
      <c r="M453" s="182"/>
      <c r="N453" s="166"/>
      <c r="O453" s="166"/>
      <c r="P453" s="166"/>
      <c r="Q453" s="166"/>
      <c r="R453" s="166"/>
      <c r="S453" s="166"/>
      <c r="T453" s="166"/>
      <c r="U453" s="166"/>
      <c r="V453" s="166"/>
      <c r="W453" s="166"/>
      <c r="X453" s="166"/>
      <c r="Y453" s="166"/>
      <c r="Z453" s="166"/>
      <c r="AA453" s="166"/>
      <c r="AB453" s="166"/>
      <c r="AC453" s="181"/>
      <c r="AD453" s="181"/>
      <c r="AE453" s="181"/>
      <c r="AF453" s="181"/>
      <c r="AG453" s="181"/>
      <c r="AH453" s="181"/>
      <c r="AI453" s="166"/>
      <c r="AJ453" s="166"/>
      <c r="AK453" s="166"/>
      <c r="AL453" s="166"/>
      <c r="AM453" s="166"/>
      <c r="AN453" s="166"/>
      <c r="AO453" s="166"/>
      <c r="AP453" s="166"/>
      <c r="AQ453" s="166"/>
      <c r="AR453" s="166"/>
      <c r="AS453" s="166"/>
      <c r="AT453" s="166"/>
      <c r="AU453" s="166"/>
      <c r="AV453" s="166"/>
      <c r="AW453" s="166"/>
      <c r="AX453" s="166"/>
      <c r="AY453" s="166"/>
      <c r="AZ453" s="186"/>
      <c r="BA453" s="186"/>
      <c r="BB453" s="186"/>
      <c r="BC453" s="186"/>
      <c r="BD453" s="186"/>
      <c r="BE453" s="186"/>
      <c r="BF453" s="186"/>
      <c r="BG453" s="186"/>
      <c r="BH453" s="186"/>
      <c r="BI453" s="183">
        <f t="shared" si="186"/>
        <v>0</v>
      </c>
      <c r="BJ453" s="183">
        <f t="shared" si="187"/>
        <v>0</v>
      </c>
      <c r="BK453" s="183">
        <f t="shared" si="188"/>
        <v>0</v>
      </c>
      <c r="BL453" s="183">
        <f t="shared" si="189"/>
        <v>0</v>
      </c>
    </row>
    <row r="454" spans="1:64" s="187" customFormat="1" ht="15.75" hidden="1" customHeight="1" outlineLevel="3" x14ac:dyDescent="0.3">
      <c r="A454" s="185"/>
      <c r="B454" s="180" t="s">
        <v>2804</v>
      </c>
      <c r="C454" s="180" t="s">
        <v>83</v>
      </c>
      <c r="D454" s="180" t="s">
        <v>2952</v>
      </c>
      <c r="E454" s="185" t="s">
        <v>2804</v>
      </c>
      <c r="F454" s="185" t="s">
        <v>3363</v>
      </c>
      <c r="G454" s="185">
        <v>122</v>
      </c>
      <c r="H454" s="185" t="str">
        <f>IFERROR(VLOOKUP(G454,'2022. tervsor'!C:D,2,0)," ")</f>
        <v>Egyéb pénzügyi szoltáltatások (bankktg.)</v>
      </c>
      <c r="I454" s="181">
        <f t="shared" si="183"/>
        <v>0</v>
      </c>
      <c r="J454" s="181">
        <f t="shared" si="190"/>
        <v>0</v>
      </c>
      <c r="K454" s="166">
        <f t="shared" si="170"/>
        <v>0</v>
      </c>
      <c r="L454" s="166">
        <f t="shared" si="191"/>
        <v>0</v>
      </c>
      <c r="M454" s="182"/>
      <c r="N454" s="166"/>
      <c r="O454" s="166"/>
      <c r="P454" s="166"/>
      <c r="Q454" s="166"/>
      <c r="R454" s="166"/>
      <c r="S454" s="166"/>
      <c r="T454" s="166"/>
      <c r="U454" s="166"/>
      <c r="V454" s="166"/>
      <c r="W454" s="166"/>
      <c r="X454" s="166"/>
      <c r="Y454" s="166"/>
      <c r="Z454" s="166"/>
      <c r="AA454" s="166"/>
      <c r="AB454" s="166"/>
      <c r="AC454" s="181"/>
      <c r="AD454" s="181"/>
      <c r="AE454" s="181"/>
      <c r="AF454" s="181"/>
      <c r="AG454" s="181"/>
      <c r="AH454" s="181"/>
      <c r="AI454" s="166"/>
      <c r="AJ454" s="166"/>
      <c r="AK454" s="166"/>
      <c r="AL454" s="166"/>
      <c r="AM454" s="166"/>
      <c r="AN454" s="166"/>
      <c r="AO454" s="166"/>
      <c r="AP454" s="166"/>
      <c r="AQ454" s="166"/>
      <c r="AR454" s="166"/>
      <c r="AS454" s="166"/>
      <c r="AT454" s="166"/>
      <c r="AU454" s="166"/>
      <c r="AV454" s="166"/>
      <c r="AW454" s="166"/>
      <c r="AX454" s="166"/>
      <c r="AY454" s="166"/>
      <c r="AZ454" s="186"/>
      <c r="BA454" s="186"/>
      <c r="BB454" s="186"/>
      <c r="BC454" s="186"/>
      <c r="BD454" s="186"/>
      <c r="BE454" s="186"/>
      <c r="BF454" s="186"/>
      <c r="BG454" s="186"/>
      <c r="BH454" s="186"/>
      <c r="BI454" s="183">
        <f t="shared" si="186"/>
        <v>0</v>
      </c>
      <c r="BJ454" s="183">
        <f t="shared" si="187"/>
        <v>0</v>
      </c>
      <c r="BK454" s="183">
        <f t="shared" si="188"/>
        <v>0</v>
      </c>
      <c r="BL454" s="183">
        <f t="shared" si="189"/>
        <v>0</v>
      </c>
    </row>
    <row r="455" spans="1:64" s="187" customFormat="1" ht="15.75" hidden="1" customHeight="1" outlineLevel="3" x14ac:dyDescent="0.3">
      <c r="A455" s="185"/>
      <c r="B455" s="180" t="s">
        <v>2804</v>
      </c>
      <c r="C455" s="180" t="s">
        <v>83</v>
      </c>
      <c r="D455" s="180" t="s">
        <v>2952</v>
      </c>
      <c r="E455" s="185" t="s">
        <v>2804</v>
      </c>
      <c r="F455" s="185" t="s">
        <v>3363</v>
      </c>
      <c r="G455" s="185">
        <v>123</v>
      </c>
      <c r="H455" s="185" t="str">
        <f>IFERROR(VLOOKUP(G455,'2022. tervsor'!C:D,2,0)," ")</f>
        <v>Anyag- és áruszállítás költségei</v>
      </c>
      <c r="I455" s="181">
        <f t="shared" si="183"/>
        <v>0</v>
      </c>
      <c r="J455" s="181">
        <f t="shared" si="190"/>
        <v>0</v>
      </c>
      <c r="K455" s="166">
        <f t="shared" si="170"/>
        <v>0</v>
      </c>
      <c r="L455" s="166">
        <f t="shared" si="191"/>
        <v>0</v>
      </c>
      <c r="M455" s="182"/>
      <c r="N455" s="166"/>
      <c r="O455" s="166"/>
      <c r="P455" s="166"/>
      <c r="Q455" s="166"/>
      <c r="R455" s="166"/>
      <c r="S455" s="166"/>
      <c r="T455" s="166"/>
      <c r="U455" s="166"/>
      <c r="V455" s="166"/>
      <c r="W455" s="166"/>
      <c r="X455" s="166"/>
      <c r="Y455" s="166"/>
      <c r="Z455" s="166"/>
      <c r="AA455" s="166"/>
      <c r="AB455" s="166"/>
      <c r="AC455" s="181"/>
      <c r="AD455" s="181"/>
      <c r="AE455" s="181"/>
      <c r="AF455" s="181"/>
      <c r="AG455" s="181"/>
      <c r="AH455" s="181"/>
      <c r="AI455" s="166"/>
      <c r="AJ455" s="166"/>
      <c r="AK455" s="166"/>
      <c r="AL455" s="166"/>
      <c r="AM455" s="166"/>
      <c r="AN455" s="166"/>
      <c r="AO455" s="166"/>
      <c r="AP455" s="166"/>
      <c r="AQ455" s="166"/>
      <c r="AR455" s="166"/>
      <c r="AS455" s="166"/>
      <c r="AT455" s="166"/>
      <c r="AU455" s="166"/>
      <c r="AV455" s="166"/>
      <c r="AW455" s="166"/>
      <c r="AX455" s="166"/>
      <c r="AY455" s="166"/>
      <c r="AZ455" s="186"/>
      <c r="BA455" s="186"/>
      <c r="BB455" s="186"/>
      <c r="BC455" s="186"/>
      <c r="BD455" s="186"/>
      <c r="BE455" s="186"/>
      <c r="BF455" s="186"/>
      <c r="BG455" s="186"/>
      <c r="BH455" s="186"/>
      <c r="BI455" s="183">
        <f t="shared" si="186"/>
        <v>0</v>
      </c>
      <c r="BJ455" s="183">
        <f t="shared" si="187"/>
        <v>0</v>
      </c>
      <c r="BK455" s="183">
        <f t="shared" si="188"/>
        <v>0</v>
      </c>
      <c r="BL455" s="183">
        <f t="shared" si="189"/>
        <v>0</v>
      </c>
    </row>
    <row r="456" spans="1:64" s="187" customFormat="1" ht="15.75" hidden="1" customHeight="1" outlineLevel="3" x14ac:dyDescent="0.3">
      <c r="A456" s="185"/>
      <c r="B456" s="180" t="s">
        <v>2804</v>
      </c>
      <c r="C456" s="180" t="s">
        <v>83</v>
      </c>
      <c r="D456" s="180" t="s">
        <v>2952</v>
      </c>
      <c r="E456" s="185" t="s">
        <v>2804</v>
      </c>
      <c r="F456" s="185" t="s">
        <v>3363</v>
      </c>
      <c r="G456" s="185">
        <v>124</v>
      </c>
      <c r="H456" s="185" t="str">
        <f>IFERROR(VLOOKUP(G456,'2022. tervsor'!C:D,2,0)," ")</f>
        <v>Egyéb szállítás költségei</v>
      </c>
      <c r="I456" s="181">
        <f t="shared" si="183"/>
        <v>0</v>
      </c>
      <c r="J456" s="181">
        <f t="shared" si="190"/>
        <v>0</v>
      </c>
      <c r="K456" s="166">
        <f t="shared" si="170"/>
        <v>0</v>
      </c>
      <c r="L456" s="166">
        <f t="shared" si="191"/>
        <v>0</v>
      </c>
      <c r="M456" s="182"/>
      <c r="N456" s="166"/>
      <c r="O456" s="166"/>
      <c r="P456" s="166"/>
      <c r="Q456" s="166"/>
      <c r="R456" s="166"/>
      <c r="S456" s="166"/>
      <c r="T456" s="166"/>
      <c r="U456" s="166"/>
      <c r="V456" s="166"/>
      <c r="W456" s="166"/>
      <c r="X456" s="166"/>
      <c r="Y456" s="166"/>
      <c r="Z456" s="166"/>
      <c r="AA456" s="166"/>
      <c r="AB456" s="166"/>
      <c r="AC456" s="181"/>
      <c r="AD456" s="181"/>
      <c r="AE456" s="181"/>
      <c r="AF456" s="181"/>
      <c r="AG456" s="181"/>
      <c r="AH456" s="181"/>
      <c r="AI456" s="166"/>
      <c r="AJ456" s="166"/>
      <c r="AK456" s="166"/>
      <c r="AL456" s="166"/>
      <c r="AM456" s="166"/>
      <c r="AN456" s="166"/>
      <c r="AO456" s="166"/>
      <c r="AP456" s="166"/>
      <c r="AQ456" s="166"/>
      <c r="AR456" s="166"/>
      <c r="AS456" s="166"/>
      <c r="AT456" s="166"/>
      <c r="AU456" s="166"/>
      <c r="AV456" s="166"/>
      <c r="AW456" s="166"/>
      <c r="AX456" s="166"/>
      <c r="AY456" s="166"/>
      <c r="AZ456" s="186"/>
      <c r="BA456" s="186"/>
      <c r="BB456" s="186"/>
      <c r="BC456" s="186"/>
      <c r="BD456" s="186"/>
      <c r="BE456" s="186"/>
      <c r="BF456" s="186"/>
      <c r="BG456" s="186"/>
      <c r="BH456" s="186"/>
      <c r="BI456" s="183">
        <f t="shared" si="186"/>
        <v>0</v>
      </c>
      <c r="BJ456" s="183">
        <f t="shared" si="187"/>
        <v>0</v>
      </c>
      <c r="BK456" s="183">
        <f t="shared" si="188"/>
        <v>0</v>
      </c>
      <c r="BL456" s="183">
        <f t="shared" si="189"/>
        <v>0</v>
      </c>
    </row>
    <row r="457" spans="1:64" s="187" customFormat="1" ht="15.75" hidden="1" customHeight="1" outlineLevel="3" x14ac:dyDescent="0.3">
      <c r="A457" s="185"/>
      <c r="B457" s="180" t="s">
        <v>2804</v>
      </c>
      <c r="C457" s="180" t="s">
        <v>83</v>
      </c>
      <c r="D457" s="180" t="s">
        <v>2952</v>
      </c>
      <c r="E457" s="185" t="s">
        <v>2804</v>
      </c>
      <c r="F457" s="185" t="s">
        <v>3363</v>
      </c>
      <c r="G457" s="185">
        <v>125</v>
      </c>
      <c r="H457" s="185" t="str">
        <f>IFERROR(VLOOKUP(G457,'2022. tervsor'!C:D,2,0)," ")</f>
        <v>Postai levél. csomag. feladott távirat</v>
      </c>
      <c r="I457" s="181">
        <f t="shared" si="183"/>
        <v>0</v>
      </c>
      <c r="J457" s="181">
        <f t="shared" si="190"/>
        <v>0</v>
      </c>
      <c r="K457" s="166">
        <f t="shared" si="170"/>
        <v>0</v>
      </c>
      <c r="L457" s="166">
        <f t="shared" si="191"/>
        <v>0</v>
      </c>
      <c r="M457" s="182"/>
      <c r="N457" s="166"/>
      <c r="O457" s="166"/>
      <c r="P457" s="166"/>
      <c r="Q457" s="166"/>
      <c r="R457" s="166"/>
      <c r="S457" s="166"/>
      <c r="T457" s="166"/>
      <c r="U457" s="166"/>
      <c r="V457" s="166"/>
      <c r="W457" s="166"/>
      <c r="X457" s="166"/>
      <c r="Y457" s="166"/>
      <c r="Z457" s="166"/>
      <c r="AA457" s="166"/>
      <c r="AB457" s="166"/>
      <c r="AC457" s="181"/>
      <c r="AD457" s="181"/>
      <c r="AE457" s="181"/>
      <c r="AF457" s="181"/>
      <c r="AG457" s="181"/>
      <c r="AH457" s="181"/>
      <c r="AI457" s="166"/>
      <c r="AJ457" s="166"/>
      <c r="AK457" s="166"/>
      <c r="AL457" s="166"/>
      <c r="AM457" s="166"/>
      <c r="AN457" s="166"/>
      <c r="AO457" s="166"/>
      <c r="AP457" s="166"/>
      <c r="AQ457" s="166"/>
      <c r="AR457" s="166"/>
      <c r="AS457" s="166"/>
      <c r="AT457" s="166"/>
      <c r="AU457" s="166"/>
      <c r="AV457" s="166"/>
      <c r="AW457" s="166"/>
      <c r="AX457" s="166"/>
      <c r="AY457" s="166"/>
      <c r="AZ457" s="186"/>
      <c r="BA457" s="186"/>
      <c r="BB457" s="186"/>
      <c r="BC457" s="186"/>
      <c r="BD457" s="186"/>
      <c r="BE457" s="186"/>
      <c r="BF457" s="186"/>
      <c r="BG457" s="186"/>
      <c r="BH457" s="186"/>
      <c r="BI457" s="183">
        <f t="shared" si="186"/>
        <v>0</v>
      </c>
      <c r="BJ457" s="183">
        <f t="shared" si="187"/>
        <v>0</v>
      </c>
      <c r="BK457" s="183">
        <f t="shared" si="188"/>
        <v>0</v>
      </c>
      <c r="BL457" s="183">
        <f t="shared" si="189"/>
        <v>0</v>
      </c>
    </row>
    <row r="458" spans="1:64" s="187" customFormat="1" ht="15.75" hidden="1" customHeight="1" outlineLevel="3" x14ac:dyDescent="0.3">
      <c r="A458" s="185"/>
      <c r="B458" s="180" t="s">
        <v>2804</v>
      </c>
      <c r="C458" s="180" t="s">
        <v>83</v>
      </c>
      <c r="D458" s="180" t="s">
        <v>2952</v>
      </c>
      <c r="E458" s="185" t="s">
        <v>2804</v>
      </c>
      <c r="F458" s="185" t="s">
        <v>3363</v>
      </c>
      <c r="G458" s="185">
        <v>126</v>
      </c>
      <c r="H458" s="185" t="str">
        <f>IFERROR(VLOOKUP(G458,'2022. tervsor'!C:D,2,0)," ")</f>
        <v>Takarítás</v>
      </c>
      <c r="I458" s="181">
        <f t="shared" si="183"/>
        <v>0</v>
      </c>
      <c r="J458" s="181">
        <f t="shared" si="190"/>
        <v>0</v>
      </c>
      <c r="K458" s="166">
        <f t="shared" si="170"/>
        <v>0</v>
      </c>
      <c r="L458" s="166">
        <f t="shared" si="191"/>
        <v>0</v>
      </c>
      <c r="M458" s="182"/>
      <c r="N458" s="166"/>
      <c r="O458" s="166"/>
      <c r="P458" s="166"/>
      <c r="Q458" s="166"/>
      <c r="R458" s="166"/>
      <c r="S458" s="166"/>
      <c r="T458" s="166"/>
      <c r="U458" s="166"/>
      <c r="V458" s="166"/>
      <c r="W458" s="166"/>
      <c r="X458" s="166"/>
      <c r="Y458" s="166"/>
      <c r="Z458" s="166"/>
      <c r="AA458" s="166"/>
      <c r="AB458" s="166"/>
      <c r="AC458" s="181"/>
      <c r="AD458" s="181"/>
      <c r="AE458" s="181"/>
      <c r="AF458" s="181"/>
      <c r="AG458" s="181"/>
      <c r="AH458" s="181"/>
      <c r="AI458" s="166"/>
      <c r="AJ458" s="166"/>
      <c r="AK458" s="166"/>
      <c r="AL458" s="166"/>
      <c r="AM458" s="166"/>
      <c r="AN458" s="166"/>
      <c r="AO458" s="166"/>
      <c r="AP458" s="166"/>
      <c r="AQ458" s="166"/>
      <c r="AR458" s="166"/>
      <c r="AS458" s="166"/>
      <c r="AT458" s="166"/>
      <c r="AU458" s="166"/>
      <c r="AV458" s="166"/>
      <c r="AW458" s="166"/>
      <c r="AX458" s="166"/>
      <c r="AY458" s="166"/>
      <c r="AZ458" s="186"/>
      <c r="BA458" s="186"/>
      <c r="BB458" s="186"/>
      <c r="BC458" s="186"/>
      <c r="BD458" s="186"/>
      <c r="BE458" s="186"/>
      <c r="BF458" s="186"/>
      <c r="BG458" s="186"/>
      <c r="BH458" s="186"/>
      <c r="BI458" s="183">
        <f t="shared" si="186"/>
        <v>0</v>
      </c>
      <c r="BJ458" s="183">
        <f t="shared" si="187"/>
        <v>0</v>
      </c>
      <c r="BK458" s="183">
        <f t="shared" si="188"/>
        <v>0</v>
      </c>
      <c r="BL458" s="183">
        <f t="shared" si="189"/>
        <v>0</v>
      </c>
    </row>
    <row r="459" spans="1:64" s="187" customFormat="1" ht="15.75" hidden="1" customHeight="1" outlineLevel="3" x14ac:dyDescent="0.3">
      <c r="A459" s="185"/>
      <c r="B459" s="180" t="s">
        <v>2804</v>
      </c>
      <c r="C459" s="180" t="s">
        <v>83</v>
      </c>
      <c r="D459" s="180" t="s">
        <v>2952</v>
      </c>
      <c r="E459" s="185" t="s">
        <v>2804</v>
      </c>
      <c r="F459" s="185" t="s">
        <v>3363</v>
      </c>
      <c r="G459" s="185">
        <v>127</v>
      </c>
      <c r="H459" s="185" t="str">
        <f>IFERROR(VLOOKUP(G459,'2022. tervsor'!C:D,2,0)," ")</f>
        <v>Rovarirtás</v>
      </c>
      <c r="I459" s="181">
        <f t="shared" si="183"/>
        <v>0</v>
      </c>
      <c r="J459" s="181">
        <f t="shared" si="190"/>
        <v>0</v>
      </c>
      <c r="K459" s="166">
        <f t="shared" si="170"/>
        <v>0</v>
      </c>
      <c r="L459" s="166">
        <f t="shared" si="191"/>
        <v>0</v>
      </c>
      <c r="M459" s="182"/>
      <c r="N459" s="166"/>
      <c r="O459" s="166"/>
      <c r="P459" s="166"/>
      <c r="Q459" s="166"/>
      <c r="R459" s="166"/>
      <c r="S459" s="166"/>
      <c r="T459" s="166"/>
      <c r="U459" s="166"/>
      <c r="V459" s="166"/>
      <c r="W459" s="166"/>
      <c r="X459" s="166"/>
      <c r="Y459" s="166"/>
      <c r="Z459" s="166"/>
      <c r="AA459" s="166"/>
      <c r="AB459" s="166"/>
      <c r="AC459" s="181"/>
      <c r="AD459" s="181"/>
      <c r="AE459" s="181"/>
      <c r="AF459" s="181"/>
      <c r="AG459" s="181"/>
      <c r="AH459" s="181"/>
      <c r="AI459" s="166"/>
      <c r="AJ459" s="166"/>
      <c r="AK459" s="166"/>
      <c r="AL459" s="166"/>
      <c r="AM459" s="166"/>
      <c r="AN459" s="166"/>
      <c r="AO459" s="166"/>
      <c r="AP459" s="166"/>
      <c r="AQ459" s="166"/>
      <c r="AR459" s="166"/>
      <c r="AS459" s="166"/>
      <c r="AT459" s="166"/>
      <c r="AU459" s="166"/>
      <c r="AV459" s="166"/>
      <c r="AW459" s="166"/>
      <c r="AX459" s="166"/>
      <c r="AY459" s="166"/>
      <c r="AZ459" s="186"/>
      <c r="BA459" s="186"/>
      <c r="BB459" s="186"/>
      <c r="BC459" s="186"/>
      <c r="BD459" s="186"/>
      <c r="BE459" s="186"/>
      <c r="BF459" s="186"/>
      <c r="BG459" s="186"/>
      <c r="BH459" s="186"/>
      <c r="BI459" s="183">
        <f t="shared" si="186"/>
        <v>0</v>
      </c>
      <c r="BJ459" s="183">
        <f t="shared" si="187"/>
        <v>0</v>
      </c>
      <c r="BK459" s="183">
        <f t="shared" si="188"/>
        <v>0</v>
      </c>
      <c r="BL459" s="183">
        <f t="shared" si="189"/>
        <v>0</v>
      </c>
    </row>
    <row r="460" spans="1:64" s="187" customFormat="1" ht="15.75" hidden="1" customHeight="1" outlineLevel="3" x14ac:dyDescent="0.3">
      <c r="A460" s="185"/>
      <c r="B460" s="180" t="s">
        <v>2804</v>
      </c>
      <c r="C460" s="180" t="s">
        <v>83</v>
      </c>
      <c r="D460" s="180" t="s">
        <v>2952</v>
      </c>
      <c r="E460" s="185" t="s">
        <v>2804</v>
      </c>
      <c r="F460" s="185" t="s">
        <v>3363</v>
      </c>
      <c r="G460" s="185">
        <v>128</v>
      </c>
      <c r="H460" s="185" t="str">
        <f>IFERROR(VLOOKUP(G460,'2022. tervsor'!C:D,2,0)," ")</f>
        <v>Kommunális hulladék szállítási költségei</v>
      </c>
      <c r="I460" s="181">
        <f t="shared" si="183"/>
        <v>0</v>
      </c>
      <c r="J460" s="181">
        <f t="shared" si="190"/>
        <v>0</v>
      </c>
      <c r="K460" s="166">
        <f t="shared" si="170"/>
        <v>0</v>
      </c>
      <c r="L460" s="166">
        <f t="shared" si="191"/>
        <v>0</v>
      </c>
      <c r="M460" s="182"/>
      <c r="N460" s="166"/>
      <c r="O460" s="166"/>
      <c r="P460" s="166"/>
      <c r="Q460" s="166"/>
      <c r="R460" s="166"/>
      <c r="S460" s="166"/>
      <c r="T460" s="166"/>
      <c r="U460" s="166"/>
      <c r="V460" s="166"/>
      <c r="W460" s="166"/>
      <c r="X460" s="166"/>
      <c r="Y460" s="166"/>
      <c r="Z460" s="166"/>
      <c r="AA460" s="166"/>
      <c r="AB460" s="166"/>
      <c r="AC460" s="181"/>
      <c r="AD460" s="181"/>
      <c r="AE460" s="181"/>
      <c r="AF460" s="181"/>
      <c r="AG460" s="181"/>
      <c r="AH460" s="181"/>
      <c r="AI460" s="166"/>
      <c r="AJ460" s="166"/>
      <c r="AK460" s="166"/>
      <c r="AL460" s="166"/>
      <c r="AM460" s="166"/>
      <c r="AN460" s="166"/>
      <c r="AO460" s="166"/>
      <c r="AP460" s="166"/>
      <c r="AQ460" s="166"/>
      <c r="AR460" s="166"/>
      <c r="AS460" s="166"/>
      <c r="AT460" s="166"/>
      <c r="AU460" s="166"/>
      <c r="AV460" s="166"/>
      <c r="AW460" s="166"/>
      <c r="AX460" s="166"/>
      <c r="AY460" s="166"/>
      <c r="AZ460" s="186"/>
      <c r="BA460" s="186"/>
      <c r="BB460" s="186"/>
      <c r="BC460" s="186"/>
      <c r="BD460" s="186"/>
      <c r="BE460" s="186"/>
      <c r="BF460" s="186"/>
      <c r="BG460" s="186"/>
      <c r="BH460" s="186"/>
      <c r="BI460" s="183">
        <f t="shared" si="186"/>
        <v>0</v>
      </c>
      <c r="BJ460" s="183">
        <f t="shared" si="187"/>
        <v>0</v>
      </c>
      <c r="BK460" s="183">
        <f t="shared" si="188"/>
        <v>0</v>
      </c>
      <c r="BL460" s="183">
        <f t="shared" si="189"/>
        <v>0</v>
      </c>
    </row>
    <row r="461" spans="1:64" s="187" customFormat="1" ht="15.75" hidden="1" customHeight="1" outlineLevel="3" x14ac:dyDescent="0.3">
      <c r="A461" s="185"/>
      <c r="B461" s="180" t="s">
        <v>2804</v>
      </c>
      <c r="C461" s="180" t="s">
        <v>83</v>
      </c>
      <c r="D461" s="180" t="s">
        <v>2952</v>
      </c>
      <c r="E461" s="185" t="s">
        <v>2804</v>
      </c>
      <c r="F461" s="185" t="s">
        <v>3363</v>
      </c>
      <c r="G461" s="185">
        <v>129</v>
      </c>
      <c r="H461" s="185" t="str">
        <f>IFERROR(VLOOKUP(G461,'2022. tervsor'!C:D,2,0)," ")</f>
        <v>Kéményseprési díjak költségei</v>
      </c>
      <c r="I461" s="181">
        <f t="shared" si="183"/>
        <v>0</v>
      </c>
      <c r="J461" s="181">
        <f t="shared" si="190"/>
        <v>0</v>
      </c>
      <c r="K461" s="166">
        <f t="shared" si="170"/>
        <v>0</v>
      </c>
      <c r="L461" s="166">
        <f t="shared" si="191"/>
        <v>0</v>
      </c>
      <c r="M461" s="182"/>
      <c r="N461" s="166"/>
      <c r="O461" s="166"/>
      <c r="P461" s="166"/>
      <c r="Q461" s="166"/>
      <c r="R461" s="166"/>
      <c r="S461" s="166"/>
      <c r="T461" s="166"/>
      <c r="U461" s="166"/>
      <c r="V461" s="166"/>
      <c r="W461" s="166"/>
      <c r="X461" s="166"/>
      <c r="Y461" s="166"/>
      <c r="Z461" s="166"/>
      <c r="AA461" s="166"/>
      <c r="AB461" s="166"/>
      <c r="AC461" s="181"/>
      <c r="AD461" s="181"/>
      <c r="AE461" s="181"/>
      <c r="AF461" s="181"/>
      <c r="AG461" s="181"/>
      <c r="AH461" s="181"/>
      <c r="AI461" s="166"/>
      <c r="AJ461" s="166"/>
      <c r="AK461" s="166"/>
      <c r="AL461" s="166"/>
      <c r="AM461" s="166"/>
      <c r="AN461" s="166"/>
      <c r="AO461" s="166"/>
      <c r="AP461" s="166"/>
      <c r="AQ461" s="166"/>
      <c r="AR461" s="166"/>
      <c r="AS461" s="166"/>
      <c r="AT461" s="166"/>
      <c r="AU461" s="166"/>
      <c r="AV461" s="166"/>
      <c r="AW461" s="166"/>
      <c r="AX461" s="166"/>
      <c r="AY461" s="166"/>
      <c r="AZ461" s="186"/>
      <c r="BA461" s="186"/>
      <c r="BB461" s="186"/>
      <c r="BC461" s="186"/>
      <c r="BD461" s="186"/>
      <c r="BE461" s="186"/>
      <c r="BF461" s="186"/>
      <c r="BG461" s="186"/>
      <c r="BH461" s="186"/>
      <c r="BI461" s="183">
        <f t="shared" si="186"/>
        <v>0</v>
      </c>
      <c r="BJ461" s="183">
        <f t="shared" si="187"/>
        <v>0</v>
      </c>
      <c r="BK461" s="183">
        <f t="shared" si="188"/>
        <v>0</v>
      </c>
      <c r="BL461" s="183">
        <f t="shared" si="189"/>
        <v>0</v>
      </c>
    </row>
    <row r="462" spans="1:64" s="187" customFormat="1" ht="15.75" hidden="1" customHeight="1" outlineLevel="3" x14ac:dyDescent="0.3">
      <c r="A462" s="185"/>
      <c r="B462" s="180" t="s">
        <v>2804</v>
      </c>
      <c r="C462" s="180" t="s">
        <v>83</v>
      </c>
      <c r="D462" s="180" t="s">
        <v>2952</v>
      </c>
      <c r="E462" s="185" t="s">
        <v>2804</v>
      </c>
      <c r="F462" s="185" t="s">
        <v>3363</v>
      </c>
      <c r="G462" s="185">
        <v>130</v>
      </c>
      <c r="H462" s="185" t="str">
        <f>IFERROR(VLOOKUP(G462,'2022. tervsor'!C:D,2,0)," ")</f>
        <v>Nyomdai költség</v>
      </c>
      <c r="I462" s="181">
        <f t="shared" si="183"/>
        <v>0</v>
      </c>
      <c r="J462" s="181">
        <f t="shared" si="190"/>
        <v>0</v>
      </c>
      <c r="K462" s="166">
        <f t="shared" si="170"/>
        <v>0</v>
      </c>
      <c r="L462" s="166">
        <f t="shared" si="191"/>
        <v>0</v>
      </c>
      <c r="M462" s="182"/>
      <c r="N462" s="166"/>
      <c r="O462" s="166"/>
      <c r="P462" s="166"/>
      <c r="Q462" s="166"/>
      <c r="R462" s="166"/>
      <c r="S462" s="166"/>
      <c r="T462" s="166"/>
      <c r="U462" s="166"/>
      <c r="V462" s="166"/>
      <c r="W462" s="166"/>
      <c r="X462" s="166"/>
      <c r="Y462" s="166"/>
      <c r="Z462" s="166"/>
      <c r="AA462" s="166"/>
      <c r="AB462" s="166"/>
      <c r="AC462" s="181"/>
      <c r="AD462" s="181"/>
      <c r="AE462" s="181"/>
      <c r="AF462" s="181"/>
      <c r="AG462" s="181"/>
      <c r="AH462" s="181"/>
      <c r="AI462" s="166"/>
      <c r="AJ462" s="166"/>
      <c r="AK462" s="166"/>
      <c r="AL462" s="166"/>
      <c r="AM462" s="166"/>
      <c r="AN462" s="166"/>
      <c r="AO462" s="166"/>
      <c r="AP462" s="166"/>
      <c r="AQ462" s="166"/>
      <c r="AR462" s="166"/>
      <c r="AS462" s="166"/>
      <c r="AT462" s="166"/>
      <c r="AU462" s="166"/>
      <c r="AV462" s="166"/>
      <c r="AW462" s="166"/>
      <c r="AX462" s="166"/>
      <c r="AY462" s="166"/>
      <c r="AZ462" s="186"/>
      <c r="BA462" s="186"/>
      <c r="BB462" s="186"/>
      <c r="BC462" s="186"/>
      <c r="BD462" s="186"/>
      <c r="BE462" s="186"/>
      <c r="BF462" s="186"/>
      <c r="BG462" s="186"/>
      <c r="BH462" s="186"/>
      <c r="BI462" s="183">
        <f t="shared" si="186"/>
        <v>0</v>
      </c>
      <c r="BJ462" s="183">
        <f t="shared" si="187"/>
        <v>0</v>
      </c>
      <c r="BK462" s="183">
        <f t="shared" si="188"/>
        <v>0</v>
      </c>
      <c r="BL462" s="183">
        <f t="shared" si="189"/>
        <v>0</v>
      </c>
    </row>
    <row r="463" spans="1:64" s="187" customFormat="1" ht="15.75" hidden="1" customHeight="1" outlineLevel="3" x14ac:dyDescent="0.3">
      <c r="A463" s="185"/>
      <c r="B463" s="180" t="s">
        <v>2804</v>
      </c>
      <c r="C463" s="180" t="s">
        <v>83</v>
      </c>
      <c r="D463" s="180" t="s">
        <v>2952</v>
      </c>
      <c r="E463" s="185" t="s">
        <v>2804</v>
      </c>
      <c r="F463" s="185" t="s">
        <v>3363</v>
      </c>
      <c r="G463" s="185">
        <v>131</v>
      </c>
      <c r="H463" s="185" t="str">
        <f>IFERROR(VLOOKUP(G463,'2022. tervsor'!C:D,2,0)," ")</f>
        <v>Ingatlanok üzemelt. fenntartási kiad.</v>
      </c>
      <c r="I463" s="181">
        <f t="shared" si="183"/>
        <v>0</v>
      </c>
      <c r="J463" s="181">
        <f t="shared" si="190"/>
        <v>0</v>
      </c>
      <c r="K463" s="166">
        <f t="shared" si="170"/>
        <v>0</v>
      </c>
      <c r="L463" s="166">
        <f t="shared" si="191"/>
        <v>0</v>
      </c>
      <c r="M463" s="182"/>
      <c r="N463" s="166"/>
      <c r="O463" s="166"/>
      <c r="P463" s="166"/>
      <c r="Q463" s="166"/>
      <c r="R463" s="166"/>
      <c r="S463" s="166"/>
      <c r="T463" s="166"/>
      <c r="U463" s="166"/>
      <c r="V463" s="166"/>
      <c r="W463" s="166"/>
      <c r="X463" s="166"/>
      <c r="Y463" s="166"/>
      <c r="Z463" s="166"/>
      <c r="AA463" s="166"/>
      <c r="AB463" s="166"/>
      <c r="AC463" s="181"/>
      <c r="AD463" s="181"/>
      <c r="AE463" s="181"/>
      <c r="AF463" s="181"/>
      <c r="AG463" s="181"/>
      <c r="AH463" s="181"/>
      <c r="AI463" s="166"/>
      <c r="AJ463" s="166"/>
      <c r="AK463" s="166"/>
      <c r="AL463" s="166"/>
      <c r="AM463" s="166"/>
      <c r="AN463" s="166"/>
      <c r="AO463" s="166"/>
      <c r="AP463" s="166"/>
      <c r="AQ463" s="166"/>
      <c r="AR463" s="166"/>
      <c r="AS463" s="166"/>
      <c r="AT463" s="166"/>
      <c r="AU463" s="166"/>
      <c r="AV463" s="166"/>
      <c r="AW463" s="166"/>
      <c r="AX463" s="166"/>
      <c r="AY463" s="166"/>
      <c r="AZ463" s="186"/>
      <c r="BA463" s="186"/>
      <c r="BB463" s="186"/>
      <c r="BC463" s="186"/>
      <c r="BD463" s="186"/>
      <c r="BE463" s="186"/>
      <c r="BF463" s="186"/>
      <c r="BG463" s="186"/>
      <c r="BH463" s="186"/>
      <c r="BI463" s="183">
        <f t="shared" si="186"/>
        <v>0</v>
      </c>
      <c r="BJ463" s="183">
        <f t="shared" si="187"/>
        <v>0</v>
      </c>
      <c r="BK463" s="183">
        <f t="shared" si="188"/>
        <v>0</v>
      </c>
      <c r="BL463" s="183">
        <f t="shared" si="189"/>
        <v>0</v>
      </c>
    </row>
    <row r="464" spans="1:64" s="187" customFormat="1" ht="15.75" hidden="1" customHeight="1" outlineLevel="3" x14ac:dyDescent="0.3">
      <c r="A464" s="185"/>
      <c r="B464" s="180" t="s">
        <v>2804</v>
      </c>
      <c r="C464" s="180" t="s">
        <v>83</v>
      </c>
      <c r="D464" s="180" t="s">
        <v>2952</v>
      </c>
      <c r="E464" s="185" t="s">
        <v>2804</v>
      </c>
      <c r="F464" s="185" t="s">
        <v>3363</v>
      </c>
      <c r="G464" s="185">
        <v>132</v>
      </c>
      <c r="H464" s="185" t="str">
        <f>IFERROR(VLOOKUP(G464,'2022. tervsor'!C:D,2,0)," ")</f>
        <v>Egyéb üzemelt. Kiadások (mosás, rakodás)</v>
      </c>
      <c r="I464" s="181">
        <f t="shared" si="183"/>
        <v>0</v>
      </c>
      <c r="J464" s="181">
        <f t="shared" si="190"/>
        <v>0</v>
      </c>
      <c r="K464" s="166">
        <f t="shared" si="170"/>
        <v>0</v>
      </c>
      <c r="L464" s="166">
        <f t="shared" si="191"/>
        <v>0</v>
      </c>
      <c r="M464" s="182"/>
      <c r="N464" s="166"/>
      <c r="O464" s="166"/>
      <c r="P464" s="166"/>
      <c r="Q464" s="166"/>
      <c r="R464" s="166"/>
      <c r="S464" s="166"/>
      <c r="T464" s="166"/>
      <c r="U464" s="166"/>
      <c r="V464" s="166"/>
      <c r="W464" s="166"/>
      <c r="X464" s="166"/>
      <c r="Y464" s="166"/>
      <c r="Z464" s="166"/>
      <c r="AA464" s="166"/>
      <c r="AB464" s="166"/>
      <c r="AC464" s="181"/>
      <c r="AD464" s="181"/>
      <c r="AE464" s="181"/>
      <c r="AF464" s="181"/>
      <c r="AG464" s="181"/>
      <c r="AH464" s="181"/>
      <c r="AI464" s="166"/>
      <c r="AJ464" s="166"/>
      <c r="AK464" s="166"/>
      <c r="AL464" s="166"/>
      <c r="AM464" s="166"/>
      <c r="AN464" s="166"/>
      <c r="AO464" s="166"/>
      <c r="AP464" s="166"/>
      <c r="AQ464" s="166"/>
      <c r="AR464" s="166"/>
      <c r="AS464" s="166"/>
      <c r="AT464" s="166"/>
      <c r="AU464" s="166"/>
      <c r="AV464" s="166"/>
      <c r="AW464" s="166"/>
      <c r="AX464" s="166"/>
      <c r="AY464" s="166"/>
      <c r="AZ464" s="186"/>
      <c r="BA464" s="186"/>
      <c r="BB464" s="186"/>
      <c r="BC464" s="186"/>
      <c r="BD464" s="186"/>
      <c r="BE464" s="186"/>
      <c r="BF464" s="186"/>
      <c r="BG464" s="186"/>
      <c r="BH464" s="186"/>
      <c r="BI464" s="183">
        <f t="shared" si="186"/>
        <v>0</v>
      </c>
      <c r="BJ464" s="183">
        <f t="shared" si="187"/>
        <v>0</v>
      </c>
      <c r="BK464" s="183">
        <f t="shared" si="188"/>
        <v>0</v>
      </c>
      <c r="BL464" s="183">
        <f t="shared" si="189"/>
        <v>0</v>
      </c>
    </row>
    <row r="465" spans="1:64" s="187" customFormat="1" ht="15.75" hidden="1" customHeight="1" outlineLevel="3" x14ac:dyDescent="0.3">
      <c r="A465" s="185"/>
      <c r="B465" s="180" t="s">
        <v>2804</v>
      </c>
      <c r="C465" s="180" t="s">
        <v>83</v>
      </c>
      <c r="D465" s="180" t="s">
        <v>2952</v>
      </c>
      <c r="E465" s="185" t="s">
        <v>2804</v>
      </c>
      <c r="F465" s="185" t="s">
        <v>3363</v>
      </c>
      <c r="G465" s="185">
        <v>133</v>
      </c>
      <c r="H465" s="185" t="str">
        <f>IFERROR(VLOOKUP(G465,'2022. tervsor'!C:D,2,0)," ")</f>
        <v>Egyéb más jellegű szolg. Költségei (audit, ell.)</v>
      </c>
      <c r="I465" s="181">
        <f t="shared" si="183"/>
        <v>0</v>
      </c>
      <c r="J465" s="181">
        <f t="shared" si="190"/>
        <v>0</v>
      </c>
      <c r="K465" s="166">
        <f t="shared" si="170"/>
        <v>0</v>
      </c>
      <c r="L465" s="166">
        <f t="shared" si="191"/>
        <v>0</v>
      </c>
      <c r="M465" s="182"/>
      <c r="N465" s="166"/>
      <c r="O465" s="166"/>
      <c r="P465" s="166"/>
      <c r="Q465" s="166"/>
      <c r="R465" s="166"/>
      <c r="S465" s="166"/>
      <c r="T465" s="166"/>
      <c r="U465" s="166"/>
      <c r="V465" s="166"/>
      <c r="W465" s="166"/>
      <c r="X465" s="166"/>
      <c r="Y465" s="166"/>
      <c r="Z465" s="166"/>
      <c r="AA465" s="166"/>
      <c r="AB465" s="166"/>
      <c r="AC465" s="181"/>
      <c r="AD465" s="181"/>
      <c r="AE465" s="181"/>
      <c r="AF465" s="181"/>
      <c r="AG465" s="181"/>
      <c r="AH465" s="181"/>
      <c r="AI465" s="166"/>
      <c r="AJ465" s="166"/>
      <c r="AK465" s="166"/>
      <c r="AL465" s="166"/>
      <c r="AM465" s="166"/>
      <c r="AN465" s="166"/>
      <c r="AO465" s="166"/>
      <c r="AP465" s="166"/>
      <c r="AQ465" s="166"/>
      <c r="AR465" s="166"/>
      <c r="AS465" s="166"/>
      <c r="AT465" s="166"/>
      <c r="AU465" s="166"/>
      <c r="AV465" s="166"/>
      <c r="AW465" s="166"/>
      <c r="AX465" s="166"/>
      <c r="AY465" s="166"/>
      <c r="AZ465" s="186"/>
      <c r="BA465" s="186"/>
      <c r="BB465" s="186"/>
      <c r="BC465" s="186"/>
      <c r="BD465" s="186"/>
      <c r="BE465" s="186"/>
      <c r="BF465" s="186"/>
      <c r="BG465" s="186"/>
      <c r="BH465" s="186"/>
      <c r="BI465" s="183">
        <f t="shared" si="186"/>
        <v>0</v>
      </c>
      <c r="BJ465" s="183">
        <f t="shared" si="187"/>
        <v>0</v>
      </c>
      <c r="BK465" s="183">
        <f t="shared" si="188"/>
        <v>0</v>
      </c>
      <c r="BL465" s="183">
        <f t="shared" si="189"/>
        <v>0</v>
      </c>
    </row>
    <row r="466" spans="1:64" s="187" customFormat="1" ht="15.75" hidden="1" customHeight="1" outlineLevel="3" x14ac:dyDescent="0.3">
      <c r="A466" s="185"/>
      <c r="B466" s="180" t="s">
        <v>2804</v>
      </c>
      <c r="C466" s="180" t="s">
        <v>83</v>
      </c>
      <c r="D466" s="180" t="s">
        <v>2952</v>
      </c>
      <c r="E466" s="185" t="s">
        <v>2804</v>
      </c>
      <c r="F466" s="185" t="s">
        <v>3363</v>
      </c>
      <c r="G466" s="185">
        <v>134</v>
      </c>
      <c r="H466" s="185" t="str">
        <f>IFERROR(VLOOKUP(G466,'2022. tervsor'!C:D,2,0)," ")</f>
        <v>Biztosítási díj (központilag fizetett vagyonbiztosítás)</v>
      </c>
      <c r="I466" s="181">
        <f t="shared" si="183"/>
        <v>0</v>
      </c>
      <c r="J466" s="181">
        <f t="shared" si="190"/>
        <v>0</v>
      </c>
      <c r="K466" s="166">
        <f t="shared" si="170"/>
        <v>0</v>
      </c>
      <c r="L466" s="166">
        <f t="shared" si="191"/>
        <v>0</v>
      </c>
      <c r="M466" s="182"/>
      <c r="N466" s="166"/>
      <c r="O466" s="166"/>
      <c r="P466" s="166"/>
      <c r="Q466" s="166"/>
      <c r="R466" s="166"/>
      <c r="S466" s="166"/>
      <c r="T466" s="166"/>
      <c r="U466" s="166"/>
      <c r="V466" s="166"/>
      <c r="W466" s="166"/>
      <c r="X466" s="166"/>
      <c r="Y466" s="166"/>
      <c r="Z466" s="166"/>
      <c r="AA466" s="166"/>
      <c r="AB466" s="166"/>
      <c r="AC466" s="181"/>
      <c r="AD466" s="181"/>
      <c r="AE466" s="181"/>
      <c r="AF466" s="181"/>
      <c r="AG466" s="181"/>
      <c r="AH466" s="181"/>
      <c r="AI466" s="166"/>
      <c r="AJ466" s="166"/>
      <c r="AK466" s="166"/>
      <c r="AL466" s="166"/>
      <c r="AM466" s="166"/>
      <c r="AN466" s="166"/>
      <c r="AO466" s="166"/>
      <c r="AP466" s="166"/>
      <c r="AQ466" s="166"/>
      <c r="AR466" s="166"/>
      <c r="AS466" s="166"/>
      <c r="AT466" s="166"/>
      <c r="AU466" s="166"/>
      <c r="AV466" s="166"/>
      <c r="AW466" s="166"/>
      <c r="AX466" s="166"/>
      <c r="AY466" s="166"/>
      <c r="AZ466" s="186"/>
      <c r="BA466" s="186"/>
      <c r="BB466" s="186"/>
      <c r="BC466" s="186"/>
      <c r="BD466" s="186"/>
      <c r="BE466" s="186"/>
      <c r="BF466" s="186"/>
      <c r="BG466" s="186"/>
      <c r="BH466" s="186"/>
      <c r="BI466" s="183">
        <f t="shared" si="186"/>
        <v>0</v>
      </c>
      <c r="BJ466" s="183">
        <f t="shared" si="187"/>
        <v>0</v>
      </c>
      <c r="BK466" s="183">
        <f t="shared" si="188"/>
        <v>0</v>
      </c>
      <c r="BL466" s="183">
        <f t="shared" si="189"/>
        <v>0</v>
      </c>
    </row>
    <row r="467" spans="1:64" s="187" customFormat="1" ht="15.75" hidden="1" customHeight="1" outlineLevel="3" x14ac:dyDescent="0.3">
      <c r="A467" s="185"/>
      <c r="B467" s="180" t="s">
        <v>2804</v>
      </c>
      <c r="C467" s="180" t="s">
        <v>83</v>
      </c>
      <c r="D467" s="180" t="s">
        <v>2952</v>
      </c>
      <c r="E467" s="185" t="s">
        <v>2804</v>
      </c>
      <c r="F467" s="185" t="s">
        <v>3363</v>
      </c>
      <c r="G467" s="185">
        <v>137</v>
      </c>
      <c r="H467" s="185" t="str">
        <f>IFERROR(VLOOKUP(G467,'2022. tervsor'!C:D,2,0)," ")</f>
        <v>Külföldi kiküldetések kiadásai</v>
      </c>
      <c r="I467" s="181">
        <f t="shared" si="183"/>
        <v>0</v>
      </c>
      <c r="J467" s="181">
        <f t="shared" si="190"/>
        <v>0</v>
      </c>
      <c r="K467" s="166">
        <f t="shared" si="170"/>
        <v>0</v>
      </c>
      <c r="L467" s="166">
        <f t="shared" si="191"/>
        <v>0</v>
      </c>
      <c r="M467" s="182"/>
      <c r="N467" s="166"/>
      <c r="O467" s="166"/>
      <c r="P467" s="166"/>
      <c r="Q467" s="166"/>
      <c r="R467" s="166"/>
      <c r="S467" s="166"/>
      <c r="T467" s="166"/>
      <c r="U467" s="166"/>
      <c r="V467" s="166"/>
      <c r="W467" s="166"/>
      <c r="X467" s="166"/>
      <c r="Y467" s="166"/>
      <c r="Z467" s="166"/>
      <c r="AA467" s="166"/>
      <c r="AB467" s="166"/>
      <c r="AC467" s="181"/>
      <c r="AD467" s="181"/>
      <c r="AE467" s="181"/>
      <c r="AF467" s="181"/>
      <c r="AG467" s="181"/>
      <c r="AH467" s="181"/>
      <c r="AI467" s="166"/>
      <c r="AJ467" s="166"/>
      <c r="AK467" s="166"/>
      <c r="AL467" s="166"/>
      <c r="AM467" s="166"/>
      <c r="AN467" s="166"/>
      <c r="AO467" s="166"/>
      <c r="AP467" s="166"/>
      <c r="AQ467" s="166"/>
      <c r="AR467" s="166"/>
      <c r="AS467" s="166"/>
      <c r="AT467" s="166"/>
      <c r="AU467" s="166"/>
      <c r="AV467" s="166"/>
      <c r="AW467" s="166"/>
      <c r="AX467" s="166"/>
      <c r="AY467" s="166"/>
      <c r="AZ467" s="186"/>
      <c r="BA467" s="186"/>
      <c r="BB467" s="186"/>
      <c r="BC467" s="186"/>
      <c r="BD467" s="186"/>
      <c r="BE467" s="186"/>
      <c r="BF467" s="186"/>
      <c r="BG467" s="186"/>
      <c r="BH467" s="186"/>
      <c r="BI467" s="183">
        <f t="shared" si="186"/>
        <v>0</v>
      </c>
      <c r="BJ467" s="183">
        <f t="shared" si="187"/>
        <v>0</v>
      </c>
      <c r="BK467" s="183">
        <f t="shared" si="188"/>
        <v>0</v>
      </c>
      <c r="BL467" s="183">
        <f t="shared" si="189"/>
        <v>0</v>
      </c>
    </row>
    <row r="468" spans="1:64" s="187" customFormat="1" ht="15.75" hidden="1" customHeight="1" outlineLevel="3" x14ac:dyDescent="0.3">
      <c r="A468" s="185"/>
      <c r="B468" s="180" t="s">
        <v>2804</v>
      </c>
      <c r="C468" s="180" t="s">
        <v>83</v>
      </c>
      <c r="D468" s="180" t="s">
        <v>2952</v>
      </c>
      <c r="E468" s="185" t="s">
        <v>2804</v>
      </c>
      <c r="F468" s="185" t="s">
        <v>3363</v>
      </c>
      <c r="G468" s="185">
        <v>138</v>
      </c>
      <c r="H468" s="185" t="str">
        <f>IFERROR(VLOOKUP(G468,'2022. tervsor'!C:D,2,0)," ")</f>
        <v>Belföldi kiküldetések kiadásai</v>
      </c>
      <c r="I468" s="181">
        <f t="shared" si="183"/>
        <v>0</v>
      </c>
      <c r="J468" s="181">
        <f t="shared" si="190"/>
        <v>0</v>
      </c>
      <c r="K468" s="166">
        <f t="shared" si="170"/>
        <v>0</v>
      </c>
      <c r="L468" s="166">
        <f t="shared" si="191"/>
        <v>0</v>
      </c>
      <c r="M468" s="182"/>
      <c r="N468" s="166"/>
      <c r="O468" s="166"/>
      <c r="P468" s="166"/>
      <c r="Q468" s="166"/>
      <c r="R468" s="166"/>
      <c r="S468" s="166"/>
      <c r="T468" s="166"/>
      <c r="U468" s="166"/>
      <c r="V468" s="166"/>
      <c r="W468" s="166"/>
      <c r="X468" s="166"/>
      <c r="Y468" s="166"/>
      <c r="Z468" s="166"/>
      <c r="AA468" s="166"/>
      <c r="AB468" s="166"/>
      <c r="AC468" s="181"/>
      <c r="AD468" s="181"/>
      <c r="AE468" s="181"/>
      <c r="AF468" s="181"/>
      <c r="AG468" s="181"/>
      <c r="AH468" s="181"/>
      <c r="AI468" s="166"/>
      <c r="AJ468" s="166"/>
      <c r="AK468" s="166"/>
      <c r="AL468" s="166"/>
      <c r="AM468" s="166"/>
      <c r="AN468" s="166"/>
      <c r="AO468" s="166"/>
      <c r="AP468" s="166"/>
      <c r="AQ468" s="166"/>
      <c r="AR468" s="166"/>
      <c r="AS468" s="166"/>
      <c r="AT468" s="166"/>
      <c r="AU468" s="166"/>
      <c r="AV468" s="166"/>
      <c r="AW468" s="166"/>
      <c r="AX468" s="166"/>
      <c r="AY468" s="166"/>
      <c r="AZ468" s="186"/>
      <c r="BA468" s="186"/>
      <c r="BB468" s="186"/>
      <c r="BC468" s="186"/>
      <c r="BD468" s="186"/>
      <c r="BE468" s="186"/>
      <c r="BF468" s="186"/>
      <c r="BG468" s="186"/>
      <c r="BH468" s="186"/>
      <c r="BI468" s="183">
        <f t="shared" si="186"/>
        <v>0</v>
      </c>
      <c r="BJ468" s="183">
        <f t="shared" si="187"/>
        <v>0</v>
      </c>
      <c r="BK468" s="183">
        <f t="shared" si="188"/>
        <v>0</v>
      </c>
      <c r="BL468" s="183">
        <f t="shared" si="189"/>
        <v>0</v>
      </c>
    </row>
    <row r="469" spans="1:64" s="187" customFormat="1" ht="15.75" hidden="1" customHeight="1" outlineLevel="3" x14ac:dyDescent="0.3">
      <c r="A469" s="185"/>
      <c r="B469" s="180" t="s">
        <v>2804</v>
      </c>
      <c r="C469" s="180" t="s">
        <v>83</v>
      </c>
      <c r="D469" s="180" t="s">
        <v>2952</v>
      </c>
      <c r="E469" s="185" t="s">
        <v>2804</v>
      </c>
      <c r="F469" s="185" t="s">
        <v>3363</v>
      </c>
      <c r="G469" s="185">
        <v>139</v>
      </c>
      <c r="H469" s="185" t="str">
        <f>IFERROR(VLOOKUP(G469,'2022. tervsor'!C:D,2,0)," ")</f>
        <v>Reklám- és propaganda költségei</v>
      </c>
      <c r="I469" s="181">
        <f t="shared" si="183"/>
        <v>0</v>
      </c>
      <c r="J469" s="181">
        <f t="shared" si="190"/>
        <v>0</v>
      </c>
      <c r="K469" s="166">
        <f t="shared" si="170"/>
        <v>0</v>
      </c>
      <c r="L469" s="166">
        <f t="shared" si="191"/>
        <v>0</v>
      </c>
      <c r="M469" s="182"/>
      <c r="N469" s="166"/>
      <c r="O469" s="166"/>
      <c r="P469" s="166"/>
      <c r="Q469" s="166"/>
      <c r="R469" s="166"/>
      <c r="S469" s="166"/>
      <c r="T469" s="166"/>
      <c r="U469" s="166"/>
      <c r="V469" s="166"/>
      <c r="W469" s="166"/>
      <c r="X469" s="166"/>
      <c r="Y469" s="166"/>
      <c r="Z469" s="166"/>
      <c r="AA469" s="166"/>
      <c r="AB469" s="166"/>
      <c r="AC469" s="181"/>
      <c r="AD469" s="181"/>
      <c r="AE469" s="181"/>
      <c r="AF469" s="181"/>
      <c r="AG469" s="181"/>
      <c r="AH469" s="181"/>
      <c r="AI469" s="166"/>
      <c r="AJ469" s="166"/>
      <c r="AK469" s="166"/>
      <c r="AL469" s="166"/>
      <c r="AM469" s="166"/>
      <c r="AN469" s="166"/>
      <c r="AO469" s="166"/>
      <c r="AP469" s="166"/>
      <c r="AQ469" s="166"/>
      <c r="AR469" s="166"/>
      <c r="AS469" s="166"/>
      <c r="AT469" s="166"/>
      <c r="AU469" s="166"/>
      <c r="AV469" s="166"/>
      <c r="AW469" s="166"/>
      <c r="AX469" s="166"/>
      <c r="AY469" s="166"/>
      <c r="AZ469" s="186"/>
      <c r="BA469" s="186"/>
      <c r="BB469" s="186"/>
      <c r="BC469" s="186"/>
      <c r="BD469" s="186"/>
      <c r="BE469" s="186"/>
      <c r="BF469" s="186"/>
      <c r="BG469" s="186"/>
      <c r="BH469" s="186"/>
      <c r="BI469" s="183">
        <f t="shared" si="186"/>
        <v>0</v>
      </c>
      <c r="BJ469" s="183">
        <f t="shared" si="187"/>
        <v>0</v>
      </c>
      <c r="BK469" s="183">
        <f t="shared" si="188"/>
        <v>0</v>
      </c>
      <c r="BL469" s="183">
        <f t="shared" si="189"/>
        <v>0</v>
      </c>
    </row>
    <row r="470" spans="1:64" s="187" customFormat="1" ht="15.75" hidden="1" customHeight="1" outlineLevel="3" x14ac:dyDescent="0.3">
      <c r="A470" s="185"/>
      <c r="B470" s="180" t="s">
        <v>2804</v>
      </c>
      <c r="C470" s="180" t="s">
        <v>83</v>
      </c>
      <c r="D470" s="180" t="s">
        <v>2952</v>
      </c>
      <c r="E470" s="185" t="s">
        <v>2804</v>
      </c>
      <c r="F470" s="185" t="s">
        <v>3363</v>
      </c>
      <c r="G470" s="185">
        <v>141</v>
      </c>
      <c r="H470" s="185" t="str">
        <f>IFERROR(VLOOKUP(G470,'2022. tervsor'!C:D,2,0)," ")</f>
        <v>Nem levonható egyenes adós ÁFA anyag, szolg.</v>
      </c>
      <c r="I470" s="181">
        <f t="shared" si="183"/>
        <v>2998589.530884143</v>
      </c>
      <c r="J470" s="181">
        <f t="shared" si="190"/>
        <v>2998589.530884143</v>
      </c>
      <c r="K470" s="166">
        <f t="shared" si="170"/>
        <v>0</v>
      </c>
      <c r="L470" s="166">
        <f t="shared" si="191"/>
        <v>2998589.530884143</v>
      </c>
      <c r="M470" s="182"/>
      <c r="N470" s="166">
        <f>+(SUM(N411:N413,N415:N428,N430:N435,N437,N439:N441,N443:N453,N455:N456,N458:N465,N468:N469)*0.27)+SUM(N414,N429,N436)*0.05+N399*0.27</f>
        <v>0</v>
      </c>
      <c r="O470" s="166">
        <f>+(SUM(O411:O413,O415:O428,O430:O435,O437,O439:O441,O443:O453,O455:O456,O458:O465,O468:O469)*0.27)+SUM(O414,O429,O436)*0.05+O399*0.27</f>
        <v>0</v>
      </c>
      <c r="P470" s="166">
        <f t="shared" ref="P470:Z470" si="192">+(SUM(P411:P413,P415:P428,P430:P435,P437,P439:P441,P443:P453,P455:P456,P458:P465,P468:P469)*0.27)+SUM(P414,P429,P436)*0.05+P399*0.27</f>
        <v>0</v>
      </c>
      <c r="Q470" s="166">
        <f t="shared" si="192"/>
        <v>0</v>
      </c>
      <c r="R470" s="166">
        <f t="shared" si="192"/>
        <v>0</v>
      </c>
      <c r="S470" s="166">
        <f t="shared" si="192"/>
        <v>0</v>
      </c>
      <c r="T470" s="166">
        <f t="shared" si="192"/>
        <v>0</v>
      </c>
      <c r="U470" s="166">
        <f t="shared" si="192"/>
        <v>0</v>
      </c>
      <c r="V470" s="166">
        <f t="shared" si="192"/>
        <v>0</v>
      </c>
      <c r="W470" s="166">
        <f t="shared" si="192"/>
        <v>0</v>
      </c>
      <c r="X470" s="166">
        <f t="shared" si="192"/>
        <v>0</v>
      </c>
      <c r="Y470" s="166">
        <f t="shared" si="192"/>
        <v>0</v>
      </c>
      <c r="Z470" s="166">
        <f t="shared" si="192"/>
        <v>0</v>
      </c>
      <c r="AA470" s="166">
        <f t="shared" ref="AA470:AM470" si="193">+(SUM(AA411:AA413,AA415:AA428,AA430:AA435,AA437,AA439:AA441,AA443:AA453,AA455:AA456,AA458:AA465,AA468:AA469)*0.27)+SUM(AA414,AA429,AA436)*0.05+AA399*0.27</f>
        <v>0</v>
      </c>
      <c r="AB470" s="166">
        <f t="shared" si="193"/>
        <v>0</v>
      </c>
      <c r="AC470" s="166">
        <f t="shared" si="193"/>
        <v>0</v>
      </c>
      <c r="AD470" s="166">
        <f t="shared" si="193"/>
        <v>0</v>
      </c>
      <c r="AE470" s="166">
        <f t="shared" si="193"/>
        <v>0</v>
      </c>
      <c r="AF470" s="166">
        <f>+(SUM(AF411:AF413,AF415:AF428,AF430:AF435,AF437,AF439:AF441,AF443:AF453,AF455:AF456,AF458:AF465,AF468:AF469)*0.27)+SUM(AF414,AF429,AF436)*0.05+AF399*0.27</f>
        <v>2998589.530884143</v>
      </c>
      <c r="AG470" s="166">
        <f>+(SUM(AG411:AG413,AG415:AG428,AG430:AG435,AG437,AG439:AG441,AG443:AG453,AG455:AG456,AG458:AG465,AG468:AG469)*0.27)+SUM(AG414,AG429,AG436)*0.05+AG399*0.27</f>
        <v>0</v>
      </c>
      <c r="AH470" s="166">
        <f t="shared" si="193"/>
        <v>0</v>
      </c>
      <c r="AI470" s="166">
        <f t="shared" si="193"/>
        <v>0</v>
      </c>
      <c r="AJ470" s="166">
        <f t="shared" si="193"/>
        <v>0</v>
      </c>
      <c r="AK470" s="166">
        <f t="shared" si="193"/>
        <v>0</v>
      </c>
      <c r="AL470" s="166">
        <f t="shared" si="193"/>
        <v>0</v>
      </c>
      <c r="AM470" s="166">
        <f t="shared" si="193"/>
        <v>0</v>
      </c>
      <c r="AN470" s="166"/>
      <c r="AO470" s="166"/>
      <c r="AP470" s="166"/>
      <c r="AQ470" s="166"/>
      <c r="AR470" s="166"/>
      <c r="AS470" s="166"/>
      <c r="AT470" s="166"/>
      <c r="AU470" s="166"/>
      <c r="AV470" s="166"/>
      <c r="AW470" s="166"/>
      <c r="AX470" s="166"/>
      <c r="AY470" s="166"/>
      <c r="AZ470" s="186"/>
      <c r="BA470" s="186"/>
      <c r="BB470" s="186"/>
      <c r="BC470" s="186"/>
      <c r="BD470" s="186"/>
      <c r="BE470" s="186"/>
      <c r="BF470" s="186"/>
      <c r="BG470" s="186"/>
      <c r="BH470" s="186"/>
      <c r="BI470" s="183">
        <f t="shared" si="186"/>
        <v>0</v>
      </c>
      <c r="BJ470" s="183">
        <f t="shared" si="187"/>
        <v>0</v>
      </c>
      <c r="BK470" s="183">
        <f t="shared" si="188"/>
        <v>2998589.530884143</v>
      </c>
      <c r="BL470" s="183">
        <f t="shared" si="189"/>
        <v>0</v>
      </c>
    </row>
    <row r="471" spans="1:64" s="187" customFormat="1" ht="15.75" hidden="1" customHeight="1" outlineLevel="3" x14ac:dyDescent="0.3">
      <c r="A471" s="185"/>
      <c r="B471" s="180" t="s">
        <v>2804</v>
      </c>
      <c r="C471" s="180" t="s">
        <v>83</v>
      </c>
      <c r="D471" s="180" t="s">
        <v>2952</v>
      </c>
      <c r="E471" s="185" t="s">
        <v>2804</v>
      </c>
      <c r="F471" s="185" t="s">
        <v>3363</v>
      </c>
      <c r="G471" s="185">
        <v>142</v>
      </c>
      <c r="H471" s="185" t="str">
        <f>IFERROR(VLOOKUP(G471,'2022. tervsor'!C:D,2,0)," ")</f>
        <v>Egyenes adózású ÁFA befizetés</v>
      </c>
      <c r="I471" s="181">
        <f t="shared" si="183"/>
        <v>0</v>
      </c>
      <c r="J471" s="181">
        <f t="shared" si="190"/>
        <v>0</v>
      </c>
      <c r="K471" s="166">
        <f t="shared" si="170"/>
        <v>0</v>
      </c>
      <c r="L471" s="166">
        <f t="shared" si="191"/>
        <v>0</v>
      </c>
      <c r="M471" s="182"/>
      <c r="N471" s="166"/>
      <c r="O471" s="166"/>
      <c r="P471" s="166"/>
      <c r="Q471" s="166"/>
      <c r="R471" s="166"/>
      <c r="S471" s="166"/>
      <c r="T471" s="166"/>
      <c r="U471" s="166"/>
      <c r="V471" s="166"/>
      <c r="W471" s="166"/>
      <c r="X471" s="166"/>
      <c r="Y471" s="166"/>
      <c r="Z471" s="166"/>
      <c r="AA471" s="166"/>
      <c r="AB471" s="166"/>
      <c r="AC471" s="181"/>
      <c r="AD471" s="181"/>
      <c r="AE471" s="181"/>
      <c r="AF471" s="166"/>
      <c r="AG471" s="181"/>
      <c r="AH471" s="181"/>
      <c r="AI471" s="166"/>
      <c r="AJ471" s="166"/>
      <c r="AK471" s="166"/>
      <c r="AL471" s="166"/>
      <c r="AM471" s="166"/>
      <c r="AN471" s="166"/>
      <c r="AO471" s="166"/>
      <c r="AP471" s="166"/>
      <c r="AQ471" s="166"/>
      <c r="AR471" s="166"/>
      <c r="AS471" s="166"/>
      <c r="AT471" s="166"/>
      <c r="AU471" s="166"/>
      <c r="AV471" s="166"/>
      <c r="AW471" s="166"/>
      <c r="AX471" s="166"/>
      <c r="AY471" s="166"/>
      <c r="AZ471" s="186"/>
      <c r="BA471" s="186"/>
      <c r="BB471" s="186"/>
      <c r="BC471" s="186"/>
      <c r="BD471" s="186"/>
      <c r="BE471" s="186"/>
      <c r="BF471" s="186"/>
      <c r="BG471" s="186"/>
      <c r="BH471" s="186"/>
      <c r="BI471" s="183">
        <f t="shared" si="186"/>
        <v>0</v>
      </c>
      <c r="BJ471" s="183">
        <f t="shared" si="187"/>
        <v>0</v>
      </c>
      <c r="BK471" s="183">
        <f t="shared" si="188"/>
        <v>0</v>
      </c>
      <c r="BL471" s="183">
        <f t="shared" si="189"/>
        <v>0</v>
      </c>
    </row>
    <row r="472" spans="1:64" s="187" customFormat="1" ht="15.75" hidden="1" customHeight="1" outlineLevel="3" x14ac:dyDescent="0.3">
      <c r="A472" s="185"/>
      <c r="B472" s="180" t="s">
        <v>2804</v>
      </c>
      <c r="C472" s="180" t="s">
        <v>83</v>
      </c>
      <c r="D472" s="180" t="s">
        <v>2952</v>
      </c>
      <c r="E472" s="185" t="s">
        <v>2804</v>
      </c>
      <c r="F472" s="185" t="s">
        <v>3363</v>
      </c>
      <c r="G472" s="185">
        <v>144</v>
      </c>
      <c r="H472" s="185" t="str">
        <f>IFERROR(VLOOKUP(G472,'2022. tervsor'!C:D,2,0)," ")</f>
        <v>Külf.pénzért.szóló köt.p.ügy.real.árfoly.veszt.</v>
      </c>
      <c r="I472" s="181">
        <f t="shared" si="183"/>
        <v>0</v>
      </c>
      <c r="J472" s="181">
        <f t="shared" si="190"/>
        <v>0</v>
      </c>
      <c r="K472" s="166">
        <f t="shared" si="170"/>
        <v>0</v>
      </c>
      <c r="L472" s="166">
        <f t="shared" si="191"/>
        <v>0</v>
      </c>
      <c r="M472" s="182"/>
      <c r="N472" s="166"/>
      <c r="O472" s="166"/>
      <c r="P472" s="166"/>
      <c r="Q472" s="166"/>
      <c r="R472" s="166"/>
      <c r="S472" s="166"/>
      <c r="T472" s="166"/>
      <c r="U472" s="166"/>
      <c r="V472" s="166"/>
      <c r="W472" s="166"/>
      <c r="X472" s="166"/>
      <c r="Y472" s="166"/>
      <c r="Z472" s="166"/>
      <c r="AA472" s="166"/>
      <c r="AB472" s="166"/>
      <c r="AC472" s="181"/>
      <c r="AD472" s="181"/>
      <c r="AE472" s="181"/>
      <c r="AF472" s="166"/>
      <c r="AG472" s="181"/>
      <c r="AH472" s="181"/>
      <c r="AI472" s="166"/>
      <c r="AJ472" s="166"/>
      <c r="AK472" s="166"/>
      <c r="AL472" s="166"/>
      <c r="AM472" s="166"/>
      <c r="AN472" s="166"/>
      <c r="AO472" s="166"/>
      <c r="AP472" s="166"/>
      <c r="AQ472" s="166"/>
      <c r="AR472" s="166"/>
      <c r="AS472" s="166"/>
      <c r="AT472" s="166"/>
      <c r="AU472" s="166"/>
      <c r="AV472" s="166"/>
      <c r="AW472" s="166"/>
      <c r="AX472" s="166"/>
      <c r="AY472" s="166"/>
      <c r="AZ472" s="186"/>
      <c r="BA472" s="186"/>
      <c r="BB472" s="186"/>
      <c r="BC472" s="186"/>
      <c r="BD472" s="186"/>
      <c r="BE472" s="186"/>
      <c r="BF472" s="186"/>
      <c r="BG472" s="186"/>
      <c r="BH472" s="186"/>
      <c r="BI472" s="183">
        <f t="shared" si="186"/>
        <v>0</v>
      </c>
      <c r="BJ472" s="183">
        <f t="shared" si="187"/>
        <v>0</v>
      </c>
      <c r="BK472" s="183">
        <f t="shared" si="188"/>
        <v>0</v>
      </c>
      <c r="BL472" s="183">
        <f t="shared" si="189"/>
        <v>0</v>
      </c>
    </row>
    <row r="473" spans="1:64" s="187" customFormat="1" ht="15.75" hidden="1" customHeight="1" outlineLevel="3" x14ac:dyDescent="0.3">
      <c r="A473" s="185"/>
      <c r="B473" s="180" t="s">
        <v>2804</v>
      </c>
      <c r="C473" s="180" t="s">
        <v>83</v>
      </c>
      <c r="D473" s="180" t="s">
        <v>2952</v>
      </c>
      <c r="E473" s="185" t="s">
        <v>2804</v>
      </c>
      <c r="F473" s="185" t="s">
        <v>3363</v>
      </c>
      <c r="G473" s="185">
        <v>145</v>
      </c>
      <c r="H473" s="185" t="str">
        <f>IFERROR(VLOOKUP(G473,'2022. tervsor'!C:D,2,0)," ")</f>
        <v>H. adók.e. vám, illeték és adójell. befiz. ráf.</v>
      </c>
      <c r="I473" s="181">
        <f t="shared" si="183"/>
        <v>0</v>
      </c>
      <c r="J473" s="181">
        <f t="shared" si="190"/>
        <v>0</v>
      </c>
      <c r="K473" s="166">
        <f t="shared" si="170"/>
        <v>0</v>
      </c>
      <c r="L473" s="166">
        <f t="shared" si="191"/>
        <v>0</v>
      </c>
      <c r="M473" s="182"/>
      <c r="N473" s="166"/>
      <c r="O473" s="166"/>
      <c r="P473" s="166"/>
      <c r="Q473" s="166"/>
      <c r="R473" s="166"/>
      <c r="S473" s="166"/>
      <c r="T473" s="166"/>
      <c r="U473" s="166"/>
      <c r="V473" s="166"/>
      <c r="W473" s="166"/>
      <c r="X473" s="166"/>
      <c r="Y473" s="166"/>
      <c r="Z473" s="166"/>
      <c r="AA473" s="166"/>
      <c r="AB473" s="166"/>
      <c r="AC473" s="181"/>
      <c r="AD473" s="181"/>
      <c r="AE473" s="181"/>
      <c r="AF473" s="166"/>
      <c r="AG473" s="181"/>
      <c r="AH473" s="181"/>
      <c r="AI473" s="166"/>
      <c r="AJ473" s="166"/>
      <c r="AK473" s="166"/>
      <c r="AL473" s="166"/>
      <c r="AM473" s="166"/>
      <c r="AN473" s="166"/>
      <c r="AO473" s="166"/>
      <c r="AP473" s="166"/>
      <c r="AQ473" s="166"/>
      <c r="AR473" s="166"/>
      <c r="AS473" s="166"/>
      <c r="AT473" s="166"/>
      <c r="AU473" s="166"/>
      <c r="AV473" s="166"/>
      <c r="AW473" s="166"/>
      <c r="AX473" s="166"/>
      <c r="AY473" s="166"/>
      <c r="AZ473" s="186"/>
      <c r="BA473" s="186"/>
      <c r="BB473" s="186"/>
      <c r="BC473" s="186"/>
      <c r="BD473" s="186"/>
      <c r="BE473" s="186"/>
      <c r="BF473" s="186"/>
      <c r="BG473" s="186"/>
      <c r="BH473" s="186"/>
      <c r="BI473" s="183">
        <f t="shared" si="186"/>
        <v>0</v>
      </c>
      <c r="BJ473" s="183">
        <f t="shared" si="187"/>
        <v>0</v>
      </c>
      <c r="BK473" s="183">
        <f t="shared" si="188"/>
        <v>0</v>
      </c>
      <c r="BL473" s="183">
        <f t="shared" si="189"/>
        <v>0</v>
      </c>
    </row>
    <row r="474" spans="1:64" s="187" customFormat="1" ht="15.75" hidden="1" customHeight="1" outlineLevel="3" x14ac:dyDescent="0.3">
      <c r="A474" s="185"/>
      <c r="B474" s="180" t="s">
        <v>2804</v>
      </c>
      <c r="C474" s="180" t="s">
        <v>83</v>
      </c>
      <c r="D474" s="180" t="s">
        <v>2952</v>
      </c>
      <c r="E474" s="185" t="s">
        <v>2804</v>
      </c>
      <c r="F474" s="185" t="s">
        <v>3363</v>
      </c>
      <c r="G474" s="185">
        <v>146</v>
      </c>
      <c r="H474" s="185" t="str">
        <f>IFERROR(VLOOKUP(G474,'2022. tervsor'!C:D,2,0)," ")</f>
        <v>Díjak, egyéb befiz., ráford. tagsági díjak kiad.</v>
      </c>
      <c r="I474" s="181">
        <f t="shared" si="183"/>
        <v>0</v>
      </c>
      <c r="J474" s="181">
        <f t="shared" si="190"/>
        <v>0</v>
      </c>
      <c r="K474" s="166">
        <f t="shared" si="170"/>
        <v>0</v>
      </c>
      <c r="L474" s="166">
        <f t="shared" si="191"/>
        <v>0</v>
      </c>
      <c r="M474" s="182"/>
      <c r="N474" s="166"/>
      <c r="O474" s="166"/>
      <c r="P474" s="166"/>
      <c r="Q474" s="166"/>
      <c r="R474" s="166"/>
      <c r="S474" s="166"/>
      <c r="T474" s="166"/>
      <c r="U474" s="166"/>
      <c r="V474" s="166"/>
      <c r="W474" s="166"/>
      <c r="X474" s="166"/>
      <c r="Y474" s="166"/>
      <c r="Z474" s="166"/>
      <c r="AA474" s="166"/>
      <c r="AB474" s="166"/>
      <c r="AC474" s="181"/>
      <c r="AD474" s="181"/>
      <c r="AE474" s="181"/>
      <c r="AF474" s="166"/>
      <c r="AG474" s="181"/>
      <c r="AH474" s="181"/>
      <c r="AI474" s="166"/>
      <c r="AJ474" s="166"/>
      <c r="AK474" s="166"/>
      <c r="AL474" s="166"/>
      <c r="AM474" s="166"/>
      <c r="AN474" s="166"/>
      <c r="AO474" s="166"/>
      <c r="AP474" s="166"/>
      <c r="AQ474" s="166"/>
      <c r="AR474" s="166"/>
      <c r="AS474" s="166"/>
      <c r="AT474" s="166"/>
      <c r="AU474" s="166"/>
      <c r="AV474" s="166"/>
      <c r="AW474" s="166"/>
      <c r="AX474" s="166"/>
      <c r="AY474" s="166"/>
      <c r="AZ474" s="186"/>
      <c r="BA474" s="186"/>
      <c r="BB474" s="186"/>
      <c r="BC474" s="186"/>
      <c r="BD474" s="186"/>
      <c r="BE474" s="186"/>
      <c r="BF474" s="186"/>
      <c r="BG474" s="186"/>
      <c r="BH474" s="186"/>
      <c r="BI474" s="183">
        <f t="shared" si="186"/>
        <v>0</v>
      </c>
      <c r="BJ474" s="183">
        <f t="shared" si="187"/>
        <v>0</v>
      </c>
      <c r="BK474" s="183">
        <f t="shared" si="188"/>
        <v>0</v>
      </c>
      <c r="BL474" s="183">
        <f t="shared" si="189"/>
        <v>0</v>
      </c>
    </row>
    <row r="475" spans="1:64" s="187" customFormat="1" ht="15.75" hidden="1" customHeight="1" outlineLevel="3" x14ac:dyDescent="0.3">
      <c r="A475" s="185"/>
      <c r="B475" s="180" t="s">
        <v>2804</v>
      </c>
      <c r="C475" s="180" t="s">
        <v>83</v>
      </c>
      <c r="D475" s="180" t="s">
        <v>2952</v>
      </c>
      <c r="E475" s="185" t="s">
        <v>2804</v>
      </c>
      <c r="F475" s="185" t="s">
        <v>3363</v>
      </c>
      <c r="G475" s="185">
        <v>147</v>
      </c>
      <c r="H475" s="185" t="str">
        <f>IFERROR(VLOOKUP(G475,'2022. tervsor'!C:D,2,0)," ")</f>
        <v>Turizmusfejlesztési hozzájárulás (4%)</v>
      </c>
      <c r="I475" s="181">
        <f t="shared" si="183"/>
        <v>0</v>
      </c>
      <c r="J475" s="181">
        <f t="shared" si="190"/>
        <v>0</v>
      </c>
      <c r="K475" s="166">
        <f t="shared" si="170"/>
        <v>0</v>
      </c>
      <c r="L475" s="166">
        <f t="shared" si="191"/>
        <v>0</v>
      </c>
      <c r="M475" s="182"/>
      <c r="N475" s="166"/>
      <c r="O475" s="166"/>
      <c r="P475" s="166"/>
      <c r="Q475" s="166"/>
      <c r="R475" s="166"/>
      <c r="S475" s="166"/>
      <c r="T475" s="166"/>
      <c r="U475" s="166"/>
      <c r="V475" s="166"/>
      <c r="W475" s="166"/>
      <c r="X475" s="166"/>
      <c r="Y475" s="166"/>
      <c r="Z475" s="166"/>
      <c r="AA475" s="166"/>
      <c r="AB475" s="166"/>
      <c r="AC475" s="181"/>
      <c r="AD475" s="181"/>
      <c r="AE475" s="181"/>
      <c r="AF475" s="166"/>
      <c r="AG475" s="181"/>
      <c r="AH475" s="181"/>
      <c r="AI475" s="166"/>
      <c r="AJ475" s="166"/>
      <c r="AK475" s="166"/>
      <c r="AL475" s="166"/>
      <c r="AM475" s="166"/>
      <c r="AN475" s="166"/>
      <c r="AO475" s="166"/>
      <c r="AP475" s="166"/>
      <c r="AQ475" s="166"/>
      <c r="AR475" s="166"/>
      <c r="AS475" s="166"/>
      <c r="AT475" s="166"/>
      <c r="AU475" s="166"/>
      <c r="AV475" s="166"/>
      <c r="AW475" s="166"/>
      <c r="AX475" s="166"/>
      <c r="AY475" s="166"/>
      <c r="AZ475" s="186"/>
      <c r="BA475" s="186"/>
      <c r="BB475" s="186"/>
      <c r="BC475" s="186"/>
      <c r="BD475" s="186"/>
      <c r="BE475" s="186"/>
      <c r="BF475" s="186"/>
      <c r="BG475" s="186"/>
      <c r="BH475" s="186"/>
      <c r="BI475" s="183">
        <f t="shared" si="186"/>
        <v>0</v>
      </c>
      <c r="BJ475" s="183">
        <f t="shared" si="187"/>
        <v>0</v>
      </c>
      <c r="BK475" s="183">
        <f t="shared" si="188"/>
        <v>0</v>
      </c>
      <c r="BL475" s="183">
        <f t="shared" si="189"/>
        <v>0</v>
      </c>
    </row>
    <row r="476" spans="1:64" s="187" customFormat="1" ht="15.75" hidden="1" customHeight="1" outlineLevel="3" x14ac:dyDescent="0.3">
      <c r="A476" s="185"/>
      <c r="B476" s="180" t="s">
        <v>2804</v>
      </c>
      <c r="C476" s="180" t="s">
        <v>83</v>
      </c>
      <c r="D476" s="180" t="s">
        <v>2952</v>
      </c>
      <c r="E476" s="185" t="s">
        <v>2804</v>
      </c>
      <c r="F476" s="185" t="s">
        <v>3363</v>
      </c>
      <c r="G476" s="185">
        <v>148</v>
      </c>
      <c r="H476" s="185" t="str">
        <f>IFERROR(VLOOKUP(G476,'2022. tervsor'!C:D,2,0)," ")</f>
        <v>Különféle egyéb dologi kiad. miatti egyéb ráfordítások</v>
      </c>
      <c r="I476" s="181">
        <f>+J476</f>
        <v>0.45</v>
      </c>
      <c r="J476" s="181">
        <f t="shared" si="190"/>
        <v>0.45</v>
      </c>
      <c r="K476" s="166">
        <f t="shared" si="170"/>
        <v>0</v>
      </c>
      <c r="L476" s="166">
        <f t="shared" si="191"/>
        <v>0.45</v>
      </c>
      <c r="M476" s="182"/>
      <c r="N476" s="166"/>
      <c r="O476" s="166"/>
      <c r="P476" s="166"/>
      <c r="Q476" s="166"/>
      <c r="R476" s="166"/>
      <c r="S476" s="166"/>
      <c r="T476" s="166"/>
      <c r="U476" s="166"/>
      <c r="V476" s="166"/>
      <c r="W476" s="166"/>
      <c r="X476" s="166"/>
      <c r="Y476" s="166"/>
      <c r="Z476" s="166"/>
      <c r="AA476" s="166"/>
      <c r="AB476" s="166"/>
      <c r="AC476" s="181"/>
      <c r="AD476" s="181"/>
      <c r="AE476" s="181"/>
      <c r="AF476" s="166">
        <v>0.45</v>
      </c>
      <c r="AG476" s="181"/>
      <c r="AH476" s="181"/>
      <c r="AI476" s="166"/>
      <c r="AJ476" s="166"/>
      <c r="AK476" s="166"/>
      <c r="AL476" s="166"/>
      <c r="AM476" s="166"/>
      <c r="AN476" s="166"/>
      <c r="AO476" s="166"/>
      <c r="AP476" s="166"/>
      <c r="AQ476" s="166"/>
      <c r="AR476" s="166"/>
      <c r="AS476" s="166"/>
      <c r="AT476" s="166"/>
      <c r="AU476" s="166"/>
      <c r="AV476" s="166"/>
      <c r="AW476" s="166"/>
      <c r="AX476" s="166"/>
      <c r="AY476" s="166"/>
      <c r="AZ476" s="186"/>
      <c r="BA476" s="186"/>
      <c r="BB476" s="186"/>
      <c r="BC476" s="186"/>
      <c r="BD476" s="186"/>
      <c r="BE476" s="186"/>
      <c r="BF476" s="186"/>
      <c r="BG476" s="186"/>
      <c r="BH476" s="186"/>
      <c r="BI476" s="183">
        <f t="shared" si="186"/>
        <v>0</v>
      </c>
      <c r="BJ476" s="183">
        <f t="shared" si="187"/>
        <v>0</v>
      </c>
      <c r="BK476" s="183">
        <f t="shared" si="188"/>
        <v>0.45</v>
      </c>
      <c r="BL476" s="183">
        <f t="shared" si="189"/>
        <v>0</v>
      </c>
    </row>
    <row r="477" spans="1:64" s="187" customFormat="1" hidden="1" outlineLevel="3" x14ac:dyDescent="0.3">
      <c r="A477" s="185"/>
      <c r="B477" s="180" t="s">
        <v>2804</v>
      </c>
      <c r="C477" s="180" t="s">
        <v>83</v>
      </c>
      <c r="D477" s="180" t="s">
        <v>2952</v>
      </c>
      <c r="E477" s="185" t="s">
        <v>2804</v>
      </c>
      <c r="F477" s="185" t="s">
        <v>3363</v>
      </c>
      <c r="G477" s="185">
        <v>149</v>
      </c>
      <c r="H477" s="185" t="str">
        <f>IFERROR(VLOOKUP(G477,'2022. tervsor'!C:D,2,0)," ")</f>
        <v>Kollégiumok FK keret fele</v>
      </c>
      <c r="I477" s="181">
        <f>+J477</f>
        <v>0</v>
      </c>
      <c r="J477" s="181">
        <f t="shared" si="190"/>
        <v>0</v>
      </c>
      <c r="K477" s="166">
        <f t="shared" si="170"/>
        <v>0</v>
      </c>
      <c r="L477" s="166">
        <f t="shared" si="191"/>
        <v>0</v>
      </c>
      <c r="M477" s="182"/>
      <c r="N477" s="166"/>
      <c r="O477" s="166"/>
      <c r="P477" s="166"/>
      <c r="Q477" s="166"/>
      <c r="R477" s="166"/>
      <c r="S477" s="166"/>
      <c r="T477" s="166"/>
      <c r="U477" s="166"/>
      <c r="V477" s="166"/>
      <c r="W477" s="166"/>
      <c r="X477" s="166"/>
      <c r="Y477" s="166"/>
      <c r="Z477" s="166"/>
      <c r="AA477" s="166"/>
      <c r="AB477" s="166"/>
      <c r="AC477" s="181"/>
      <c r="AD477" s="181"/>
      <c r="AE477" s="181"/>
      <c r="AF477" s="166"/>
      <c r="AG477" s="181"/>
      <c r="AH477" s="181"/>
      <c r="AI477" s="166"/>
      <c r="AJ477" s="166"/>
      <c r="AK477" s="166"/>
      <c r="AL477" s="166"/>
      <c r="AM477" s="166"/>
      <c r="AN477" s="166"/>
      <c r="AO477" s="166"/>
      <c r="AP477" s="166"/>
      <c r="AQ477" s="166"/>
      <c r="AR477" s="166"/>
      <c r="AS477" s="166"/>
      <c r="AT477" s="166"/>
      <c r="AU477" s="166"/>
      <c r="AV477" s="166"/>
      <c r="AW477" s="166"/>
      <c r="AX477" s="166"/>
      <c r="AY477" s="166"/>
      <c r="AZ477" s="186"/>
      <c r="BA477" s="186"/>
      <c r="BB477" s="186"/>
      <c r="BC477" s="186"/>
      <c r="BD477" s="186"/>
      <c r="BE477" s="186"/>
      <c r="BF477" s="186"/>
      <c r="BG477" s="186"/>
      <c r="BH477" s="186"/>
      <c r="BI477" s="183">
        <f t="shared" si="186"/>
        <v>0</v>
      </c>
      <c r="BJ477" s="183">
        <f t="shared" si="187"/>
        <v>0</v>
      </c>
      <c r="BK477" s="183">
        <f t="shared" si="188"/>
        <v>0</v>
      </c>
      <c r="BL477" s="183">
        <f t="shared" si="189"/>
        <v>0</v>
      </c>
    </row>
    <row r="478" spans="1:64" s="187" customFormat="1" hidden="1" outlineLevel="2" collapsed="1" x14ac:dyDescent="0.3">
      <c r="A478" s="180" t="s">
        <v>67</v>
      </c>
      <c r="B478" s="180"/>
      <c r="C478" s="180"/>
      <c r="D478" s="180"/>
      <c r="E478" s="180" t="s">
        <v>71</v>
      </c>
      <c r="F478" s="180" t="s">
        <v>2790</v>
      </c>
      <c r="G478" s="207"/>
      <c r="H478" s="180" t="s">
        <v>2707</v>
      </c>
      <c r="I478" s="181">
        <f>IFERROR(VLOOKUP($A478,'Kiadások 2a SZH 2022'!$A:$M,MATCH($I$1,'Kiadások 2a SZH 2022'!$A$1:$M$1,0),0), )</f>
        <v>0</v>
      </c>
      <c r="J478" s="181">
        <f t="shared" si="190"/>
        <v>0</v>
      </c>
      <c r="K478" s="166">
        <f t="shared" si="170"/>
        <v>0</v>
      </c>
      <c r="L478" s="166">
        <f t="shared" si="191"/>
        <v>0</v>
      </c>
      <c r="M478" s="182"/>
      <c r="N478" s="166"/>
      <c r="O478" s="166"/>
      <c r="P478" s="166"/>
      <c r="Q478" s="166"/>
      <c r="R478" s="166"/>
      <c r="S478" s="166"/>
      <c r="T478" s="166"/>
      <c r="U478" s="166"/>
      <c r="V478" s="166"/>
      <c r="W478" s="166"/>
      <c r="X478" s="166"/>
      <c r="Y478" s="166"/>
      <c r="Z478" s="166"/>
      <c r="AA478" s="166"/>
      <c r="AB478" s="166"/>
      <c r="AC478" s="166">
        <f>+AC479+AC482</f>
        <v>0</v>
      </c>
      <c r="AD478" s="166">
        <f>+AD479+AD482</f>
        <v>0</v>
      </c>
      <c r="AE478" s="166">
        <f>+AE479+AE482</f>
        <v>0</v>
      </c>
      <c r="AF478" s="166"/>
      <c r="AG478" s="166">
        <f>+AG479+AG482</f>
        <v>0</v>
      </c>
      <c r="AH478" s="166">
        <f>+AH479+AH482</f>
        <v>0</v>
      </c>
      <c r="AI478" s="166"/>
      <c r="AJ478" s="166"/>
      <c r="AK478" s="166"/>
      <c r="AL478" s="166"/>
      <c r="AM478" s="166"/>
      <c r="AN478" s="166"/>
      <c r="AO478" s="166"/>
      <c r="AP478" s="166"/>
      <c r="AQ478" s="166"/>
      <c r="AR478" s="166"/>
      <c r="AS478" s="166"/>
      <c r="AT478" s="166"/>
      <c r="AU478" s="166"/>
      <c r="AV478" s="166"/>
      <c r="AW478" s="166"/>
      <c r="AX478" s="166"/>
      <c r="AY478" s="166"/>
      <c r="AZ478" s="186"/>
      <c r="BA478" s="186"/>
      <c r="BB478" s="186"/>
      <c r="BC478" s="186"/>
      <c r="BD478" s="186"/>
      <c r="BE478" s="186"/>
      <c r="BF478" s="186"/>
      <c r="BG478" s="186"/>
      <c r="BH478" s="186"/>
      <c r="BI478" s="183">
        <f t="shared" si="186"/>
        <v>0</v>
      </c>
      <c r="BJ478" s="183">
        <f t="shared" si="187"/>
        <v>0</v>
      </c>
      <c r="BK478" s="183">
        <f t="shared" si="188"/>
        <v>0</v>
      </c>
      <c r="BL478" s="183">
        <f t="shared" si="189"/>
        <v>0</v>
      </c>
    </row>
    <row r="479" spans="1:64" s="187" customFormat="1" hidden="1" outlineLevel="2" x14ac:dyDescent="0.3">
      <c r="A479" s="185"/>
      <c r="B479" s="180"/>
      <c r="C479" s="180"/>
      <c r="D479" s="180"/>
      <c r="E479" s="180" t="s">
        <v>2861</v>
      </c>
      <c r="F479" s="185"/>
      <c r="G479" s="185"/>
      <c r="H479" s="185" t="s">
        <v>2707</v>
      </c>
      <c r="I479" s="181">
        <f>SUM(I480:I481)</f>
        <v>0</v>
      </c>
      <c r="J479" s="181">
        <f t="shared" si="190"/>
        <v>0</v>
      </c>
      <c r="K479" s="166">
        <f t="shared" ref="K479:K484" si="194">+I479-J479</f>
        <v>0</v>
      </c>
      <c r="L479" s="166">
        <f t="shared" si="191"/>
        <v>0</v>
      </c>
      <c r="M479" s="182"/>
      <c r="N479" s="166"/>
      <c r="O479" s="166"/>
      <c r="P479" s="166"/>
      <c r="Q479" s="166"/>
      <c r="R479" s="166"/>
      <c r="S479" s="166"/>
      <c r="T479" s="166"/>
      <c r="U479" s="166"/>
      <c r="V479" s="166"/>
      <c r="W479" s="166"/>
      <c r="X479" s="166"/>
      <c r="Y479" s="166"/>
      <c r="Z479" s="166"/>
      <c r="AA479" s="166"/>
      <c r="AB479" s="166"/>
      <c r="AC479" s="166">
        <f>SUM(AC480:AC481)</f>
        <v>0</v>
      </c>
      <c r="AD479" s="166">
        <f>SUM(AD480:AD481)</f>
        <v>0</v>
      </c>
      <c r="AE479" s="166">
        <f>SUM(AE480:AE481)</f>
        <v>0</v>
      </c>
      <c r="AF479" s="166"/>
      <c r="AG479" s="166">
        <f>SUM(AG480:AG481)</f>
        <v>0</v>
      </c>
      <c r="AH479" s="166">
        <f>SUM(AH480:AH481)</f>
        <v>0</v>
      </c>
      <c r="AI479" s="166">
        <f>SUM(AI480:AI481)</f>
        <v>0</v>
      </c>
      <c r="AJ479" s="166"/>
      <c r="AK479" s="166"/>
      <c r="AL479" s="166"/>
      <c r="AM479" s="166"/>
      <c r="AN479" s="166"/>
      <c r="AO479" s="166"/>
      <c r="AP479" s="166"/>
      <c r="AQ479" s="166"/>
      <c r="AR479" s="166"/>
      <c r="AS479" s="166"/>
      <c r="AT479" s="166"/>
      <c r="AU479" s="166"/>
      <c r="AV479" s="166"/>
      <c r="AW479" s="166"/>
      <c r="AX479" s="166"/>
      <c r="AY479" s="166"/>
      <c r="AZ479" s="186"/>
      <c r="BA479" s="186"/>
      <c r="BB479" s="186"/>
      <c r="BC479" s="186"/>
      <c r="BD479" s="186"/>
      <c r="BE479" s="186"/>
      <c r="BF479" s="186"/>
      <c r="BG479" s="186"/>
      <c r="BH479" s="186"/>
      <c r="BI479" s="183">
        <f t="shared" si="186"/>
        <v>0</v>
      </c>
      <c r="BJ479" s="183">
        <f t="shared" si="187"/>
        <v>0</v>
      </c>
      <c r="BK479" s="183">
        <f t="shared" si="188"/>
        <v>0</v>
      </c>
      <c r="BL479" s="183">
        <f t="shared" si="189"/>
        <v>0</v>
      </c>
    </row>
    <row r="480" spans="1:64" s="187" customFormat="1" hidden="1" outlineLevel="2" x14ac:dyDescent="0.3">
      <c r="A480" s="201"/>
      <c r="B480" s="180" t="s">
        <v>2831</v>
      </c>
      <c r="C480" s="180" t="s">
        <v>83</v>
      </c>
      <c r="D480" s="180" t="s">
        <v>2944</v>
      </c>
      <c r="E480" s="185" t="s">
        <v>2862</v>
      </c>
      <c r="F480" s="204" t="s">
        <v>86</v>
      </c>
      <c r="G480" s="223"/>
      <c r="H480" s="221" t="s">
        <v>2679</v>
      </c>
      <c r="I480" s="196"/>
      <c r="J480" s="181">
        <f t="shared" si="190"/>
        <v>0</v>
      </c>
      <c r="K480" s="166">
        <f t="shared" si="194"/>
        <v>0</v>
      </c>
      <c r="L480" s="166">
        <f t="shared" si="191"/>
        <v>0</v>
      </c>
      <c r="M480" s="182"/>
      <c r="N480" s="166"/>
      <c r="O480" s="166"/>
      <c r="P480" s="166"/>
      <c r="Q480" s="166"/>
      <c r="R480" s="166"/>
      <c r="S480" s="166"/>
      <c r="T480" s="166"/>
      <c r="U480" s="166"/>
      <c r="V480" s="166"/>
      <c r="W480" s="166"/>
      <c r="X480" s="166"/>
      <c r="Y480" s="166"/>
      <c r="Z480" s="166"/>
      <c r="AA480" s="166"/>
      <c r="AB480" s="166"/>
      <c r="AC480" s="166"/>
      <c r="AD480" s="166"/>
      <c r="AE480" s="166"/>
      <c r="AF480" s="166"/>
      <c r="AG480" s="166"/>
      <c r="AH480" s="166">
        <f>+I480</f>
        <v>0</v>
      </c>
      <c r="AI480" s="166"/>
      <c r="AJ480" s="166"/>
      <c r="AK480" s="166"/>
      <c r="AL480" s="166"/>
      <c r="AM480" s="166"/>
      <c r="AN480" s="166"/>
      <c r="AO480" s="166"/>
      <c r="AP480" s="166"/>
      <c r="AQ480" s="166"/>
      <c r="AR480" s="166"/>
      <c r="AS480" s="166"/>
      <c r="AT480" s="166"/>
      <c r="AU480" s="166"/>
      <c r="AV480" s="166"/>
      <c r="AW480" s="166"/>
      <c r="AX480" s="166"/>
      <c r="AY480" s="166"/>
      <c r="AZ480" s="186"/>
      <c r="BA480" s="186"/>
      <c r="BB480" s="186"/>
      <c r="BC480" s="186"/>
      <c r="BD480" s="186"/>
      <c r="BE480" s="186"/>
      <c r="BF480" s="186"/>
      <c r="BG480" s="186"/>
      <c r="BH480" s="186"/>
      <c r="BI480" s="183">
        <f t="shared" si="186"/>
        <v>0</v>
      </c>
      <c r="BJ480" s="183">
        <f t="shared" si="187"/>
        <v>0</v>
      </c>
      <c r="BK480" s="183">
        <f t="shared" si="188"/>
        <v>0</v>
      </c>
      <c r="BL480" s="183">
        <f t="shared" si="189"/>
        <v>0</v>
      </c>
    </row>
    <row r="481" spans="1:68" s="187" customFormat="1" hidden="1" outlineLevel="2" x14ac:dyDescent="0.3">
      <c r="A481" s="185"/>
      <c r="B481" s="180" t="s">
        <v>2825</v>
      </c>
      <c r="C481" s="180" t="s">
        <v>83</v>
      </c>
      <c r="D481" s="180" t="s">
        <v>2945</v>
      </c>
      <c r="E481" s="185" t="s">
        <v>2863</v>
      </c>
      <c r="F481" s="185" t="s">
        <v>86</v>
      </c>
      <c r="G481" s="185"/>
      <c r="H481" s="221" t="s">
        <v>2679</v>
      </c>
      <c r="I481" s="196"/>
      <c r="J481" s="181">
        <f t="shared" si="190"/>
        <v>0</v>
      </c>
      <c r="K481" s="166">
        <f t="shared" si="194"/>
        <v>0</v>
      </c>
      <c r="L481" s="166">
        <f t="shared" si="191"/>
        <v>0</v>
      </c>
      <c r="M481" s="182"/>
      <c r="N481" s="166"/>
      <c r="O481" s="166"/>
      <c r="P481" s="166"/>
      <c r="Q481" s="166"/>
      <c r="R481" s="166"/>
      <c r="S481" s="166"/>
      <c r="T481" s="166"/>
      <c r="U481" s="166"/>
      <c r="V481" s="166"/>
      <c r="W481" s="166"/>
      <c r="X481" s="166"/>
      <c r="Y481" s="166"/>
      <c r="Z481" s="166"/>
      <c r="AA481" s="166"/>
      <c r="AB481" s="166"/>
      <c r="AC481" s="166"/>
      <c r="AD481" s="166"/>
      <c r="AE481" s="166"/>
      <c r="AF481" s="166"/>
      <c r="AG481" s="166"/>
      <c r="AH481" s="166">
        <f>+I481</f>
        <v>0</v>
      </c>
      <c r="AI481" s="166">
        <f>+I481</f>
        <v>0</v>
      </c>
      <c r="AJ481" s="166"/>
      <c r="AK481" s="166"/>
      <c r="AL481" s="166"/>
      <c r="AM481" s="166"/>
      <c r="AN481" s="166"/>
      <c r="AO481" s="166"/>
      <c r="AP481" s="166"/>
      <c r="AQ481" s="166"/>
      <c r="AR481" s="166"/>
      <c r="AS481" s="166"/>
      <c r="AT481" s="166"/>
      <c r="AU481" s="166"/>
      <c r="AV481" s="166"/>
      <c r="AW481" s="166"/>
      <c r="AX481" s="166"/>
      <c r="AY481" s="166"/>
      <c r="AZ481" s="186"/>
      <c r="BA481" s="186"/>
      <c r="BB481" s="186"/>
      <c r="BC481" s="186"/>
      <c r="BD481" s="186"/>
      <c r="BE481" s="186"/>
      <c r="BF481" s="186"/>
      <c r="BG481" s="186"/>
      <c r="BH481" s="186"/>
      <c r="BI481" s="183">
        <f t="shared" si="186"/>
        <v>0</v>
      </c>
      <c r="BJ481" s="183">
        <f t="shared" si="187"/>
        <v>0</v>
      </c>
      <c r="BK481" s="183">
        <f t="shared" si="188"/>
        <v>0</v>
      </c>
      <c r="BL481" s="183">
        <f t="shared" si="189"/>
        <v>0</v>
      </c>
    </row>
    <row r="482" spans="1:68" s="187" customFormat="1" hidden="1" outlineLevel="2" x14ac:dyDescent="0.3">
      <c r="A482" s="185"/>
      <c r="B482" s="180"/>
      <c r="C482" s="180"/>
      <c r="D482" s="180"/>
      <c r="E482" s="180" t="s">
        <v>2864</v>
      </c>
      <c r="F482" s="185"/>
      <c r="G482" s="185"/>
      <c r="H482" s="185" t="s">
        <v>2707</v>
      </c>
      <c r="I482" s="181">
        <f>SUM(I483:I484)</f>
        <v>0</v>
      </c>
      <c r="J482" s="181">
        <f t="shared" si="190"/>
        <v>0</v>
      </c>
      <c r="K482" s="166">
        <f t="shared" si="194"/>
        <v>0</v>
      </c>
      <c r="L482" s="166">
        <f t="shared" si="191"/>
        <v>0</v>
      </c>
      <c r="M482" s="182"/>
      <c r="N482" s="166"/>
      <c r="O482" s="166"/>
      <c r="P482" s="166"/>
      <c r="Q482" s="166"/>
      <c r="R482" s="166"/>
      <c r="S482" s="166"/>
      <c r="T482" s="166"/>
      <c r="U482" s="166"/>
      <c r="V482" s="166"/>
      <c r="W482" s="166"/>
      <c r="X482" s="166"/>
      <c r="Y482" s="166"/>
      <c r="Z482" s="166"/>
      <c r="AA482" s="166"/>
      <c r="AB482" s="166"/>
      <c r="AC482" s="166">
        <f>SUM(AC483:AC484)</f>
        <v>0</v>
      </c>
      <c r="AD482" s="166">
        <f>SUM(AD483:AD484)</f>
        <v>0</v>
      </c>
      <c r="AE482" s="166">
        <f>SUM(AE483:AE484)</f>
        <v>0</v>
      </c>
      <c r="AF482" s="166"/>
      <c r="AG482" s="166">
        <f>SUM(AG483:AG484)</f>
        <v>0</v>
      </c>
      <c r="AH482" s="166">
        <f>SUM(AH483:AH484)</f>
        <v>0</v>
      </c>
      <c r="AI482" s="166">
        <f>SUM(AI483:AI484)</f>
        <v>0</v>
      </c>
      <c r="AJ482" s="166"/>
      <c r="AK482" s="166"/>
      <c r="AL482" s="166"/>
      <c r="AM482" s="166"/>
      <c r="AN482" s="166"/>
      <c r="AO482" s="166"/>
      <c r="AP482" s="166"/>
      <c r="AQ482" s="166"/>
      <c r="AR482" s="166"/>
      <c r="AS482" s="166"/>
      <c r="AT482" s="166"/>
      <c r="AU482" s="166"/>
      <c r="AV482" s="166"/>
      <c r="AW482" s="166"/>
      <c r="AX482" s="166"/>
      <c r="AY482" s="166"/>
      <c r="AZ482" s="186"/>
      <c r="BA482" s="186"/>
      <c r="BB482" s="186"/>
      <c r="BC482" s="186"/>
      <c r="BD482" s="186"/>
      <c r="BE482" s="186"/>
      <c r="BF482" s="186"/>
      <c r="BG482" s="186"/>
      <c r="BH482" s="186"/>
      <c r="BI482" s="183">
        <f t="shared" si="186"/>
        <v>0</v>
      </c>
      <c r="BJ482" s="183">
        <f t="shared" si="187"/>
        <v>0</v>
      </c>
      <c r="BK482" s="183">
        <f t="shared" si="188"/>
        <v>0</v>
      </c>
      <c r="BL482" s="183">
        <f t="shared" si="189"/>
        <v>0</v>
      </c>
    </row>
    <row r="483" spans="1:68" s="187" customFormat="1" hidden="1" outlineLevel="2" x14ac:dyDescent="0.3">
      <c r="A483" s="185"/>
      <c r="B483" s="180" t="s">
        <v>2831</v>
      </c>
      <c r="C483" s="180" t="s">
        <v>83</v>
      </c>
      <c r="D483" s="180" t="s">
        <v>2944</v>
      </c>
      <c r="E483" s="185" t="s">
        <v>2865</v>
      </c>
      <c r="F483" s="185" t="s">
        <v>83</v>
      </c>
      <c r="G483" s="185"/>
      <c r="H483" s="222" t="s">
        <v>2857</v>
      </c>
      <c r="I483" s="196"/>
      <c r="J483" s="181">
        <f t="shared" si="190"/>
        <v>0</v>
      </c>
      <c r="K483" s="166">
        <f t="shared" si="194"/>
        <v>0</v>
      </c>
      <c r="L483" s="166">
        <f t="shared" si="191"/>
        <v>0</v>
      </c>
      <c r="M483" s="182"/>
      <c r="N483" s="166"/>
      <c r="O483" s="166"/>
      <c r="P483" s="166"/>
      <c r="Q483" s="166"/>
      <c r="R483" s="166"/>
      <c r="S483" s="166"/>
      <c r="T483" s="166"/>
      <c r="U483" s="166"/>
      <c r="V483" s="166"/>
      <c r="W483" s="166"/>
      <c r="X483" s="166"/>
      <c r="Y483" s="166"/>
      <c r="Z483" s="166"/>
      <c r="AA483" s="166"/>
      <c r="AB483" s="166"/>
      <c r="AC483" s="166"/>
      <c r="AD483" s="166"/>
      <c r="AE483" s="166"/>
      <c r="AF483" s="166"/>
      <c r="AG483" s="166"/>
      <c r="AH483" s="166">
        <f>+I483</f>
        <v>0</v>
      </c>
      <c r="AI483" s="166">
        <f>+I483</f>
        <v>0</v>
      </c>
      <c r="AJ483" s="166"/>
      <c r="AK483" s="166"/>
      <c r="AL483" s="166"/>
      <c r="AM483" s="166"/>
      <c r="AN483" s="166"/>
      <c r="AO483" s="166"/>
      <c r="AP483" s="166"/>
      <c r="AQ483" s="166"/>
      <c r="AR483" s="166"/>
      <c r="AS483" s="166"/>
      <c r="AT483" s="166"/>
      <c r="AU483" s="166"/>
      <c r="AV483" s="166"/>
      <c r="AW483" s="166"/>
      <c r="AX483" s="166"/>
      <c r="AY483" s="166"/>
      <c r="AZ483" s="186"/>
      <c r="BA483" s="186"/>
      <c r="BB483" s="186"/>
      <c r="BC483" s="186"/>
      <c r="BD483" s="186"/>
      <c r="BE483" s="186"/>
      <c r="BF483" s="186"/>
      <c r="BG483" s="186"/>
      <c r="BH483" s="186"/>
      <c r="BI483" s="183">
        <f t="shared" si="186"/>
        <v>0</v>
      </c>
      <c r="BJ483" s="183">
        <f t="shared" si="187"/>
        <v>0</v>
      </c>
      <c r="BK483" s="183">
        <f t="shared" si="188"/>
        <v>0</v>
      </c>
      <c r="BL483" s="183">
        <f t="shared" si="189"/>
        <v>0</v>
      </c>
    </row>
    <row r="484" spans="1:68" s="187" customFormat="1" hidden="1" outlineLevel="2" x14ac:dyDescent="0.3">
      <c r="A484" s="185"/>
      <c r="B484" s="180" t="s">
        <v>2825</v>
      </c>
      <c r="C484" s="180" t="s">
        <v>83</v>
      </c>
      <c r="D484" s="180" t="s">
        <v>2945</v>
      </c>
      <c r="E484" s="185" t="s">
        <v>2866</v>
      </c>
      <c r="F484" s="185" t="s">
        <v>83</v>
      </c>
      <c r="G484" s="185"/>
      <c r="H484" s="222" t="s">
        <v>2857</v>
      </c>
      <c r="I484" s="181">
        <f>+I478-I479-I483</f>
        <v>0</v>
      </c>
      <c r="J484" s="181">
        <f t="shared" si="190"/>
        <v>0</v>
      </c>
      <c r="K484" s="166">
        <f t="shared" si="194"/>
        <v>0</v>
      </c>
      <c r="L484" s="166">
        <f t="shared" si="191"/>
        <v>0</v>
      </c>
      <c r="M484" s="182"/>
      <c r="N484" s="166"/>
      <c r="O484" s="166"/>
      <c r="P484" s="166"/>
      <c r="Q484" s="166"/>
      <c r="R484" s="166"/>
      <c r="S484" s="166"/>
      <c r="T484" s="166"/>
      <c r="U484" s="166"/>
      <c r="V484" s="166"/>
      <c r="W484" s="166"/>
      <c r="X484" s="166"/>
      <c r="Y484" s="166"/>
      <c r="Z484" s="166"/>
      <c r="AA484" s="166"/>
      <c r="AB484" s="166"/>
      <c r="AC484" s="166"/>
      <c r="AD484" s="166"/>
      <c r="AE484" s="166"/>
      <c r="AF484" s="166"/>
      <c r="AG484" s="166"/>
      <c r="AH484" s="166">
        <f>+I484</f>
        <v>0</v>
      </c>
      <c r="AI484" s="166"/>
      <c r="AJ484" s="166"/>
      <c r="AK484" s="166"/>
      <c r="AL484" s="166"/>
      <c r="AM484" s="166"/>
      <c r="AN484" s="166"/>
      <c r="AO484" s="166"/>
      <c r="AP484" s="166"/>
      <c r="AQ484" s="166"/>
      <c r="AR484" s="166"/>
      <c r="AS484" s="166"/>
      <c r="AT484" s="166"/>
      <c r="AU484" s="166"/>
      <c r="AV484" s="166"/>
      <c r="AW484" s="166"/>
      <c r="AX484" s="166"/>
      <c r="AY484" s="166"/>
      <c r="AZ484" s="186"/>
      <c r="BA484" s="186"/>
      <c r="BB484" s="186"/>
      <c r="BC484" s="186"/>
      <c r="BD484" s="186"/>
      <c r="BE484" s="186"/>
      <c r="BF484" s="186"/>
      <c r="BG484" s="186"/>
      <c r="BH484" s="186"/>
      <c r="BI484" s="183">
        <f t="shared" si="186"/>
        <v>0</v>
      </c>
      <c r="BJ484" s="183">
        <f t="shared" si="187"/>
        <v>0</v>
      </c>
      <c r="BK484" s="183">
        <f t="shared" si="188"/>
        <v>0</v>
      </c>
      <c r="BL484" s="183">
        <f t="shared" si="189"/>
        <v>0</v>
      </c>
    </row>
    <row r="485" spans="1:68" s="187" customFormat="1" x14ac:dyDescent="0.3">
      <c r="A485" s="226"/>
      <c r="B485" s="226" t="s">
        <v>2907</v>
      </c>
      <c r="C485" s="226" t="s">
        <v>2918</v>
      </c>
      <c r="D485" s="226" t="s">
        <v>2953</v>
      </c>
      <c r="E485" s="226" t="str">
        <f>+B485</f>
        <v>KIADÁSOK ÖSSZESEN</v>
      </c>
      <c r="F485" s="226"/>
      <c r="G485" s="226"/>
      <c r="H485" s="226"/>
      <c r="I485" s="218">
        <f>I500+I501</f>
        <v>744011547.28379846</v>
      </c>
      <c r="J485" s="218">
        <f t="shared" ref="J485:BH485" si="195">J500+J501</f>
        <v>744011547.69022119</v>
      </c>
      <c r="K485" s="218">
        <f t="shared" si="195"/>
        <v>-0.40642275020945817</v>
      </c>
      <c r="L485" s="218">
        <f t="shared" si="195"/>
        <v>744011547.69022119</v>
      </c>
      <c r="M485" s="218"/>
      <c r="N485" s="218">
        <f t="shared" si="195"/>
        <v>64268808.564255498</v>
      </c>
      <c r="O485" s="218">
        <f t="shared" ref="O485:Z485" si="196">O500+O501</f>
        <v>66401597.386047892</v>
      </c>
      <c r="P485" s="218">
        <f t="shared" si="196"/>
        <v>11508583.581264475</v>
      </c>
      <c r="Q485" s="218">
        <f t="shared" si="196"/>
        <v>62775763.648400739</v>
      </c>
      <c r="R485" s="218">
        <f t="shared" si="196"/>
        <v>23007352.219087724</v>
      </c>
      <c r="S485" s="218">
        <f t="shared" si="196"/>
        <v>38135905.181016594</v>
      </c>
      <c r="T485" s="218">
        <f t="shared" si="196"/>
        <v>14259486.639443561</v>
      </c>
      <c r="U485" s="218">
        <f t="shared" si="196"/>
        <v>38795992.605803646</v>
      </c>
      <c r="V485" s="218">
        <f t="shared" si="196"/>
        <v>50756076.835279368</v>
      </c>
      <c r="W485" s="218">
        <f t="shared" si="196"/>
        <v>30388940.683660969</v>
      </c>
      <c r="X485" s="218">
        <f t="shared" si="196"/>
        <v>13302001.118406294</v>
      </c>
      <c r="Y485" s="218">
        <f t="shared" si="196"/>
        <v>46704610.100015312</v>
      </c>
      <c r="Z485" s="218">
        <f t="shared" si="196"/>
        <v>34065489.437317915</v>
      </c>
      <c r="AA485" s="218">
        <f t="shared" si="195"/>
        <v>63814260</v>
      </c>
      <c r="AB485" s="218">
        <f t="shared" si="195"/>
        <v>11496440</v>
      </c>
      <c r="AC485" s="218">
        <f t="shared" si="195"/>
        <v>386120</v>
      </c>
      <c r="AD485" s="218">
        <f t="shared" si="195"/>
        <v>0</v>
      </c>
      <c r="AE485" s="218">
        <f t="shared" si="195"/>
        <v>0</v>
      </c>
      <c r="AF485" s="218">
        <f>AF500+AF501</f>
        <v>14607069.132306892</v>
      </c>
      <c r="AG485" s="218">
        <f>AG500+AG501</f>
        <v>42844292</v>
      </c>
      <c r="AH485" s="218">
        <f t="shared" si="195"/>
        <v>0</v>
      </c>
      <c r="AI485" s="218">
        <f t="shared" si="195"/>
        <v>0</v>
      </c>
      <c r="AJ485" s="218">
        <f t="shared" si="195"/>
        <v>0</v>
      </c>
      <c r="AK485" s="218">
        <f t="shared" si="195"/>
        <v>0</v>
      </c>
      <c r="AL485" s="218">
        <f t="shared" si="195"/>
        <v>0</v>
      </c>
      <c r="AM485" s="218">
        <f t="shared" si="195"/>
        <v>116492758.55791421</v>
      </c>
      <c r="AN485" s="218">
        <f t="shared" si="195"/>
        <v>0</v>
      </c>
      <c r="AO485" s="218">
        <f t="shared" si="195"/>
        <v>0</v>
      </c>
      <c r="AP485" s="218">
        <f t="shared" si="195"/>
        <v>0</v>
      </c>
      <c r="AQ485" s="218">
        <f t="shared" si="195"/>
        <v>0</v>
      </c>
      <c r="AR485" s="218">
        <f t="shared" si="195"/>
        <v>0</v>
      </c>
      <c r="AS485" s="218">
        <f t="shared" si="195"/>
        <v>0</v>
      </c>
      <c r="AT485" s="218">
        <f t="shared" si="195"/>
        <v>0</v>
      </c>
      <c r="AU485" s="218">
        <f t="shared" si="195"/>
        <v>0</v>
      </c>
      <c r="AV485" s="218">
        <f t="shared" si="195"/>
        <v>0</v>
      </c>
      <c r="AW485" s="218">
        <f t="shared" si="195"/>
        <v>0</v>
      </c>
      <c r="AX485" s="218">
        <f t="shared" si="195"/>
        <v>0</v>
      </c>
      <c r="AY485" s="218">
        <f t="shared" si="195"/>
        <v>0</v>
      </c>
      <c r="AZ485" s="218">
        <f t="shared" si="195"/>
        <v>0</v>
      </c>
      <c r="BA485" s="218">
        <f t="shared" si="195"/>
        <v>0</v>
      </c>
      <c r="BB485" s="218">
        <f t="shared" si="195"/>
        <v>0</v>
      </c>
      <c r="BC485" s="218">
        <f t="shared" si="195"/>
        <v>0</v>
      </c>
      <c r="BD485" s="218">
        <f t="shared" si="195"/>
        <v>0</v>
      </c>
      <c r="BE485" s="218">
        <f>BE500+BE501</f>
        <v>0</v>
      </c>
      <c r="BF485" s="218">
        <f t="shared" si="195"/>
        <v>0</v>
      </c>
      <c r="BG485" s="218">
        <f t="shared" si="195"/>
        <v>0</v>
      </c>
      <c r="BH485" s="218">
        <f t="shared" si="195"/>
        <v>0</v>
      </c>
      <c r="BI485" s="218">
        <f>BI500+BI501</f>
        <v>558184868</v>
      </c>
      <c r="BJ485" s="218">
        <f t="shared" si="187"/>
        <v>11496440</v>
      </c>
      <c r="BK485" s="218">
        <f t="shared" si="188"/>
        <v>174330239.6902211</v>
      </c>
      <c r="BL485" s="218">
        <f t="shared" si="189"/>
        <v>0</v>
      </c>
    </row>
    <row r="486" spans="1:68" s="187" customFormat="1" ht="62.4" x14ac:dyDescent="0.3">
      <c r="A486" s="226"/>
      <c r="B486" s="215" t="s">
        <v>3361</v>
      </c>
      <c r="C486" s="226" t="s">
        <v>3030</v>
      </c>
      <c r="D486" s="226" t="s">
        <v>3029</v>
      </c>
      <c r="E486" s="215" t="str">
        <f>+B486</f>
        <v>KORRIGÁLT EGYENLEG (KARI BELSŐ POZÍCIÓ)</v>
      </c>
      <c r="F486" s="226"/>
      <c r="G486" s="226"/>
      <c r="H486" s="226"/>
      <c r="I486" s="218">
        <f t="shared" ref="I486:AN486" si="197">+I181-I485+I182+I184+I189</f>
        <v>17687135.571144342</v>
      </c>
      <c r="J486" s="218">
        <f t="shared" si="197"/>
        <v>17687133.745448001</v>
      </c>
      <c r="K486" s="218">
        <f t="shared" si="197"/>
        <v>1.8256964880274609</v>
      </c>
      <c r="L486" s="218">
        <f t="shared" si="197"/>
        <v>271873377.69263148</v>
      </c>
      <c r="M486" s="218">
        <f t="shared" si="197"/>
        <v>0</v>
      </c>
      <c r="N486" s="218">
        <f t="shared" si="197"/>
        <v>49421055.486835524</v>
      </c>
      <c r="O486" s="218">
        <f t="shared" si="197"/>
        <v>-41551691.270536304</v>
      </c>
      <c r="P486" s="218">
        <f t="shared" si="197"/>
        <v>-2764465.0868304912</v>
      </c>
      <c r="Q486" s="218">
        <f t="shared" si="197"/>
        <v>-25844337.437222287</v>
      </c>
      <c r="R486" s="218">
        <f t="shared" si="197"/>
        <v>-8751072.0362535249</v>
      </c>
      <c r="S486" s="218">
        <f t="shared" si="197"/>
        <v>-2975028.5952148135</v>
      </c>
      <c r="T486" s="218">
        <f t="shared" si="197"/>
        <v>7735018.8982277662</v>
      </c>
      <c r="U486" s="218">
        <f t="shared" si="197"/>
        <v>2630956.9234969518</v>
      </c>
      <c r="V486" s="218">
        <f t="shared" si="197"/>
        <v>-4900499.4456215408</v>
      </c>
      <c r="W486" s="218">
        <f t="shared" si="197"/>
        <v>1261852.1810791288</v>
      </c>
      <c r="X486" s="218">
        <f t="shared" si="197"/>
        <v>7947890.5456424691</v>
      </c>
      <c r="Y486" s="218">
        <f t="shared" si="197"/>
        <v>38307984.098358519</v>
      </c>
      <c r="Z486" s="218">
        <f t="shared" si="197"/>
        <v>-16347647.929015124</v>
      </c>
      <c r="AA486" s="218">
        <f t="shared" si="197"/>
        <v>-0.43181790411472321</v>
      </c>
      <c r="AB486" s="218">
        <f t="shared" si="197"/>
        <v>-0.12582006677985191</v>
      </c>
      <c r="AC486" s="218">
        <f t="shared" si="197"/>
        <v>13517119.113053955</v>
      </c>
      <c r="AD486" s="218">
        <f t="shared" si="197"/>
        <v>0</v>
      </c>
      <c r="AE486" s="218">
        <f t="shared" si="197"/>
        <v>0</v>
      </c>
      <c r="AF486" s="218">
        <f t="shared" si="197"/>
        <v>-0.70499999821186066</v>
      </c>
      <c r="AG486" s="218">
        <f t="shared" si="197"/>
        <v>0</v>
      </c>
      <c r="AH486" s="218">
        <f t="shared" si="197"/>
        <v>0</v>
      </c>
      <c r="AI486" s="218">
        <f t="shared" si="197"/>
        <v>0</v>
      </c>
      <c r="AJ486" s="218">
        <f t="shared" si="197"/>
        <v>0</v>
      </c>
      <c r="AK486" s="218">
        <f t="shared" si="197"/>
        <v>0</v>
      </c>
      <c r="AL486" s="218">
        <f t="shared" si="197"/>
        <v>0</v>
      </c>
      <c r="AM486" s="218">
        <f t="shared" si="197"/>
        <v>-0.43791420757770538</v>
      </c>
      <c r="AN486" s="218">
        <f t="shared" si="197"/>
        <v>1911197</v>
      </c>
      <c r="AO486" s="218">
        <f t="shared" ref="AO486:BH486" si="198">+AO181-AO485+AO182+AO184+AO189</f>
        <v>178656704.64255401</v>
      </c>
      <c r="AP486" s="218">
        <f t="shared" si="198"/>
        <v>40180860</v>
      </c>
      <c r="AQ486" s="218">
        <f t="shared" si="198"/>
        <v>157177.68975872546</v>
      </c>
      <c r="AR486" s="218">
        <f t="shared" si="198"/>
        <v>4701492.2274356307</v>
      </c>
      <c r="AS486" s="218">
        <f t="shared" si="198"/>
        <v>0</v>
      </c>
      <c r="AT486" s="218">
        <f t="shared" si="198"/>
        <v>0</v>
      </c>
      <c r="AU486" s="218">
        <f t="shared" si="198"/>
        <v>0</v>
      </c>
      <c r="AV486" s="218">
        <f t="shared" si="198"/>
        <v>0</v>
      </c>
      <c r="AW486" s="218">
        <f t="shared" si="198"/>
        <v>0</v>
      </c>
      <c r="AX486" s="218">
        <f t="shared" si="198"/>
        <v>0</v>
      </c>
      <c r="AY486" s="218">
        <f t="shared" si="198"/>
        <v>9239068.3874350004</v>
      </c>
      <c r="AZ486" s="218">
        <f t="shared" si="198"/>
        <v>0</v>
      </c>
      <c r="BA486" s="218">
        <f t="shared" si="198"/>
        <v>0</v>
      </c>
      <c r="BB486" s="218">
        <f t="shared" si="198"/>
        <v>0</v>
      </c>
      <c r="BC486" s="218">
        <f t="shared" si="198"/>
        <v>0</v>
      </c>
      <c r="BD486" s="218">
        <f t="shared" si="198"/>
        <v>0</v>
      </c>
      <c r="BE486" s="218">
        <f t="shared" si="198"/>
        <v>0</v>
      </c>
      <c r="BF486" s="218">
        <f t="shared" si="198"/>
        <v>19339744</v>
      </c>
      <c r="BG486" s="218">
        <f t="shared" si="198"/>
        <v>0</v>
      </c>
      <c r="BH486" s="218">
        <f t="shared" si="198"/>
        <v>0</v>
      </c>
      <c r="BI486" s="218">
        <f>+SUM(N486:AA486)</f>
        <v>4170015.9011283685</v>
      </c>
      <c r="BJ486" s="218">
        <f t="shared" si="187"/>
        <v>-0.12582006677985191</v>
      </c>
      <c r="BK486" s="218">
        <f t="shared" si="188"/>
        <v>13517117.970139749</v>
      </c>
      <c r="BL486" s="218">
        <f t="shared" si="189"/>
        <v>254186243.94718334</v>
      </c>
      <c r="BP486" s="230"/>
    </row>
    <row r="487" spans="1:68" s="187" customFormat="1" ht="46.8" collapsed="1" x14ac:dyDescent="0.3">
      <c r="A487" s="418">
        <v>52</v>
      </c>
      <c r="B487" s="215" t="s">
        <v>3019</v>
      </c>
      <c r="C487" s="226" t="s">
        <v>82</v>
      </c>
      <c r="D487" s="226" t="s">
        <v>3028</v>
      </c>
      <c r="E487" s="215" t="str">
        <f>+B487</f>
        <v>BDPK KERESZTFINANSZÍROZÁS</v>
      </c>
      <c r="F487" s="226" t="s">
        <v>2791</v>
      </c>
      <c r="G487" s="226"/>
      <c r="H487" s="226"/>
      <c r="I487" s="218">
        <f>IFERROR(VLOOKUP($A487,'Bevétel 2a SZH 2022'!$B:$M,MATCH($I$1,'Bevétel 2a SZH 2022'!$B$1:$M$1,0),0), )</f>
        <v>0</v>
      </c>
      <c r="J487" s="218">
        <f>SUM(N487:AM487)</f>
        <v>0</v>
      </c>
      <c r="K487" s="218">
        <f>+I487-J487</f>
        <v>0</v>
      </c>
      <c r="L487" s="218">
        <f>SUM(N487:BH487)</f>
        <v>0</v>
      </c>
      <c r="M487" s="218"/>
      <c r="N487" s="218">
        <f>SUM(N488:N489)</f>
        <v>0</v>
      </c>
      <c r="O487" s="218">
        <f>SUM(O488:O489)</f>
        <v>0</v>
      </c>
      <c r="P487" s="218">
        <f t="shared" ref="P487:Z487" si="199">SUM(P488:P489)</f>
        <v>0</v>
      </c>
      <c r="Q487" s="218">
        <f t="shared" si="199"/>
        <v>0</v>
      </c>
      <c r="R487" s="218">
        <f t="shared" si="199"/>
        <v>0</v>
      </c>
      <c r="S487" s="218">
        <f t="shared" si="199"/>
        <v>0</v>
      </c>
      <c r="T487" s="218">
        <f t="shared" si="199"/>
        <v>0</v>
      </c>
      <c r="U487" s="218">
        <f t="shared" si="199"/>
        <v>0</v>
      </c>
      <c r="V487" s="218">
        <f t="shared" si="199"/>
        <v>0</v>
      </c>
      <c r="W487" s="218">
        <f t="shared" si="199"/>
        <v>0</v>
      </c>
      <c r="X487" s="218">
        <f t="shared" si="199"/>
        <v>0</v>
      </c>
      <c r="Y487" s="218">
        <f t="shared" si="199"/>
        <v>0</v>
      </c>
      <c r="Z487" s="218">
        <f t="shared" si="199"/>
        <v>0</v>
      </c>
      <c r="AA487" s="218">
        <f>SUM(AA488:AA489)</f>
        <v>0</v>
      </c>
      <c r="AB487" s="218">
        <f>SUM(AB488:AB489)</f>
        <v>0</v>
      </c>
      <c r="AC487" s="218"/>
      <c r="AD487" s="218"/>
      <c r="AE487" s="218"/>
      <c r="AF487" s="218"/>
      <c r="AG487" s="218"/>
      <c r="AH487" s="218"/>
      <c r="AI487" s="218"/>
      <c r="AJ487" s="218"/>
      <c r="AK487" s="218"/>
      <c r="AL487" s="218"/>
      <c r="AM487" s="218"/>
      <c r="AN487" s="218"/>
      <c r="AO487" s="218"/>
      <c r="AP487" s="218"/>
      <c r="AQ487" s="218"/>
      <c r="AR487" s="218"/>
      <c r="AS487" s="218"/>
      <c r="AT487" s="218"/>
      <c r="AU487" s="218"/>
      <c r="AV487" s="218"/>
      <c r="AW487" s="218"/>
      <c r="AX487" s="218"/>
      <c r="AY487" s="218"/>
      <c r="AZ487" s="218"/>
      <c r="BA487" s="218"/>
      <c r="BB487" s="218"/>
      <c r="BC487" s="218"/>
      <c r="BD487" s="218"/>
      <c r="BE487" s="218"/>
      <c r="BF487" s="218"/>
      <c r="BG487" s="218">
        <f>SUM(BG488:BG489)</f>
        <v>0</v>
      </c>
      <c r="BH487" s="218"/>
      <c r="BI487" s="218">
        <f>+SUM(N487:AA487)</f>
        <v>0</v>
      </c>
      <c r="BJ487" s="218">
        <f t="shared" si="187"/>
        <v>0</v>
      </c>
      <c r="BK487" s="218">
        <f t="shared" si="188"/>
        <v>0</v>
      </c>
      <c r="BL487" s="218">
        <f t="shared" si="189"/>
        <v>0</v>
      </c>
    </row>
    <row r="488" spans="1:68" s="187" customFormat="1" ht="18" hidden="1" customHeight="1" outlineLevel="1" x14ac:dyDescent="0.3">
      <c r="A488" s="204"/>
      <c r="B488" s="205"/>
      <c r="C488" s="204"/>
      <c r="D488" s="204"/>
      <c r="E488" s="204"/>
      <c r="F488" s="204" t="s">
        <v>82</v>
      </c>
      <c r="G488" s="204">
        <v>334</v>
      </c>
      <c r="H488" s="185">
        <f>IFERROR(VLOOKUP(G488,'2022. tervsor'!C:D,2,0)," ")</f>
        <v>0</v>
      </c>
      <c r="I488" s="270">
        <f>I487</f>
        <v>0</v>
      </c>
      <c r="J488" s="270">
        <f>SUM(N488:AM488)</f>
        <v>0</v>
      </c>
      <c r="K488" s="270">
        <f>+I488-J488</f>
        <v>0</v>
      </c>
      <c r="L488" s="270">
        <f>SUM(N488:BH488)</f>
        <v>0</v>
      </c>
      <c r="M488" s="716">
        <v>2</v>
      </c>
      <c r="N488" s="270">
        <f>IFERROR(VLOOKUP($M488,'1 b felosztások'!$A:$U,'1 b felosztások'!C$2,0)*$I488,0)</f>
        <v>0</v>
      </c>
      <c r="O488" s="270">
        <f>IFERROR(VLOOKUP($M488,'1 b felosztások'!$A:$U,'1 b felosztások'!D$2,0)*$I488,0)</f>
        <v>0</v>
      </c>
      <c r="P488" s="270">
        <f>IFERROR(VLOOKUP($M488,'1 b felosztások'!$A:$U,'1 b felosztások'!E$2,0)*$I488,0)</f>
        <v>0</v>
      </c>
      <c r="Q488" s="270">
        <f>IFERROR(VLOOKUP($M488,'1 b felosztások'!$A:$U,'1 b felosztások'!F$2,0)*$I488,0)</f>
        <v>0</v>
      </c>
      <c r="R488" s="270">
        <f>IFERROR(VLOOKUP($M488,'1 b felosztások'!$A:$U,'1 b felosztások'!G$2,0)*$I488,0)</f>
        <v>0</v>
      </c>
      <c r="S488" s="270">
        <f>IFERROR(VLOOKUP($M488,'1 b felosztások'!$A:$U,'1 b felosztások'!H$2,0)*$I488,0)</f>
        <v>0</v>
      </c>
      <c r="T488" s="270">
        <f>IFERROR(VLOOKUP($M488,'1 b felosztások'!$A:$U,'1 b felosztások'!I$2,0)*$I488,0)</f>
        <v>0</v>
      </c>
      <c r="U488" s="270">
        <f>IFERROR(VLOOKUP($M488,'1 b felosztások'!$A:$U,'1 b felosztások'!J$2,0)*$I488,0)</f>
        <v>0</v>
      </c>
      <c r="V488" s="270">
        <f>IFERROR(VLOOKUP($M488,'1 b felosztások'!$A:$U,'1 b felosztások'!K$2,0)*$I488,0)</f>
        <v>0</v>
      </c>
      <c r="W488" s="270">
        <f>IFERROR(VLOOKUP($M488,'1 b felosztások'!$A:$U,'1 b felosztások'!L$2,0)*$I488,0)</f>
        <v>0</v>
      </c>
      <c r="X488" s="270">
        <f>IFERROR(VLOOKUP($M488,'1 b felosztások'!$A:$U,'1 b felosztások'!M$2,0)*$I488,0)</f>
        <v>0</v>
      </c>
      <c r="Y488" s="270">
        <f>IFERROR(VLOOKUP($M488,'1 b felosztások'!$A:$U,'1 b felosztások'!N$2,0)*$I488,0)</f>
        <v>0</v>
      </c>
      <c r="Z488" s="270">
        <f>IFERROR(VLOOKUP($M488,'1 b felosztások'!$A:$U,'1 b felosztások'!O$2,0)*$I488,0)</f>
        <v>0</v>
      </c>
      <c r="AA488" s="270">
        <f>IFERROR(VLOOKUP($M488,'1 b felosztások'!$A:$U,'1 b felosztások'!P$2,0)*$I488,0)</f>
        <v>0</v>
      </c>
      <c r="AB488" s="270">
        <f>IFERROR(VLOOKUP($M488,'1 b felosztások'!$A:$U,'1 b felosztások'!Q$2,0)*$I488,0)</f>
        <v>0</v>
      </c>
      <c r="AC488" s="270"/>
      <c r="AD488" s="270"/>
      <c r="AE488" s="270"/>
      <c r="AF488" s="270"/>
      <c r="AG488" s="270"/>
      <c r="AH488" s="270"/>
      <c r="AI488" s="270"/>
      <c r="AJ488" s="270"/>
      <c r="AK488" s="270"/>
      <c r="AL488" s="270"/>
      <c r="AM488" s="270"/>
      <c r="AN488" s="270"/>
      <c r="AO488" s="270"/>
      <c r="AP488" s="270"/>
      <c r="AQ488" s="270"/>
      <c r="AR488" s="270"/>
      <c r="AS488" s="270"/>
      <c r="AT488" s="270"/>
      <c r="AU488" s="270"/>
      <c r="AV488" s="270"/>
      <c r="AW488" s="270"/>
      <c r="AX488" s="270"/>
      <c r="AY488" s="270"/>
      <c r="AZ488" s="270"/>
      <c r="BA488" s="270"/>
      <c r="BB488" s="270"/>
      <c r="BC488" s="270"/>
      <c r="BD488" s="270"/>
      <c r="BE488" s="270"/>
      <c r="BF488" s="270"/>
      <c r="BG488" s="270">
        <f>-I488</f>
        <v>0</v>
      </c>
      <c r="BH488" s="270"/>
      <c r="BI488" s="270">
        <f>+SUM(N488:AA488)</f>
        <v>0</v>
      </c>
      <c r="BJ488" s="270">
        <f t="shared" si="187"/>
        <v>0</v>
      </c>
      <c r="BK488" s="270">
        <f t="shared" si="188"/>
        <v>0</v>
      </c>
      <c r="BL488" s="270">
        <f t="shared" si="189"/>
        <v>0</v>
      </c>
    </row>
    <row r="489" spans="1:68" s="187" customFormat="1" hidden="1" outlineLevel="1" x14ac:dyDescent="0.3">
      <c r="A489" s="204"/>
      <c r="B489" s="205"/>
      <c r="C489" s="204"/>
      <c r="D489" s="204"/>
      <c r="E489" s="204"/>
      <c r="F489" s="204" t="s">
        <v>82</v>
      </c>
      <c r="G489" s="204">
        <v>287</v>
      </c>
      <c r="H489" s="185">
        <f>IFERROR(VLOOKUP(G489,'2022. tervsor'!C:D,2,0)," ")</f>
        <v>0</v>
      </c>
      <c r="I489" s="270">
        <f>+I487-I488</f>
        <v>0</v>
      </c>
      <c r="J489" s="270">
        <f>SUM(N489:AM489)</f>
        <v>0</v>
      </c>
      <c r="K489" s="270">
        <f>+I489-J489</f>
        <v>0</v>
      </c>
      <c r="L489" s="270">
        <f>SUM(N489:BH489)</f>
        <v>0</v>
      </c>
      <c r="M489" s="270"/>
      <c r="N489" s="270">
        <f>IFERROR(VLOOKUP($M489,'1 b felosztások'!$A:$E,'1 b felosztások'!C$2,0)*$I489,0)</f>
        <v>0</v>
      </c>
      <c r="O489" s="270">
        <f>IFERROR(VLOOKUP($M489,'1 b felosztások'!$A:$E,'1 b felosztások'!D$2,0)*$I489,0)</f>
        <v>0</v>
      </c>
      <c r="P489" s="270">
        <f>IFERROR(VLOOKUP($M489,'1 b felosztások'!$A:$E,'1 b felosztások'!E$2,0)*$I489,0)</f>
        <v>0</v>
      </c>
      <c r="Q489" s="270">
        <f>IFERROR(VLOOKUP($M489,'1 b felosztások'!$A:$E,'1 b felosztások'!F$2,0)*$I489,0)</f>
        <v>0</v>
      </c>
      <c r="R489" s="270">
        <f>IFERROR(VLOOKUP($M489,'1 b felosztások'!$A:$E,'1 b felosztások'!G$2,0)*$I489,0)</f>
        <v>0</v>
      </c>
      <c r="S489" s="270">
        <f>IFERROR(VLOOKUP($M489,'1 b felosztások'!$A:$E,'1 b felosztások'!H$2,0)*$I489,0)</f>
        <v>0</v>
      </c>
      <c r="T489" s="270">
        <f>IFERROR(VLOOKUP($M489,'1 b felosztások'!$A:$E,'1 b felosztások'!I$2,0)*$I489,0)</f>
        <v>0</v>
      </c>
      <c r="U489" s="270">
        <f>IFERROR(VLOOKUP($M489,'1 b felosztások'!$A:$E,'1 b felosztások'!J$2,0)*$I489,0)</f>
        <v>0</v>
      </c>
      <c r="V489" s="270">
        <f>IFERROR(VLOOKUP($M489,'1 b felosztások'!$A:$E,'1 b felosztások'!K$2,0)*$I489,0)</f>
        <v>0</v>
      </c>
      <c r="W489" s="270">
        <f>IFERROR(VLOOKUP($M489,'1 b felosztások'!$A:$E,'1 b felosztások'!L$2,0)*$I489,0)</f>
        <v>0</v>
      </c>
      <c r="X489" s="270">
        <f>IFERROR(VLOOKUP($M489,'1 b felosztások'!$A:$E,'1 b felosztások'!M$2,0)*$I489,0)</f>
        <v>0</v>
      </c>
      <c r="Y489" s="270">
        <f>IFERROR(VLOOKUP($M489,'1 b felosztások'!$A:$E,'1 b felosztások'!N$2,0)*$I489,0)</f>
        <v>0</v>
      </c>
      <c r="Z489" s="270">
        <f>IFERROR(VLOOKUP($M489,'1 b felosztások'!$A:$E,'1 b felosztások'!C$2,0)*$I489,0)</f>
        <v>0</v>
      </c>
      <c r="AA489" s="270">
        <f>IFERROR(VLOOKUP($M489,'1 b felosztások'!$A:$E,'1 b felosztások'!D$2,0)*$I489,0)</f>
        <v>0</v>
      </c>
      <c r="AB489" s="270">
        <f>IFERROR(VLOOKUP($M489,'1 b felosztások'!$A:$E,'1 b felosztások'!E$2,0)*$I489,0)</f>
        <v>0</v>
      </c>
      <c r="AC489" s="270"/>
      <c r="AD489" s="270"/>
      <c r="AE489" s="270"/>
      <c r="AF489" s="270"/>
      <c r="AG489" s="270"/>
      <c r="AH489" s="270"/>
      <c r="AI489" s="270"/>
      <c r="AJ489" s="270"/>
      <c r="AK489" s="270"/>
      <c r="AL489" s="270"/>
      <c r="AM489" s="270"/>
      <c r="AN489" s="270"/>
      <c r="AO489" s="270"/>
      <c r="AP489" s="270"/>
      <c r="AQ489" s="270"/>
      <c r="AR489" s="270"/>
      <c r="AS489" s="270"/>
      <c r="AT489" s="270"/>
      <c r="AU489" s="270"/>
      <c r="AV489" s="270"/>
      <c r="AW489" s="270"/>
      <c r="AX489" s="270"/>
      <c r="AY489" s="270"/>
      <c r="AZ489" s="270"/>
      <c r="BA489" s="270"/>
      <c r="BB489" s="270"/>
      <c r="BC489" s="270"/>
      <c r="BD489" s="270"/>
      <c r="BE489" s="270"/>
      <c r="BF489" s="270"/>
      <c r="BG489" s="270">
        <f>-I489</f>
        <v>0</v>
      </c>
      <c r="BH489" s="270"/>
      <c r="BI489" s="270">
        <f>+SUM(N489:AA489)</f>
        <v>0</v>
      </c>
      <c r="BJ489" s="270">
        <f t="shared" si="187"/>
        <v>0</v>
      </c>
      <c r="BK489" s="270">
        <f t="shared" si="188"/>
        <v>0</v>
      </c>
      <c r="BL489" s="270">
        <f t="shared" si="189"/>
        <v>0</v>
      </c>
    </row>
    <row r="490" spans="1:68" s="187" customFormat="1" ht="31.2" x14ac:dyDescent="0.3">
      <c r="A490" s="226"/>
      <c r="B490" s="215" t="s">
        <v>3020</v>
      </c>
      <c r="C490" s="226" t="s">
        <v>3031</v>
      </c>
      <c r="D490" s="226" t="s">
        <v>3032</v>
      </c>
      <c r="E490" s="226" t="s">
        <v>3020</v>
      </c>
      <c r="F490" s="226"/>
      <c r="G490" s="226"/>
      <c r="H490" s="226"/>
      <c r="I490" s="218">
        <f>+I486+I487</f>
        <v>17687135.571144342</v>
      </c>
      <c r="J490" s="218">
        <f>+J486+J487</f>
        <v>17687133.745448001</v>
      </c>
      <c r="K490" s="218">
        <f>+K486+K487</f>
        <v>1.8256964880274609</v>
      </c>
      <c r="L490" s="218">
        <f>+L486+L487</f>
        <v>271873377.69263148</v>
      </c>
      <c r="M490" s="218"/>
      <c r="N490" s="218">
        <f t="shared" ref="N490:BH490" si="200">+N486+N487</f>
        <v>49421055.486835524</v>
      </c>
      <c r="O490" s="218">
        <f t="shared" ref="O490:Z490" si="201">+O486+O487</f>
        <v>-41551691.270536304</v>
      </c>
      <c r="P490" s="218">
        <f t="shared" si="201"/>
        <v>-2764465.0868304912</v>
      </c>
      <c r="Q490" s="218">
        <f t="shared" si="201"/>
        <v>-25844337.437222287</v>
      </c>
      <c r="R490" s="218">
        <f t="shared" si="201"/>
        <v>-8751072.0362535249</v>
      </c>
      <c r="S490" s="218">
        <f t="shared" si="201"/>
        <v>-2975028.5952148135</v>
      </c>
      <c r="T490" s="218">
        <f t="shared" si="201"/>
        <v>7735018.8982277662</v>
      </c>
      <c r="U490" s="218">
        <f t="shared" si="201"/>
        <v>2630956.9234969518</v>
      </c>
      <c r="V490" s="218">
        <f t="shared" si="201"/>
        <v>-4900499.4456215408</v>
      </c>
      <c r="W490" s="218">
        <f t="shared" si="201"/>
        <v>1261852.1810791288</v>
      </c>
      <c r="X490" s="218">
        <f t="shared" si="201"/>
        <v>7947890.5456424691</v>
      </c>
      <c r="Y490" s="218">
        <f t="shared" si="201"/>
        <v>38307984.098358519</v>
      </c>
      <c r="Z490" s="218">
        <f t="shared" si="201"/>
        <v>-16347647.929015124</v>
      </c>
      <c r="AA490" s="218">
        <f t="shared" si="200"/>
        <v>-0.43181790411472321</v>
      </c>
      <c r="AB490" s="218">
        <f t="shared" si="200"/>
        <v>-0.12582006677985191</v>
      </c>
      <c r="AC490" s="218">
        <f t="shared" si="200"/>
        <v>13517119.113053955</v>
      </c>
      <c r="AD490" s="218">
        <f t="shared" si="200"/>
        <v>0</v>
      </c>
      <c r="AE490" s="218">
        <f t="shared" si="200"/>
        <v>0</v>
      </c>
      <c r="AF490" s="218">
        <f>+AF486+AF487</f>
        <v>-0.70499999821186066</v>
      </c>
      <c r="AG490" s="218">
        <f>+AG486+AG487</f>
        <v>0</v>
      </c>
      <c r="AH490" s="218">
        <f t="shared" si="200"/>
        <v>0</v>
      </c>
      <c r="AI490" s="218">
        <f t="shared" si="200"/>
        <v>0</v>
      </c>
      <c r="AJ490" s="218">
        <f t="shared" si="200"/>
        <v>0</v>
      </c>
      <c r="AK490" s="218">
        <f t="shared" si="200"/>
        <v>0</v>
      </c>
      <c r="AL490" s="218">
        <f t="shared" si="200"/>
        <v>0</v>
      </c>
      <c r="AM490" s="218">
        <f>+AM486+AM487</f>
        <v>-0.43791420757770538</v>
      </c>
      <c r="AN490" s="218">
        <f t="shared" si="200"/>
        <v>1911197</v>
      </c>
      <c r="AO490" s="218">
        <f t="shared" si="200"/>
        <v>178656704.64255401</v>
      </c>
      <c r="AP490" s="218">
        <f t="shared" si="200"/>
        <v>40180860</v>
      </c>
      <c r="AQ490" s="218">
        <f t="shared" si="200"/>
        <v>157177.68975872546</v>
      </c>
      <c r="AR490" s="218">
        <f t="shared" si="200"/>
        <v>4701492.2274356307</v>
      </c>
      <c r="AS490" s="218">
        <f t="shared" si="200"/>
        <v>0</v>
      </c>
      <c r="AT490" s="218">
        <f t="shared" si="200"/>
        <v>0</v>
      </c>
      <c r="AU490" s="218">
        <f t="shared" si="200"/>
        <v>0</v>
      </c>
      <c r="AV490" s="218">
        <f t="shared" si="200"/>
        <v>0</v>
      </c>
      <c r="AW490" s="218">
        <f t="shared" si="200"/>
        <v>0</v>
      </c>
      <c r="AX490" s="218">
        <f t="shared" si="200"/>
        <v>0</v>
      </c>
      <c r="AY490" s="218">
        <f t="shared" si="200"/>
        <v>9239068.3874350004</v>
      </c>
      <c r="AZ490" s="218">
        <f t="shared" si="200"/>
        <v>0</v>
      </c>
      <c r="BA490" s="218">
        <f t="shared" si="200"/>
        <v>0</v>
      </c>
      <c r="BB490" s="218">
        <f t="shared" si="200"/>
        <v>0</v>
      </c>
      <c r="BC490" s="218">
        <f t="shared" si="200"/>
        <v>0</v>
      </c>
      <c r="BD490" s="218">
        <f t="shared" si="200"/>
        <v>0</v>
      </c>
      <c r="BE490" s="218">
        <f>+BE486+BE487</f>
        <v>0</v>
      </c>
      <c r="BF490" s="218">
        <f t="shared" si="200"/>
        <v>19339744</v>
      </c>
      <c r="BG490" s="218">
        <f t="shared" si="200"/>
        <v>0</v>
      </c>
      <c r="BH490" s="218">
        <f t="shared" si="200"/>
        <v>0</v>
      </c>
      <c r="BI490" s="218">
        <f>+SUM(N490:AA490)</f>
        <v>4170015.9011283685</v>
      </c>
      <c r="BJ490" s="218">
        <f t="shared" si="187"/>
        <v>-0.12582006677985191</v>
      </c>
      <c r="BK490" s="218">
        <f t="shared" si="188"/>
        <v>13517117.970139749</v>
      </c>
      <c r="BL490" s="218">
        <f t="shared" si="189"/>
        <v>254186243.94718334</v>
      </c>
    </row>
    <row r="491" spans="1:68" s="187" customFormat="1" collapsed="1" x14ac:dyDescent="0.3">
      <c r="A491" s="227"/>
      <c r="B491" s="227"/>
      <c r="C491" s="227"/>
      <c r="D491" s="227"/>
      <c r="E491" s="227"/>
      <c r="F491" s="227"/>
      <c r="G491" s="227"/>
      <c r="H491" s="227"/>
      <c r="I491" s="228"/>
      <c r="J491" s="228"/>
      <c r="K491" s="228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8"/>
      <c r="AA491" s="228"/>
      <c r="AB491" s="228"/>
      <c r="AC491" s="228"/>
      <c r="AD491" s="228"/>
      <c r="AE491" s="228"/>
      <c r="AF491" s="228"/>
      <c r="AG491" s="228"/>
      <c r="AH491" s="228"/>
      <c r="AI491" s="228"/>
      <c r="AJ491" s="228"/>
      <c r="AK491" s="228"/>
      <c r="AL491" s="228"/>
      <c r="AM491" s="228"/>
      <c r="AN491" s="228"/>
      <c r="AO491" s="228"/>
      <c r="AP491" s="228"/>
      <c r="AQ491" s="228"/>
      <c r="AR491" s="228"/>
      <c r="AS491" s="228"/>
      <c r="AT491" s="228"/>
      <c r="AU491" s="228"/>
      <c r="AV491" s="228"/>
      <c r="AW491" s="228"/>
      <c r="AX491" s="228"/>
      <c r="AY491" s="228"/>
      <c r="AZ491" s="228"/>
      <c r="BA491" s="228"/>
      <c r="BB491" s="228"/>
      <c r="BC491" s="228"/>
      <c r="BD491" s="228"/>
      <c r="BE491" s="228"/>
      <c r="BF491" s="228"/>
      <c r="BG491" s="228"/>
      <c r="BH491" s="228"/>
      <c r="BI491" s="228"/>
      <c r="BJ491" s="228"/>
      <c r="BK491" s="228"/>
      <c r="BL491" s="228"/>
    </row>
    <row r="492" spans="1:68" s="187" customFormat="1" ht="16.2" hidden="1" outlineLevel="1" thickBot="1" x14ac:dyDescent="0.35">
      <c r="I492" s="209"/>
      <c r="J492" s="209"/>
      <c r="K492" s="209"/>
      <c r="L492" s="209"/>
      <c r="M492" s="229"/>
      <c r="N492" s="209"/>
      <c r="O492" s="209"/>
      <c r="P492" s="209"/>
      <c r="Q492" s="209"/>
      <c r="R492" s="209"/>
      <c r="S492" s="209"/>
      <c r="T492" s="209"/>
      <c r="U492" s="209"/>
      <c r="V492" s="209"/>
      <c r="W492" s="209"/>
      <c r="X492" s="209"/>
      <c r="Y492" s="209"/>
      <c r="Z492" s="209"/>
      <c r="AA492" s="209"/>
      <c r="AB492" s="209"/>
      <c r="AC492" s="209"/>
      <c r="AD492" s="209"/>
      <c r="AE492" s="209"/>
      <c r="AF492" s="209"/>
      <c r="AG492" s="209"/>
      <c r="AH492" s="209"/>
      <c r="AI492" s="209"/>
      <c r="AJ492" s="209"/>
      <c r="AK492" s="209"/>
      <c r="AL492" s="209"/>
      <c r="AM492" s="209"/>
      <c r="AN492" s="209"/>
      <c r="AO492" s="209"/>
      <c r="AP492" s="209"/>
      <c r="AQ492" s="209"/>
      <c r="AR492" s="209"/>
      <c r="AS492" s="209"/>
      <c r="AT492" s="209"/>
      <c r="AU492" s="209"/>
      <c r="AV492" s="209"/>
      <c r="AW492" s="209"/>
      <c r="AX492" s="209"/>
      <c r="AY492" s="209"/>
      <c r="AZ492" s="230"/>
      <c r="BA492" s="230"/>
      <c r="BB492" s="230"/>
      <c r="BC492" s="230"/>
      <c r="BD492" s="230"/>
      <c r="BE492" s="230"/>
      <c r="BF492" s="230"/>
      <c r="BG492" s="230"/>
      <c r="BH492" s="230"/>
      <c r="BI492" s="230"/>
      <c r="BJ492" s="230"/>
      <c r="BK492" s="230"/>
      <c r="BL492" s="230"/>
    </row>
    <row r="493" spans="1:68" s="187" customFormat="1" hidden="1" outlineLevel="1" x14ac:dyDescent="0.3">
      <c r="B493" s="231" t="s">
        <v>3969</v>
      </c>
      <c r="C493" s="232" t="s">
        <v>2827</v>
      </c>
      <c r="D493" s="232"/>
      <c r="E493" s="231" t="s">
        <v>3969</v>
      </c>
      <c r="F493" s="233" t="s">
        <v>2791</v>
      </c>
      <c r="G493" s="233"/>
      <c r="H493" s="233" t="s">
        <v>3036</v>
      </c>
      <c r="I493" s="234">
        <f>SUMIF($F$4:$F492,$F493,I$4:I492)-0.4</f>
        <v>686112201.13994277</v>
      </c>
      <c r="J493" s="234">
        <f>SUMIF($F$4:$F492,$F493,J$4:J492)+0.6</f>
        <v>686112200.72066915</v>
      </c>
      <c r="K493" s="234">
        <f t="shared" ref="K493:K498" si="202">+I493-J493</f>
        <v>0.41927361488342285</v>
      </c>
      <c r="L493" s="234">
        <f>SUMIF($F$4:$F492,$F493,L$4:L492)</f>
        <v>940298444.06785262</v>
      </c>
      <c r="M493" s="234"/>
      <c r="N493" s="234">
        <f>SUMIF($F$4:$F492,$F493,N$4:N492)</f>
        <v>128701791.05524905</v>
      </c>
      <c r="O493" s="234">
        <f>SUMIF($F$4:$F492,$F493,O$4:O492)</f>
        <v>22537611.028412644</v>
      </c>
      <c r="P493" s="234">
        <f>SUMIF($F$4:$F492,$F493,P$4:P492)</f>
        <v>4629891.1786561776</v>
      </c>
      <c r="Q493" s="234">
        <f>SUMIF($F$4:$F492,$F493,Q$4:Q492)</f>
        <v>33855207.238763005</v>
      </c>
      <c r="R493" s="234">
        <f>SUMIF($F$4:$F492,$F493,R$4:R492)</f>
        <v>12854865.006133778</v>
      </c>
      <c r="S493" s="234">
        <f>SUMIF($F$4:$F492,$F493,S$4:S492)</f>
        <v>36117012.713425763</v>
      </c>
      <c r="T493" s="234">
        <f>SUMIF($F$4:$F492,$F493,T$4:T492)</f>
        <v>27399109.663285337</v>
      </c>
      <c r="U493" s="234">
        <f>SUMIF($F$4:$F492,$F493,U$4:U492)</f>
        <v>38641027.791507199</v>
      </c>
      <c r="V493" s="234">
        <f>SUMIF($F$4:$F492,$F493,V$4:V492)</f>
        <v>48217852.666580677</v>
      </c>
      <c r="W493" s="234">
        <f>SUMIF($F$4:$F492,$F493,W$4:W492)</f>
        <v>42117024.742268652</v>
      </c>
      <c r="X493" s="234">
        <f>SUMIF($F$4:$F492,$F493,X$4:X492)</f>
        <v>30584368.29579052</v>
      </c>
      <c r="Y493" s="234">
        <f>SUMIF($F$4:$F492,$F493,Y$4:Y492)</f>
        <v>94588871.451067999</v>
      </c>
      <c r="Z493" s="234">
        <f>SUMIF($F$4:$F492,$F493,Z$4:Z492)</f>
        <v>17511821.931805462</v>
      </c>
      <c r="AA493" s="234">
        <f>SUMIF($F$4:$F492,$F493,AA$4:AA492)</f>
        <v>8263514.5681820959</v>
      </c>
      <c r="AB493" s="234">
        <f>SUMIF($F$4:$F492,$F493,AB$4:AB492)</f>
        <v>-691762.12582006631</v>
      </c>
      <c r="AC493" s="234">
        <f>SUMIF($F$4:$F492,$F493,AC$4:AC492)</f>
        <v>-146950.88694604131</v>
      </c>
      <c r="AD493" s="234">
        <f>SUMIF($F$4:$F492,$F493,AD$4:AD492)</f>
        <v>5530000</v>
      </c>
      <c r="AE493" s="234">
        <f>SUMIF($F$4:$F492,$F493,AE$4:AE492)</f>
        <v>0</v>
      </c>
      <c r="AF493" s="234">
        <f>SUMIF($F$4:$F492,$F493,AF$4:AF492)</f>
        <v>14104476.682306895</v>
      </c>
      <c r="AG493" s="234">
        <f>SUMIF($F$4:$F492,$F493,AG$4:AG492)</f>
        <v>0</v>
      </c>
      <c r="AH493" s="234">
        <f>SUMIF($F$4:$F492,$F493,AH$4:AH492)</f>
        <v>0</v>
      </c>
      <c r="AI493" s="234">
        <f>SUMIF($F$4:$F492,$F493,AI$4:AI492)</f>
        <v>0</v>
      </c>
      <c r="AJ493" s="234">
        <f>SUMIF($F$4:$F492,$F493,AJ$4:AJ492)</f>
        <v>0</v>
      </c>
      <c r="AK493" s="234">
        <f>SUMIF($F$4:$F492,$F493,AK$4:AK492)</f>
        <v>0</v>
      </c>
      <c r="AL493" s="234">
        <f>SUMIF($F$4:$F492,$F493,AL$4:AL492)</f>
        <v>0</v>
      </c>
      <c r="AM493" s="234">
        <f>SUMIF($F$4:$F492,$F493,AM$4:AM492)</f>
        <v>121296467.12</v>
      </c>
      <c r="AN493" s="234">
        <f>SUMIF($F$4:$F492,$F493,AN$4:AN492)</f>
        <v>1911197</v>
      </c>
      <c r="AO493" s="234">
        <f>SUMIF($F$4:$F492,$F493,AO$4:AO492)</f>
        <v>178656704.64255401</v>
      </c>
      <c r="AP493" s="234">
        <f>SUMIF($F$4:$F492,$F493,AP$4:AP492)</f>
        <v>40180860</v>
      </c>
      <c r="AQ493" s="234">
        <f>SUMIF($F$4:$F492,$F493,AQ$4:AQ492)</f>
        <v>157177.68975872546</v>
      </c>
      <c r="AR493" s="234">
        <f>SUMIF($F$4:$F492,$F493,AR$4:AR492)</f>
        <v>4701492.2274356307</v>
      </c>
      <c r="AS493" s="234">
        <f>SUMIF($F$4:$F492,$F493,AS$4:AS492)</f>
        <v>0</v>
      </c>
      <c r="AT493" s="234">
        <f>SUMIF($F$4:$F492,$F493,AT$4:AT492)</f>
        <v>0</v>
      </c>
      <c r="AU493" s="234">
        <f>SUMIF($F$4:$F492,$F493,AU$4:AU492)</f>
        <v>0</v>
      </c>
      <c r="AV493" s="234">
        <f>SUMIF($F$4:$F492,$F493,AV$4:AV492)</f>
        <v>0</v>
      </c>
      <c r="AW493" s="234">
        <f>SUMIF($F$4:$F492,$F493,AW$4:AW492)</f>
        <v>0</v>
      </c>
      <c r="AX493" s="234">
        <f>SUMIF($F$4:$F492,$F493,AX$4:AX492)</f>
        <v>0</v>
      </c>
      <c r="AY493" s="234">
        <f>SUMIF($F$4:$F492,$F493,AY$4:AY492)</f>
        <v>9239068.3874350004</v>
      </c>
      <c r="AZ493" s="234">
        <f>SUMIF($F$4:$F492,$F493,AZ$4:AZ492)</f>
        <v>0</v>
      </c>
      <c r="BA493" s="234">
        <f>SUMIF($F$4:$F492,$F493,BA$4:BA492)</f>
        <v>0</v>
      </c>
      <c r="BB493" s="234">
        <f>SUMIF($F$4:$F492,$F493,BB$4:BB492)</f>
        <v>0</v>
      </c>
      <c r="BC493" s="234">
        <f>SUMIF($F$4:$F492,$F493,BC$4:BC492)</f>
        <v>0</v>
      </c>
      <c r="BD493" s="234">
        <f>SUMIF($F$4:$F492,$F493,BD$4:BD492)</f>
        <v>0</v>
      </c>
      <c r="BE493" s="234">
        <f>SUMIF($F$4:$F492,$F493,BE$4:BE492)</f>
        <v>0</v>
      </c>
      <c r="BF493" s="234">
        <f>SUMIF($F$4:$F492,$F493,BF$4:BF492)</f>
        <v>19339744</v>
      </c>
      <c r="BG493" s="234">
        <f>SUMIF($F$4:$F492,$F493,BG$4:BG492)</f>
        <v>0</v>
      </c>
      <c r="BH493" s="234">
        <f>SUMIF($F$4:$F492,$F493,BH$4:BH492)</f>
        <v>0</v>
      </c>
      <c r="BI493" s="234">
        <f>+SUM(N493:AA493)</f>
        <v>546019969.33112836</v>
      </c>
      <c r="BJ493" s="234">
        <f>+AB493</f>
        <v>-691762.12582006631</v>
      </c>
      <c r="BK493" s="234">
        <f>+SUM(AC493:AM493)</f>
        <v>140783992.91536087</v>
      </c>
      <c r="BL493" s="234">
        <f>+SUM(AN493:BH493)</f>
        <v>254186243.94718334</v>
      </c>
    </row>
    <row r="494" spans="1:68" s="187" customFormat="1" hidden="1" outlineLevel="1" x14ac:dyDescent="0.3">
      <c r="B494" s="235" t="s">
        <v>3970</v>
      </c>
      <c r="C494" s="236" t="s">
        <v>2827</v>
      </c>
      <c r="D494" s="236" t="s">
        <v>2954</v>
      </c>
      <c r="E494" s="235" t="s">
        <v>3970</v>
      </c>
      <c r="F494" s="236" t="s">
        <v>2794</v>
      </c>
      <c r="G494" s="236"/>
      <c r="H494" s="236"/>
      <c r="I494" s="237">
        <f>SUMIFS(I$4:I$492,$F$4:$F$492,"B")+SUMIFS(I$4:I$492,$F$4:$F$492,"B2A",$G$4:$G$492,"&gt;0")+0.01</f>
        <v>686112200.79181743</v>
      </c>
      <c r="J494" s="237">
        <f>SUMIFS(J$4:J$492,$F$4:$F$492,"B")+SUMIFS(J$4:J$492,$F$4:$F$492,"B2A",$G$4:$G$492,"&gt;0")+SUMIFS(J$4:J$492,$F$4:$F$492,"BKÉ")</f>
        <v>686112201.12066889</v>
      </c>
      <c r="K494" s="237">
        <f t="shared" si="202"/>
        <v>-0.32885146141052246</v>
      </c>
      <c r="L494" s="237">
        <f>SUMIFS(L$4:L$492,$F$4:$F$492,"B")+SUMIFS(L$4:L$492,$F$4:$F$492,"B2A",$G$4:$G$492,"&gt;0")+SUMIFS(L$4:L$492,$F$4:$F$492,"BKÉ")</f>
        <v>1152840933.0095263</v>
      </c>
      <c r="M494" s="237"/>
      <c r="N494" s="237">
        <f t="shared" ref="N494:BH494" si="203">SUMIFS(N$4:N$492,$F$4:$F$492,"B")+SUMIFS(N$4:N$492,$F$4:$F$492,"B2A",$G$4:$G$492,"&gt;0")+SUMIFS(N$4:N$492,$F$4:$F$492,"BKÉ")</f>
        <v>108772925.64920293</v>
      </c>
      <c r="O494" s="237">
        <f t="shared" si="203"/>
        <v>21232888.70708156</v>
      </c>
      <c r="P494" s="237">
        <f t="shared" si="203"/>
        <v>4313842.1694109198</v>
      </c>
      <c r="Q494" s="237">
        <f t="shared" si="203"/>
        <v>32360415.443644039</v>
      </c>
      <c r="R494" s="237">
        <f t="shared" si="203"/>
        <v>12286856.925973758</v>
      </c>
      <c r="S494" s="237">
        <f t="shared" si="203"/>
        <v>35003300.011669546</v>
      </c>
      <c r="T494" s="237">
        <f t="shared" si="203"/>
        <v>21806723.77151664</v>
      </c>
      <c r="U494" s="237">
        <f t="shared" si="203"/>
        <v>37158797.944350637</v>
      </c>
      <c r="V494" s="237">
        <f t="shared" si="203"/>
        <v>45832082.708816007</v>
      </c>
      <c r="W494" s="237">
        <f t="shared" si="203"/>
        <v>31171650.081683606</v>
      </c>
      <c r="X494" s="237">
        <f t="shared" si="203"/>
        <v>20570178.032571629</v>
      </c>
      <c r="Y494" s="237">
        <f t="shared" si="203"/>
        <v>86609455.40611802</v>
      </c>
      <c r="Z494" s="237">
        <f t="shared" si="203"/>
        <v>16892605.910906952</v>
      </c>
      <c r="AA494" s="237">
        <f t="shared" si="203"/>
        <v>37202258.568182096</v>
      </c>
      <c r="AB494" s="237">
        <f t="shared" si="203"/>
        <v>-0.12582006631419063</v>
      </c>
      <c r="AC494" s="237">
        <f t="shared" si="203"/>
        <v>0.11305395868839696</v>
      </c>
      <c r="AD494" s="237">
        <f t="shared" si="203"/>
        <v>0</v>
      </c>
      <c r="AE494" s="237">
        <f t="shared" si="203"/>
        <v>0</v>
      </c>
      <c r="AF494" s="237">
        <f t="shared" si="203"/>
        <v>14104476.682306895</v>
      </c>
      <c r="AG494" s="237">
        <f t="shared" si="203"/>
        <v>42844292</v>
      </c>
      <c r="AH494" s="237">
        <f t="shared" si="203"/>
        <v>0</v>
      </c>
      <c r="AI494" s="237">
        <f t="shared" si="203"/>
        <v>0</v>
      </c>
      <c r="AJ494" s="237">
        <f t="shared" si="203"/>
        <v>0</v>
      </c>
      <c r="AK494" s="237">
        <f t="shared" si="203"/>
        <v>0</v>
      </c>
      <c r="AL494" s="237">
        <f t="shared" si="203"/>
        <v>0</v>
      </c>
      <c r="AM494" s="237">
        <f t="shared" si="203"/>
        <v>117949451.12</v>
      </c>
      <c r="AN494" s="237">
        <f t="shared" si="203"/>
        <v>1911197</v>
      </c>
      <c r="AO494" s="237">
        <f t="shared" si="203"/>
        <v>178656704.64255401</v>
      </c>
      <c r="AP494" s="237">
        <f t="shared" si="203"/>
        <v>40180860</v>
      </c>
      <c r="AQ494" s="237">
        <f t="shared" si="203"/>
        <v>157177.68975872546</v>
      </c>
      <c r="AR494" s="237">
        <f t="shared" si="203"/>
        <v>4701492.2274356317</v>
      </c>
      <c r="AS494" s="237">
        <f t="shared" si="203"/>
        <v>0</v>
      </c>
      <c r="AT494" s="237">
        <f t="shared" si="203"/>
        <v>0</v>
      </c>
      <c r="AU494" s="237">
        <f t="shared" si="203"/>
        <v>0</v>
      </c>
      <c r="AV494" s="237">
        <f t="shared" si="203"/>
        <v>0</v>
      </c>
      <c r="AW494" s="237">
        <f t="shared" si="203"/>
        <v>0</v>
      </c>
      <c r="AX494" s="237">
        <f t="shared" si="203"/>
        <v>0</v>
      </c>
      <c r="AY494" s="237">
        <f t="shared" si="203"/>
        <v>9239068.3874350004</v>
      </c>
      <c r="AZ494" s="237">
        <f t="shared" si="203"/>
        <v>4397772.8868914694</v>
      </c>
      <c r="BA494" s="237">
        <f t="shared" si="203"/>
        <v>212813923.01090354</v>
      </c>
      <c r="BB494" s="237">
        <f t="shared" si="203"/>
        <v>-5239256.3252908494</v>
      </c>
      <c r="BC494" s="237">
        <f t="shared" si="203"/>
        <v>570048.36916987062</v>
      </c>
      <c r="BD494" s="237">
        <f t="shared" si="203"/>
        <v>0</v>
      </c>
      <c r="BE494" s="237">
        <f t="shared" si="203"/>
        <v>0</v>
      </c>
      <c r="BF494" s="237">
        <f t="shared" si="203"/>
        <v>19339744</v>
      </c>
      <c r="BG494" s="237">
        <f t="shared" si="203"/>
        <v>0</v>
      </c>
      <c r="BH494" s="237">
        <f t="shared" si="203"/>
        <v>0</v>
      </c>
      <c r="BI494" s="237">
        <f>+SUM(N494:AA494)</f>
        <v>511213981.33112836</v>
      </c>
      <c r="BJ494" s="237">
        <f>+AB494</f>
        <v>-0.12582006631419063</v>
      </c>
      <c r="BK494" s="237">
        <f>+SUM(AC494:AM494)</f>
        <v>174898219.91536087</v>
      </c>
      <c r="BL494" s="237">
        <f>+SUM(AN494:BH494)</f>
        <v>466728731.88885736</v>
      </c>
    </row>
    <row r="495" spans="1:68" s="187" customFormat="1" hidden="1" outlineLevel="1" x14ac:dyDescent="0.3">
      <c r="B495" s="235"/>
      <c r="C495" s="236"/>
      <c r="D495" s="236"/>
      <c r="E495" s="235" t="s">
        <v>3971</v>
      </c>
      <c r="F495" s="236"/>
      <c r="G495" s="236"/>
      <c r="H495" s="236"/>
      <c r="I495" s="237"/>
      <c r="J495" s="237">
        <f>SUMIFS(J$4:J$491,$F$4:$F$491,"B",$G$4:$G$491,"&gt;319")+SUMIFS(J$4:J$491,$F$4:$F$491,"B2A",$G$4:$G$491,"&gt;319")+SUMIFS(J$4:J$491,$F$4:$F$491,"BKÉ",$G$4:$G$491,"&gt;319")</f>
        <v>629895906.26903129</v>
      </c>
      <c r="K495" s="237">
        <f t="shared" si="202"/>
        <v>-629895906.26903129</v>
      </c>
      <c r="L495" s="237">
        <f>SUMIFS(L$4:L$491,$F$4:$F$491,"B",$G$4:$G$491,"&gt;319")+SUMIFS(L$4:L$491,$F$4:$F$491,"B2A",$G$4:$G$491,"&gt;319")+SUMIFS(L$4:L$491,$F$4:$F$491,"BKÉ",$G$4:$G$491,"&gt;319")</f>
        <v>1078039205.0032387</v>
      </c>
      <c r="M495" s="237"/>
      <c r="N495" s="237">
        <f t="shared" ref="N495:BH495" si="204">SUMIFS(N$4:N$491,$F$4:$F$491,"B",$G$4:$G$491,"&gt;319")+SUMIFS(N$4:N$491,$F$4:$F$491,"B2A",$G$4:$G$491,"&gt;319")+SUMIFS(N$4:N$491,$F$4:$F$491,"BKÉ",$G$4:$G$491,"&gt;319")</f>
        <v>96918837.506092161</v>
      </c>
      <c r="O495" s="237">
        <f t="shared" si="204"/>
        <v>19310737.850474603</v>
      </c>
      <c r="P495" s="237">
        <f t="shared" si="204"/>
        <v>3575798.6908701896</v>
      </c>
      <c r="Q495" s="237">
        <f t="shared" si="204"/>
        <v>28646793.475799486</v>
      </c>
      <c r="R495" s="237">
        <f t="shared" si="204"/>
        <v>10473602.790351868</v>
      </c>
      <c r="S495" s="237">
        <f t="shared" si="204"/>
        <v>32616972.645275254</v>
      </c>
      <c r="T495" s="237">
        <f t="shared" si="204"/>
        <v>19717607.323798418</v>
      </c>
      <c r="U495" s="237">
        <f t="shared" si="204"/>
        <v>25671425.737262264</v>
      </c>
      <c r="V495" s="237">
        <f t="shared" si="204"/>
        <v>43254651.787387699</v>
      </c>
      <c r="W495" s="237">
        <f t="shared" si="204"/>
        <v>28510406.403928928</v>
      </c>
      <c r="X495" s="237">
        <f t="shared" si="204"/>
        <v>20367274.393484674</v>
      </c>
      <c r="Y495" s="237">
        <f t="shared" si="204"/>
        <v>77883520.702924594</v>
      </c>
      <c r="Z495" s="237">
        <f t="shared" si="204"/>
        <v>16081035.331242086</v>
      </c>
      <c r="AA495" s="237">
        <f t="shared" si="204"/>
        <v>37202258.568182096</v>
      </c>
      <c r="AB495" s="237">
        <f t="shared" si="204"/>
        <v>-0.12582006631419063</v>
      </c>
      <c r="AC495" s="237">
        <f t="shared" si="204"/>
        <v>0.11305395868839696</v>
      </c>
      <c r="AD495" s="237">
        <f t="shared" si="204"/>
        <v>-838713</v>
      </c>
      <c r="AE495" s="237">
        <f t="shared" si="204"/>
        <v>0</v>
      </c>
      <c r="AF495" s="237">
        <f t="shared" si="204"/>
        <v>13056968.074723164</v>
      </c>
      <c r="AG495" s="237">
        <f t="shared" si="204"/>
        <v>42844292</v>
      </c>
      <c r="AH495" s="237">
        <f t="shared" si="204"/>
        <v>0</v>
      </c>
      <c r="AI495" s="237">
        <f t="shared" si="204"/>
        <v>0</v>
      </c>
      <c r="AJ495" s="237">
        <f t="shared" si="204"/>
        <v>0</v>
      </c>
      <c r="AK495" s="237">
        <f t="shared" si="204"/>
        <v>0</v>
      </c>
      <c r="AL495" s="237">
        <f t="shared" si="204"/>
        <v>0</v>
      </c>
      <c r="AM495" s="237">
        <f t="shared" si="204"/>
        <v>114602436</v>
      </c>
      <c r="AN495" s="237">
        <f t="shared" si="204"/>
        <v>1911197</v>
      </c>
      <c r="AO495" s="237">
        <f t="shared" si="204"/>
        <v>165388262.27982676</v>
      </c>
      <c r="AP495" s="237">
        <f t="shared" si="204"/>
        <v>40180860</v>
      </c>
      <c r="AQ495" s="237">
        <f t="shared" si="204"/>
        <v>157177.68975872546</v>
      </c>
      <c r="AR495" s="237">
        <f t="shared" si="204"/>
        <v>4352322.6915743882</v>
      </c>
      <c r="AS495" s="237">
        <f t="shared" si="204"/>
        <v>0</v>
      </c>
      <c r="AT495" s="237">
        <f t="shared" si="204"/>
        <v>0</v>
      </c>
      <c r="AU495" s="237">
        <f t="shared" si="204"/>
        <v>0</v>
      </c>
      <c r="AV495" s="237">
        <f t="shared" si="204"/>
        <v>0</v>
      </c>
      <c r="AW495" s="237">
        <f t="shared" si="204"/>
        <v>0</v>
      </c>
      <c r="AX495" s="237">
        <f t="shared" si="204"/>
        <v>0</v>
      </c>
      <c r="AY495" s="237">
        <f t="shared" si="204"/>
        <v>9239068.3874350004</v>
      </c>
      <c r="AZ495" s="237">
        <f t="shared" si="204"/>
        <v>0</v>
      </c>
      <c r="BA495" s="237">
        <f t="shared" si="204"/>
        <v>212813923.01090354</v>
      </c>
      <c r="BB495" s="237">
        <f t="shared" si="204"/>
        <v>-5239256.3252908494</v>
      </c>
      <c r="BC495" s="237">
        <f t="shared" si="204"/>
        <v>0</v>
      </c>
      <c r="BD495" s="237">
        <f t="shared" si="204"/>
        <v>0</v>
      </c>
      <c r="BE495" s="237">
        <f t="shared" si="204"/>
        <v>0</v>
      </c>
      <c r="BF495" s="237">
        <f t="shared" si="204"/>
        <v>19339744</v>
      </c>
      <c r="BG495" s="237">
        <f t="shared" si="204"/>
        <v>0</v>
      </c>
      <c r="BH495" s="237">
        <f t="shared" si="204"/>
        <v>0</v>
      </c>
      <c r="BI495" s="237">
        <f>+SUM(N495:AA495)</f>
        <v>460230923.2070744</v>
      </c>
      <c r="BJ495" s="237">
        <f>+AB495</f>
        <v>-0.12582006631419063</v>
      </c>
      <c r="BK495" s="237">
        <f>+SUM(AC495:AM495)</f>
        <v>169664983.18777713</v>
      </c>
      <c r="BL495" s="237">
        <f>+SUM(AN495:BH495)</f>
        <v>448143298.73420757</v>
      </c>
    </row>
    <row r="496" spans="1:68" s="187" customFormat="1" hidden="1" outlineLevel="1" x14ac:dyDescent="0.3">
      <c r="B496" s="235"/>
      <c r="C496" s="236"/>
      <c r="D496" s="236"/>
      <c r="E496" s="235" t="s">
        <v>3972</v>
      </c>
      <c r="F496" s="236"/>
      <c r="G496" s="236"/>
      <c r="H496" s="236"/>
      <c r="I496" s="237"/>
      <c r="J496" s="237">
        <f>SUMIFS(J$4:J$491,$F$4:$F$491,"B",$G$4:$G$491,"&lt;319")+SUMIFS(J$4:J$491,$F$4:$F$491,"B2A",$G$4:$G$491,"&lt;319")+SUMIFS(J$4:J$491,$F$4:$F$491,"BKÉ",$G$4:$G$491,"&lt;319")</f>
        <v>56216294.851637721</v>
      </c>
      <c r="K496" s="237">
        <f t="shared" si="202"/>
        <v>-56216294.851637721</v>
      </c>
      <c r="L496" s="237">
        <f>SUMIFS(L$4:L$491,$F$4:$F$491,"B",$G$4:$G$491,"&lt;319")+SUMIFS(L$4:L$491,$F$4:$F$491,"B2A",$G$4:$G$491,"&lt;319")+SUMIFS(L$4:L$491,$F$4:$F$491,"BKÉ",$G$4:$G$491,"&lt;319")</f>
        <v>74801728.00628756</v>
      </c>
      <c r="M496" s="237"/>
      <c r="N496" s="237">
        <f t="shared" ref="N496:BH496" si="205">SUMIFS(N$4:N$491,$F$4:$F$491,"B",$G$4:$G$491,"&lt;319")+SUMIFS(N$4:N$491,$F$4:$F$491,"B2A",$G$4:$G$491,"&lt;319")+SUMIFS(N$4:N$491,$F$4:$F$491,"BKÉ",$G$4:$G$491,"&lt;319")</f>
        <v>11854088.143110774</v>
      </c>
      <c r="O496" s="237">
        <f t="shared" si="205"/>
        <v>1922150.8566069589</v>
      </c>
      <c r="P496" s="237">
        <f t="shared" si="205"/>
        <v>738043.47854072845</v>
      </c>
      <c r="Q496" s="237">
        <f t="shared" si="205"/>
        <v>3713621.9678445561</v>
      </c>
      <c r="R496" s="237">
        <f t="shared" si="205"/>
        <v>1813254.1356218907</v>
      </c>
      <c r="S496" s="237">
        <f t="shared" si="205"/>
        <v>2386327.366394287</v>
      </c>
      <c r="T496" s="237">
        <f t="shared" si="205"/>
        <v>2089116.4477182238</v>
      </c>
      <c r="U496" s="237">
        <f t="shared" si="205"/>
        <v>11487372.207088379</v>
      </c>
      <c r="V496" s="237">
        <f t="shared" si="205"/>
        <v>2577430.9214282972</v>
      </c>
      <c r="W496" s="237">
        <f t="shared" si="205"/>
        <v>2661243.6777546778</v>
      </c>
      <c r="X496" s="237">
        <f t="shared" si="205"/>
        <v>202903.63908695366</v>
      </c>
      <c r="Y496" s="237">
        <f t="shared" si="205"/>
        <v>8725934.703193415</v>
      </c>
      <c r="Z496" s="237">
        <f t="shared" si="205"/>
        <v>811570.57966486702</v>
      </c>
      <c r="AA496" s="237">
        <f t="shared" si="205"/>
        <v>0</v>
      </c>
      <c r="AB496" s="237">
        <f t="shared" si="205"/>
        <v>0</v>
      </c>
      <c r="AC496" s="237">
        <f t="shared" si="205"/>
        <v>0</v>
      </c>
      <c r="AD496" s="237">
        <f t="shared" si="205"/>
        <v>838713</v>
      </c>
      <c r="AE496" s="237">
        <f t="shared" si="205"/>
        <v>0</v>
      </c>
      <c r="AF496" s="237">
        <f t="shared" si="205"/>
        <v>1047508.6075837308</v>
      </c>
      <c r="AG496" s="237">
        <f t="shared" si="205"/>
        <v>0</v>
      </c>
      <c r="AH496" s="237">
        <f t="shared" si="205"/>
        <v>0</v>
      </c>
      <c r="AI496" s="237">
        <f t="shared" si="205"/>
        <v>0</v>
      </c>
      <c r="AJ496" s="237">
        <f t="shared" si="205"/>
        <v>0</v>
      </c>
      <c r="AK496" s="237">
        <f t="shared" si="205"/>
        <v>0</v>
      </c>
      <c r="AL496" s="237">
        <f t="shared" si="205"/>
        <v>0</v>
      </c>
      <c r="AM496" s="237">
        <f t="shared" si="205"/>
        <v>3347015.1199999996</v>
      </c>
      <c r="AN496" s="237">
        <f t="shared" si="205"/>
        <v>0</v>
      </c>
      <c r="AO496" s="237">
        <f t="shared" si="205"/>
        <v>13268442.362727256</v>
      </c>
      <c r="AP496" s="237">
        <f t="shared" si="205"/>
        <v>0</v>
      </c>
      <c r="AQ496" s="237">
        <f t="shared" si="205"/>
        <v>0</v>
      </c>
      <c r="AR496" s="237">
        <f t="shared" si="205"/>
        <v>349169.53586124361</v>
      </c>
      <c r="AS496" s="237">
        <f t="shared" si="205"/>
        <v>0</v>
      </c>
      <c r="AT496" s="237">
        <f t="shared" si="205"/>
        <v>0</v>
      </c>
      <c r="AU496" s="237">
        <f t="shared" si="205"/>
        <v>0</v>
      </c>
      <c r="AV496" s="237">
        <f t="shared" si="205"/>
        <v>0</v>
      </c>
      <c r="AW496" s="237">
        <f t="shared" si="205"/>
        <v>0</v>
      </c>
      <c r="AX496" s="237">
        <f t="shared" si="205"/>
        <v>0</v>
      </c>
      <c r="AY496" s="237">
        <f t="shared" si="205"/>
        <v>0</v>
      </c>
      <c r="AZ496" s="237">
        <f t="shared" si="205"/>
        <v>4397772.8868914694</v>
      </c>
      <c r="BA496" s="237">
        <f t="shared" si="205"/>
        <v>0</v>
      </c>
      <c r="BB496" s="237">
        <f t="shared" si="205"/>
        <v>0</v>
      </c>
      <c r="BC496" s="237">
        <f t="shared" si="205"/>
        <v>570048.36916987062</v>
      </c>
      <c r="BD496" s="237">
        <f t="shared" si="205"/>
        <v>0</v>
      </c>
      <c r="BE496" s="237">
        <f t="shared" si="205"/>
        <v>0</v>
      </c>
      <c r="BF496" s="237">
        <f t="shared" si="205"/>
        <v>0</v>
      </c>
      <c r="BG496" s="237">
        <f t="shared" si="205"/>
        <v>0</v>
      </c>
      <c r="BH496" s="237">
        <f t="shared" si="205"/>
        <v>0</v>
      </c>
      <c r="BI496" s="237">
        <f>+SUM(N496:AA496)</f>
        <v>50983058.124054007</v>
      </c>
      <c r="BJ496" s="237">
        <f>+AB496</f>
        <v>0</v>
      </c>
      <c r="BK496" s="237">
        <f>+SUM(AC496:AM496)</f>
        <v>5233236.7275837306</v>
      </c>
      <c r="BL496" s="237">
        <f>+SUM(AN496:BH496)</f>
        <v>18585433.154649843</v>
      </c>
    </row>
    <row r="497" spans="1:64" s="187" customFormat="1" ht="16.2" hidden="1" outlineLevel="1" thickBot="1" x14ac:dyDescent="0.35">
      <c r="B497" s="235" t="s">
        <v>2793</v>
      </c>
      <c r="C497" s="236" t="s">
        <v>2827</v>
      </c>
      <c r="D497" s="236" t="s">
        <v>2955</v>
      </c>
      <c r="E497" s="235" t="s">
        <v>2793</v>
      </c>
      <c r="F497" s="236" t="s">
        <v>85</v>
      </c>
      <c r="G497" s="236"/>
      <c r="H497" s="236" t="s">
        <v>3036</v>
      </c>
      <c r="I497" s="237">
        <f>SUMIF($F$4:$F492,$F497,I$4:I492)</f>
        <v>75586481.314999998</v>
      </c>
      <c r="J497" s="237">
        <f>SUMIF($F$4:$F492,$F497,J$4:J492)</f>
        <v>75586481.314999998</v>
      </c>
      <c r="K497" s="237">
        <f t="shared" si="202"/>
        <v>0</v>
      </c>
      <c r="L497" s="237">
        <f>SUMIF($F$4:$F492,$F497,L$4:L492)</f>
        <v>75586481.314999998</v>
      </c>
      <c r="M497" s="237"/>
      <c r="N497" s="237">
        <f>SUMIF($F$4:$F492,$F497,N$4:N492)</f>
        <v>4916939.4018880986</v>
      </c>
      <c r="O497" s="237">
        <f>SUMIF($F$4:$F492,$F497,O$4:O492)</f>
        <v>3617017.4084300292</v>
      </c>
      <c r="P497" s="237">
        <f>SUMIF($F$4:$F492,$F497,P$4:P492)</f>
        <v>4430276.3250230653</v>
      </c>
      <c r="Q497" s="237">
        <f>SUMIF($F$4:$F492,$F497,Q$4:Q492)</f>
        <v>4571010.767534405</v>
      </c>
      <c r="R497" s="237">
        <f>SUMIF($F$4:$F492,$F497,R$4:R492)</f>
        <v>1969423.2568604404</v>
      </c>
      <c r="S497" s="237">
        <f>SUMIF($F$4:$F492,$F497,S$4:S492)</f>
        <v>157576.57413222821</v>
      </c>
      <c r="T497" s="237">
        <f>SUMIF($F$4:$F492,$F497,T$4:T492)</f>
        <v>187781.76615470019</v>
      </c>
      <c r="U497" s="237">
        <f>SUMIF($F$4:$F492,$F497,U$4:U492)</f>
        <v>4268151.584949946</v>
      </c>
      <c r="V497" s="237">
        <f>SUMIF($F$4:$F492,$F497,V$4:V492)</f>
        <v>23494.680841835274</v>
      </c>
      <c r="W497" s="237">
        <f>SUMIF($F$4:$F492,$F497,W$4:W492)</f>
        <v>479142.78305648611</v>
      </c>
      <c r="X497" s="237">
        <f>SUMIF($F$4:$F492,$F497,X$4:X492)</f>
        <v>679713.6314771357</v>
      </c>
      <c r="Y497" s="237">
        <f>SUMIF($F$4:$F492,$F497,Y$4:Y492)</f>
        <v>-1596861.2077441954</v>
      </c>
      <c r="Z497" s="237">
        <f>SUMIF($F$4:$F492,$F497,Z$4:Z492)</f>
        <v>825235.59739582357</v>
      </c>
      <c r="AA497" s="237">
        <f>SUMIF($F$4:$F492,$F497,AA$4:AA492)</f>
        <v>26612001</v>
      </c>
      <c r="AB497" s="237">
        <f>SUMIF($F$4:$F492,$F497,AB$4:AB492)</f>
        <v>11496440</v>
      </c>
      <c r="AC497" s="237">
        <f>SUMIF($F$4:$F492,$F497,AC$4:AC492)</f>
        <v>13903239</v>
      </c>
      <c r="AD497" s="237">
        <f>SUMIF($F$4:$F492,$F497,AD$4:AD492)</f>
        <v>0</v>
      </c>
      <c r="AE497" s="237">
        <f>SUMIF($F$4:$F492,$F497,AE$4:AE492)</f>
        <v>0</v>
      </c>
      <c r="AF497" s="237">
        <f>SUMIF($F$4:$F492,$F497,AF$4:AF492)</f>
        <v>502591.745</v>
      </c>
      <c r="AG497" s="237">
        <f>SUMIF($F$4:$F492,$F497,AG$4:AG492)</f>
        <v>0</v>
      </c>
      <c r="AH497" s="237">
        <f>SUMIF($F$4:$F492,$F497,AH$4:AH492)</f>
        <v>0</v>
      </c>
      <c r="AI497" s="237">
        <f>SUMIF($F$4:$F492,$F497,AI$4:AI492)</f>
        <v>0</v>
      </c>
      <c r="AJ497" s="237">
        <f>SUMIF($F$4:$F492,$F497,AJ$4:AJ492)</f>
        <v>0</v>
      </c>
      <c r="AK497" s="237">
        <f>SUMIF($F$4:$F492,$F497,AK$4:AK492)</f>
        <v>0</v>
      </c>
      <c r="AL497" s="237">
        <f>SUMIF($F$4:$F492,$F497,AL$4:AL492)</f>
        <v>0</v>
      </c>
      <c r="AM497" s="237">
        <f>SUMIF($F$4:$F492,$F497,AM$4:AM492)</f>
        <v>-1456693</v>
      </c>
      <c r="AN497" s="237">
        <f>SUMIF($F$4:$F492,$F497,AN$4:AN492)</f>
        <v>0</v>
      </c>
      <c r="AO497" s="237">
        <f>SUMIF($F$4:$F492,$F497,AO$4:AO492)</f>
        <v>0</v>
      </c>
      <c r="AP497" s="237">
        <f>SUMIF($F$4:$F492,$F497,AP$4:AP492)</f>
        <v>0</v>
      </c>
      <c r="AQ497" s="237">
        <f>SUMIF($F$4:$F492,$F497,AQ$4:AQ492)</f>
        <v>0</v>
      </c>
      <c r="AR497" s="237">
        <f>SUMIF($F$4:$F492,$F497,AR$4:AR492)</f>
        <v>0</v>
      </c>
      <c r="AS497" s="237">
        <f>SUMIF($F$4:$F492,$F497,AS$4:AS492)</f>
        <v>0</v>
      </c>
      <c r="AT497" s="237">
        <f>SUMIF($F$4:$F492,$F497,AT$4:AT492)</f>
        <v>0</v>
      </c>
      <c r="AU497" s="237">
        <f>SUMIF($F$4:$F492,$F497,AU$4:AU492)</f>
        <v>0</v>
      </c>
      <c r="AV497" s="237">
        <f>SUMIF($F$4:$F492,$F497,AV$4:AV492)</f>
        <v>0</v>
      </c>
      <c r="AW497" s="237">
        <f>SUMIF($F$4:$F492,$F497,AW$4:AW492)</f>
        <v>0</v>
      </c>
      <c r="AX497" s="237">
        <f>SUMIF($F$4:$F492,$F497,AX$4:AX492)</f>
        <v>0</v>
      </c>
      <c r="AY497" s="237">
        <f>SUMIF($F$4:$F492,$F497,AY$4:AY492)</f>
        <v>0</v>
      </c>
      <c r="AZ497" s="237">
        <f>SUMIF($F$4:$F492,$F497,AZ$4:AZ492)</f>
        <v>0</v>
      </c>
      <c r="BA497" s="237">
        <f>SUMIF($F$4:$F492,$F497,BA$4:BA492)</f>
        <v>0</v>
      </c>
      <c r="BB497" s="237">
        <f>SUMIF($F$4:$F492,$F497,BB$4:BB492)</f>
        <v>0</v>
      </c>
      <c r="BC497" s="237">
        <f>SUMIF($F$4:$F492,$F497,BC$4:BC492)</f>
        <v>0</v>
      </c>
      <c r="BD497" s="237">
        <f>SUMIF($F$4:$F492,$F497,BD$4:BD492)</f>
        <v>0</v>
      </c>
      <c r="BE497" s="237">
        <f>SUMIF($F$4:$F492,$F497,BE$4:BE492)</f>
        <v>0</v>
      </c>
      <c r="BF497" s="237">
        <f>SUMIF($F$4:$F492,$F497,BF$4:BF492)</f>
        <v>0</v>
      </c>
      <c r="BG497" s="237">
        <f>SUMIF($F$4:$F492,$F497,BG$4:BG492)</f>
        <v>0</v>
      </c>
      <c r="BH497" s="237">
        <f>SUMIF($F$4:$F492,$F497,BH$4:BH492)</f>
        <v>0</v>
      </c>
      <c r="BI497" s="237">
        <f>+SUM(N497:AA497)</f>
        <v>51140903.569999993</v>
      </c>
      <c r="BJ497" s="237">
        <f>+AB497</f>
        <v>11496440</v>
      </c>
      <c r="BK497" s="237">
        <f>+SUM(AC497:AM497)</f>
        <v>12949137.744999999</v>
      </c>
      <c r="BL497" s="237">
        <f>+SUM(AN497:BH497)</f>
        <v>0</v>
      </c>
    </row>
    <row r="498" spans="1:64" s="187" customFormat="1" ht="16.2" hidden="1" outlineLevel="1" thickBot="1" x14ac:dyDescent="0.35">
      <c r="B498" s="238" t="s">
        <v>3973</v>
      </c>
      <c r="C498" s="239" t="s">
        <v>2827</v>
      </c>
      <c r="D498" s="239" t="s">
        <v>2957</v>
      </c>
      <c r="E498" s="238" t="s">
        <v>3973</v>
      </c>
      <c r="F498" s="239"/>
      <c r="G498" s="239"/>
      <c r="H498" s="239"/>
      <c r="I498" s="240">
        <f>+I494+I497</f>
        <v>761698682.10681748</v>
      </c>
      <c r="J498" s="240">
        <f t="shared" ref="J498:AY498" si="206">+J494+J497</f>
        <v>761698682.43566895</v>
      </c>
      <c r="K498" s="240">
        <f t="shared" si="202"/>
        <v>-0.32885146141052246</v>
      </c>
      <c r="L498" s="240">
        <f t="shared" si="206"/>
        <v>1228427414.3245263</v>
      </c>
      <c r="M498" s="240"/>
      <c r="N498" s="240">
        <f t="shared" si="206"/>
        <v>113689865.05109103</v>
      </c>
      <c r="O498" s="240">
        <f t="shared" ref="O498:Z498" si="207">+O494+O497</f>
        <v>24849906.115511589</v>
      </c>
      <c r="P498" s="240">
        <f t="shared" si="207"/>
        <v>8744118.4944339842</v>
      </c>
      <c r="Q498" s="240">
        <f t="shared" si="207"/>
        <v>36931426.211178444</v>
      </c>
      <c r="R498" s="240">
        <f t="shared" si="207"/>
        <v>14256280.182834199</v>
      </c>
      <c r="S498" s="240">
        <f t="shared" si="207"/>
        <v>35160876.585801773</v>
      </c>
      <c r="T498" s="240">
        <f t="shared" si="207"/>
        <v>21994505.537671339</v>
      </c>
      <c r="U498" s="240">
        <f t="shared" si="207"/>
        <v>41426949.529300585</v>
      </c>
      <c r="V498" s="240">
        <f t="shared" si="207"/>
        <v>45855577.38965784</v>
      </c>
      <c r="W498" s="240">
        <f t="shared" si="207"/>
        <v>31650792.864740092</v>
      </c>
      <c r="X498" s="240">
        <f t="shared" si="207"/>
        <v>21249891.664048765</v>
      </c>
      <c r="Y498" s="240">
        <f t="shared" si="207"/>
        <v>85012594.198373824</v>
      </c>
      <c r="Z498" s="240">
        <f t="shared" si="207"/>
        <v>17717841.508302774</v>
      </c>
      <c r="AA498" s="240">
        <f t="shared" si="206"/>
        <v>63814259.568182096</v>
      </c>
      <c r="AB498" s="240">
        <f t="shared" si="206"/>
        <v>11496439.874179933</v>
      </c>
      <c r="AC498" s="240">
        <f t="shared" si="206"/>
        <v>13903239.113053959</v>
      </c>
      <c r="AD498" s="240">
        <f t="shared" si="206"/>
        <v>0</v>
      </c>
      <c r="AE498" s="240">
        <f t="shared" si="206"/>
        <v>0</v>
      </c>
      <c r="AF498" s="240">
        <f>+AF494+AF497</f>
        <v>14607068.427306894</v>
      </c>
      <c r="AG498" s="240">
        <f>+AG494+AG497</f>
        <v>42844292</v>
      </c>
      <c r="AH498" s="240">
        <f t="shared" si="206"/>
        <v>0</v>
      </c>
      <c r="AI498" s="240">
        <f t="shared" si="206"/>
        <v>0</v>
      </c>
      <c r="AJ498" s="240">
        <f t="shared" si="206"/>
        <v>0</v>
      </c>
      <c r="AK498" s="240">
        <f t="shared" si="206"/>
        <v>0</v>
      </c>
      <c r="AL498" s="240">
        <f t="shared" si="206"/>
        <v>0</v>
      </c>
      <c r="AM498" s="240">
        <f t="shared" si="206"/>
        <v>116492758.12</v>
      </c>
      <c r="AN498" s="240">
        <f t="shared" si="206"/>
        <v>1911197</v>
      </c>
      <c r="AO498" s="240">
        <f t="shared" si="206"/>
        <v>178656704.64255401</v>
      </c>
      <c r="AP498" s="240">
        <f t="shared" si="206"/>
        <v>40180860</v>
      </c>
      <c r="AQ498" s="240">
        <f t="shared" si="206"/>
        <v>157177.68975872546</v>
      </c>
      <c r="AR498" s="240">
        <f t="shared" si="206"/>
        <v>4701492.2274356317</v>
      </c>
      <c r="AS498" s="240">
        <f t="shared" si="206"/>
        <v>0</v>
      </c>
      <c r="AT498" s="240">
        <f t="shared" si="206"/>
        <v>0</v>
      </c>
      <c r="AU498" s="240">
        <f t="shared" si="206"/>
        <v>0</v>
      </c>
      <c r="AV498" s="240">
        <f t="shared" si="206"/>
        <v>0</v>
      </c>
      <c r="AW498" s="240">
        <f t="shared" si="206"/>
        <v>0</v>
      </c>
      <c r="AX498" s="240">
        <f t="shared" si="206"/>
        <v>0</v>
      </c>
      <c r="AY498" s="240">
        <f t="shared" si="206"/>
        <v>9239068.3874350004</v>
      </c>
      <c r="AZ498" s="240">
        <f t="shared" ref="AZ498:BG498" si="208">+AZ494+AZ497</f>
        <v>4397772.8868914694</v>
      </c>
      <c r="BA498" s="240">
        <f t="shared" si="208"/>
        <v>212813923.01090354</v>
      </c>
      <c r="BB498" s="240">
        <f t="shared" si="208"/>
        <v>-5239256.3252908494</v>
      </c>
      <c r="BC498" s="240">
        <f t="shared" si="208"/>
        <v>570048.36916987062</v>
      </c>
      <c r="BD498" s="240">
        <f t="shared" si="208"/>
        <v>0</v>
      </c>
      <c r="BE498" s="240">
        <f>+BE494+BE497</f>
        <v>0</v>
      </c>
      <c r="BF498" s="240">
        <f t="shared" si="208"/>
        <v>19339744</v>
      </c>
      <c r="BG498" s="240">
        <f t="shared" si="208"/>
        <v>0</v>
      </c>
      <c r="BH498" s="240">
        <f>+BH494+BH497</f>
        <v>0</v>
      </c>
      <c r="BI498" s="240">
        <f>+BI494+BI497</f>
        <v>562354884.90112829</v>
      </c>
      <c r="BJ498" s="240">
        <f>+BJ494+BJ497</f>
        <v>11496439.874179933</v>
      </c>
      <c r="BK498" s="240">
        <f>+BK494+BK497</f>
        <v>187847357.66036087</v>
      </c>
      <c r="BL498" s="240">
        <f>+BL494+BL497</f>
        <v>466728731.88885736</v>
      </c>
    </row>
    <row r="499" spans="1:64" s="187" customFormat="1" hidden="1" outlineLevel="1" x14ac:dyDescent="0.3">
      <c r="B499" s="241" t="s">
        <v>2783</v>
      </c>
      <c r="C499" s="242" t="s">
        <v>2827</v>
      </c>
      <c r="D499" s="242"/>
      <c r="E499" s="241" t="s">
        <v>2783</v>
      </c>
      <c r="F499" s="242" t="s">
        <v>2790</v>
      </c>
      <c r="G499" s="242"/>
      <c r="H499" s="242" t="s">
        <v>3036</v>
      </c>
      <c r="I499" s="243">
        <f t="shared" ref="I499:L501" si="209">SUMIF($F$4:$F$492,$F499,I$4:I$492)</f>
        <v>744011547.16114736</v>
      </c>
      <c r="J499" s="243">
        <f t="shared" si="209"/>
        <v>744011547.2902211</v>
      </c>
      <c r="K499" s="243">
        <f t="shared" si="209"/>
        <v>-0.12907374650239944</v>
      </c>
      <c r="L499" s="243">
        <f t="shared" si="209"/>
        <v>744011547.69022119</v>
      </c>
      <c r="M499" s="243"/>
      <c r="N499" s="243">
        <f t="shared" ref="N499:W501" si="210">SUMIF($F$4:$F$492,$F499,N$4:N$492)</f>
        <v>64268808.564255498</v>
      </c>
      <c r="O499" s="243">
        <f t="shared" si="210"/>
        <v>66401597.386047892</v>
      </c>
      <c r="P499" s="243">
        <f t="shared" si="210"/>
        <v>11508583.581264475</v>
      </c>
      <c r="Q499" s="243">
        <f t="shared" si="210"/>
        <v>62775763.648400746</v>
      </c>
      <c r="R499" s="243">
        <f t="shared" si="210"/>
        <v>23007352.219087724</v>
      </c>
      <c r="S499" s="243">
        <f t="shared" si="210"/>
        <v>38135905.181016594</v>
      </c>
      <c r="T499" s="243">
        <f t="shared" si="210"/>
        <v>14259486.639443561</v>
      </c>
      <c r="U499" s="243">
        <f t="shared" si="210"/>
        <v>38795992.605803646</v>
      </c>
      <c r="V499" s="243">
        <f t="shared" si="210"/>
        <v>50756076.835279368</v>
      </c>
      <c r="W499" s="243">
        <f t="shared" si="210"/>
        <v>30388940.683660969</v>
      </c>
      <c r="X499" s="243">
        <f t="shared" ref="X499:AG501" si="211">SUMIF($F$4:$F$492,$F499,X$4:X$492)</f>
        <v>13302001.118406294</v>
      </c>
      <c r="Y499" s="243">
        <f t="shared" si="211"/>
        <v>46704610.100015312</v>
      </c>
      <c r="Z499" s="243">
        <f t="shared" si="211"/>
        <v>34065489.437317915</v>
      </c>
      <c r="AA499" s="243">
        <f t="shared" si="211"/>
        <v>63814260</v>
      </c>
      <c r="AB499" s="243">
        <f t="shared" si="211"/>
        <v>11496440</v>
      </c>
      <c r="AC499" s="243">
        <f t="shared" si="211"/>
        <v>386120</v>
      </c>
      <c r="AD499" s="243">
        <f t="shared" si="211"/>
        <v>0</v>
      </c>
      <c r="AE499" s="243">
        <f t="shared" si="211"/>
        <v>0</v>
      </c>
      <c r="AF499" s="243">
        <f t="shared" si="211"/>
        <v>14607069.132306892</v>
      </c>
      <c r="AG499" s="243">
        <f t="shared" si="211"/>
        <v>42844292</v>
      </c>
      <c r="AH499" s="243">
        <f t="shared" ref="AH499:AQ501" si="212">SUMIF($F$4:$F$492,$F499,AH$4:AH$492)</f>
        <v>0</v>
      </c>
      <c r="AI499" s="243">
        <f t="shared" si="212"/>
        <v>0</v>
      </c>
      <c r="AJ499" s="243">
        <f t="shared" si="212"/>
        <v>0</v>
      </c>
      <c r="AK499" s="243">
        <f t="shared" si="212"/>
        <v>0</v>
      </c>
      <c r="AL499" s="243">
        <f t="shared" si="212"/>
        <v>0</v>
      </c>
      <c r="AM499" s="243">
        <f t="shared" si="212"/>
        <v>116492758.55791421</v>
      </c>
      <c r="AN499" s="243">
        <f t="shared" si="212"/>
        <v>0</v>
      </c>
      <c r="AO499" s="243">
        <f t="shared" si="212"/>
        <v>0</v>
      </c>
      <c r="AP499" s="243">
        <f t="shared" si="212"/>
        <v>0</v>
      </c>
      <c r="AQ499" s="243">
        <f t="shared" si="212"/>
        <v>0</v>
      </c>
      <c r="AR499" s="243">
        <f t="shared" ref="AR499:BA501" si="213">SUMIF($F$4:$F$492,$F499,AR$4:AR$492)</f>
        <v>0</v>
      </c>
      <c r="AS499" s="243">
        <f t="shared" si="213"/>
        <v>0</v>
      </c>
      <c r="AT499" s="243">
        <f t="shared" si="213"/>
        <v>0</v>
      </c>
      <c r="AU499" s="243">
        <f t="shared" si="213"/>
        <v>0</v>
      </c>
      <c r="AV499" s="243">
        <f t="shared" si="213"/>
        <v>0</v>
      </c>
      <c r="AW499" s="243">
        <f t="shared" si="213"/>
        <v>0</v>
      </c>
      <c r="AX499" s="243">
        <f t="shared" si="213"/>
        <v>0</v>
      </c>
      <c r="AY499" s="243">
        <f t="shared" si="213"/>
        <v>0</v>
      </c>
      <c r="AZ499" s="243">
        <f t="shared" si="213"/>
        <v>0</v>
      </c>
      <c r="BA499" s="243">
        <f t="shared" si="213"/>
        <v>0</v>
      </c>
      <c r="BB499" s="243">
        <f t="shared" ref="BB499:BH501" si="214">SUMIF($F$4:$F$492,$F499,BB$4:BB$492)</f>
        <v>0</v>
      </c>
      <c r="BC499" s="243">
        <f t="shared" si="214"/>
        <v>0</v>
      </c>
      <c r="BD499" s="243">
        <f t="shared" si="214"/>
        <v>0</v>
      </c>
      <c r="BE499" s="243">
        <f t="shared" si="214"/>
        <v>0</v>
      </c>
      <c r="BF499" s="243">
        <f t="shared" si="214"/>
        <v>0</v>
      </c>
      <c r="BG499" s="243">
        <f t="shared" si="214"/>
        <v>0</v>
      </c>
      <c r="BH499" s="243">
        <f t="shared" si="214"/>
        <v>0</v>
      </c>
      <c r="BI499" s="243">
        <f>+SUM(N499:AA499)</f>
        <v>558184868</v>
      </c>
      <c r="BJ499" s="243">
        <f>+AB499</f>
        <v>11496440</v>
      </c>
      <c r="BK499" s="243">
        <f>+SUM(AC499:AM499)</f>
        <v>174330239.6902211</v>
      </c>
      <c r="BL499" s="243">
        <f>+SUM(AN499:BH499)</f>
        <v>0</v>
      </c>
    </row>
    <row r="500" spans="1:64" s="187" customFormat="1" hidden="1" outlineLevel="1" x14ac:dyDescent="0.3">
      <c r="B500" s="244" t="s">
        <v>3974</v>
      </c>
      <c r="C500" s="245" t="s">
        <v>2827</v>
      </c>
      <c r="D500" s="245" t="s">
        <v>2958</v>
      </c>
      <c r="E500" s="244" t="s">
        <v>3974</v>
      </c>
      <c r="F500" s="245" t="s">
        <v>83</v>
      </c>
      <c r="G500" s="245"/>
      <c r="H500" s="245" t="s">
        <v>3036</v>
      </c>
      <c r="I500" s="246">
        <f t="shared" si="209"/>
        <v>680348307.53879845</v>
      </c>
      <c r="J500" s="246">
        <f t="shared" si="209"/>
        <v>680348307.69022119</v>
      </c>
      <c r="K500" s="246">
        <f t="shared" si="209"/>
        <v>-0.15142275020480156</v>
      </c>
      <c r="L500" s="246">
        <f t="shared" si="209"/>
        <v>680348307.69022119</v>
      </c>
      <c r="M500" s="246"/>
      <c r="N500" s="246">
        <f t="shared" si="210"/>
        <v>59351869</v>
      </c>
      <c r="O500" s="246">
        <f t="shared" si="210"/>
        <v>62784580</v>
      </c>
      <c r="P500" s="246">
        <f t="shared" si="210"/>
        <v>7078307</v>
      </c>
      <c r="Q500" s="246">
        <f t="shared" si="210"/>
        <v>58204753</v>
      </c>
      <c r="R500" s="246">
        <f t="shared" si="210"/>
        <v>21037929</v>
      </c>
      <c r="S500" s="246">
        <f t="shared" si="210"/>
        <v>37978329</v>
      </c>
      <c r="T500" s="246">
        <f t="shared" si="210"/>
        <v>14071705</v>
      </c>
      <c r="U500" s="246">
        <f t="shared" si="210"/>
        <v>34527841</v>
      </c>
      <c r="V500" s="246">
        <f t="shared" si="210"/>
        <v>50732582</v>
      </c>
      <c r="W500" s="246">
        <f t="shared" si="210"/>
        <v>29909798</v>
      </c>
      <c r="X500" s="246">
        <f t="shared" si="211"/>
        <v>12622287</v>
      </c>
      <c r="Y500" s="246">
        <f t="shared" si="211"/>
        <v>46687687</v>
      </c>
      <c r="Z500" s="246">
        <f t="shared" si="211"/>
        <v>33240254</v>
      </c>
      <c r="AA500" s="246">
        <f t="shared" si="211"/>
        <v>37202259</v>
      </c>
      <c r="AB500" s="246">
        <f t="shared" si="211"/>
        <v>0</v>
      </c>
      <c r="AC500" s="246">
        <f t="shared" si="211"/>
        <v>19907</v>
      </c>
      <c r="AD500" s="246">
        <f t="shared" si="211"/>
        <v>0</v>
      </c>
      <c r="AE500" s="246">
        <f t="shared" si="211"/>
        <v>0</v>
      </c>
      <c r="AF500" s="246">
        <f t="shared" si="211"/>
        <v>14104477.132306892</v>
      </c>
      <c r="AG500" s="246">
        <f t="shared" si="211"/>
        <v>42844292</v>
      </c>
      <c r="AH500" s="246">
        <f t="shared" si="212"/>
        <v>0</v>
      </c>
      <c r="AI500" s="246">
        <f t="shared" si="212"/>
        <v>0</v>
      </c>
      <c r="AJ500" s="246">
        <f t="shared" si="212"/>
        <v>0</v>
      </c>
      <c r="AK500" s="246">
        <f t="shared" si="212"/>
        <v>0</v>
      </c>
      <c r="AL500" s="246">
        <f t="shared" si="212"/>
        <v>0</v>
      </c>
      <c r="AM500" s="246">
        <f t="shared" si="212"/>
        <v>117949451.55791421</v>
      </c>
      <c r="AN500" s="246">
        <f t="shared" si="212"/>
        <v>0</v>
      </c>
      <c r="AO500" s="246">
        <f t="shared" si="212"/>
        <v>0</v>
      </c>
      <c r="AP500" s="246">
        <f t="shared" si="212"/>
        <v>0</v>
      </c>
      <c r="AQ500" s="246">
        <f t="shared" si="212"/>
        <v>0</v>
      </c>
      <c r="AR500" s="246">
        <f t="shared" si="213"/>
        <v>0</v>
      </c>
      <c r="AS500" s="246">
        <f t="shared" si="213"/>
        <v>0</v>
      </c>
      <c r="AT500" s="246">
        <f t="shared" si="213"/>
        <v>0</v>
      </c>
      <c r="AU500" s="246">
        <f t="shared" si="213"/>
        <v>0</v>
      </c>
      <c r="AV500" s="246">
        <f t="shared" si="213"/>
        <v>0</v>
      </c>
      <c r="AW500" s="246">
        <f t="shared" si="213"/>
        <v>0</v>
      </c>
      <c r="AX500" s="246">
        <f t="shared" si="213"/>
        <v>0</v>
      </c>
      <c r="AY500" s="246">
        <f t="shared" si="213"/>
        <v>0</v>
      </c>
      <c r="AZ500" s="246">
        <f t="shared" si="213"/>
        <v>0</v>
      </c>
      <c r="BA500" s="246">
        <f t="shared" si="213"/>
        <v>0</v>
      </c>
      <c r="BB500" s="246">
        <f t="shared" si="214"/>
        <v>0</v>
      </c>
      <c r="BC500" s="246">
        <f t="shared" si="214"/>
        <v>0</v>
      </c>
      <c r="BD500" s="246">
        <f t="shared" si="214"/>
        <v>0</v>
      </c>
      <c r="BE500" s="246">
        <f t="shared" si="214"/>
        <v>0</v>
      </c>
      <c r="BF500" s="246">
        <f t="shared" si="214"/>
        <v>0</v>
      </c>
      <c r="BG500" s="246">
        <f t="shared" si="214"/>
        <v>0</v>
      </c>
      <c r="BH500" s="246">
        <f t="shared" si="214"/>
        <v>0</v>
      </c>
      <c r="BI500" s="246">
        <f>+SUM(N500:AA500)</f>
        <v>505430180</v>
      </c>
      <c r="BJ500" s="246">
        <f>+AB500</f>
        <v>0</v>
      </c>
      <c r="BK500" s="246">
        <f>+SUM(AC500:AM500)</f>
        <v>174918127.6902211</v>
      </c>
      <c r="BL500" s="246">
        <f>+SUM(AN500:BH500)</f>
        <v>0</v>
      </c>
    </row>
    <row r="501" spans="1:64" s="187" customFormat="1" ht="16.2" hidden="1" outlineLevel="1" thickBot="1" x14ac:dyDescent="0.35">
      <c r="B501" s="244" t="s">
        <v>2806</v>
      </c>
      <c r="C501" s="245" t="s">
        <v>2827</v>
      </c>
      <c r="D501" s="245" t="s">
        <v>2956</v>
      </c>
      <c r="E501" s="244" t="s">
        <v>2806</v>
      </c>
      <c r="F501" s="245" t="s">
        <v>86</v>
      </c>
      <c r="G501" s="245"/>
      <c r="H501" s="245" t="s">
        <v>3036</v>
      </c>
      <c r="I501" s="246">
        <f t="shared" si="209"/>
        <v>63663239.744999997</v>
      </c>
      <c r="J501" s="246">
        <f t="shared" si="209"/>
        <v>63663240</v>
      </c>
      <c r="K501" s="246">
        <f t="shared" si="209"/>
        <v>-0.25500000000465661</v>
      </c>
      <c r="L501" s="246">
        <f t="shared" si="209"/>
        <v>63663240</v>
      </c>
      <c r="M501" s="246"/>
      <c r="N501" s="246">
        <f t="shared" si="210"/>
        <v>4916939.5642554983</v>
      </c>
      <c r="O501" s="246">
        <f t="shared" si="210"/>
        <v>3617017.3860478918</v>
      </c>
      <c r="P501" s="246">
        <f t="shared" si="210"/>
        <v>4430276.5812644754</v>
      </c>
      <c r="Q501" s="246">
        <f t="shared" si="210"/>
        <v>4571010.6484007426</v>
      </c>
      <c r="R501" s="246">
        <f t="shared" si="210"/>
        <v>1969423.2190877246</v>
      </c>
      <c r="S501" s="246">
        <f t="shared" si="210"/>
        <v>157576.18101659551</v>
      </c>
      <c r="T501" s="246">
        <f t="shared" si="210"/>
        <v>187781.63944356181</v>
      </c>
      <c r="U501" s="246">
        <f t="shared" si="210"/>
        <v>4268151.605803648</v>
      </c>
      <c r="V501" s="246">
        <f t="shared" si="210"/>
        <v>23494.835279367569</v>
      </c>
      <c r="W501" s="246">
        <f t="shared" si="210"/>
        <v>479142.68366096891</v>
      </c>
      <c r="X501" s="246">
        <f t="shared" si="211"/>
        <v>679714.11840629368</v>
      </c>
      <c r="Y501" s="246">
        <f t="shared" si="211"/>
        <v>16923.100015313055</v>
      </c>
      <c r="Z501" s="246">
        <f t="shared" si="211"/>
        <v>825235.43731791817</v>
      </c>
      <c r="AA501" s="246">
        <f t="shared" si="211"/>
        <v>26612001</v>
      </c>
      <c r="AB501" s="246">
        <f t="shared" si="211"/>
        <v>11496440</v>
      </c>
      <c r="AC501" s="246">
        <f t="shared" si="211"/>
        <v>366213</v>
      </c>
      <c r="AD501" s="246">
        <f t="shared" si="211"/>
        <v>0</v>
      </c>
      <c r="AE501" s="246">
        <f t="shared" si="211"/>
        <v>0</v>
      </c>
      <c r="AF501" s="246">
        <f t="shared" si="211"/>
        <v>502592</v>
      </c>
      <c r="AG501" s="246">
        <f t="shared" si="211"/>
        <v>0</v>
      </c>
      <c r="AH501" s="246">
        <f t="shared" si="212"/>
        <v>0</v>
      </c>
      <c r="AI501" s="246">
        <f t="shared" si="212"/>
        <v>0</v>
      </c>
      <c r="AJ501" s="246">
        <f t="shared" si="212"/>
        <v>0</v>
      </c>
      <c r="AK501" s="246">
        <f t="shared" si="212"/>
        <v>0</v>
      </c>
      <c r="AL501" s="246">
        <f t="shared" si="212"/>
        <v>0</v>
      </c>
      <c r="AM501" s="246">
        <f t="shared" si="212"/>
        <v>-1456693</v>
      </c>
      <c r="AN501" s="246">
        <f t="shared" si="212"/>
        <v>0</v>
      </c>
      <c r="AO501" s="246">
        <f t="shared" si="212"/>
        <v>0</v>
      </c>
      <c r="AP501" s="246">
        <f t="shared" si="212"/>
        <v>0</v>
      </c>
      <c r="AQ501" s="246">
        <f t="shared" si="212"/>
        <v>0</v>
      </c>
      <c r="AR501" s="246">
        <f t="shared" si="213"/>
        <v>0</v>
      </c>
      <c r="AS501" s="246">
        <f t="shared" si="213"/>
        <v>0</v>
      </c>
      <c r="AT501" s="246">
        <f t="shared" si="213"/>
        <v>0</v>
      </c>
      <c r="AU501" s="246">
        <f t="shared" si="213"/>
        <v>0</v>
      </c>
      <c r="AV501" s="246">
        <f t="shared" si="213"/>
        <v>0</v>
      </c>
      <c r="AW501" s="246">
        <f t="shared" si="213"/>
        <v>0</v>
      </c>
      <c r="AX501" s="246">
        <f t="shared" si="213"/>
        <v>0</v>
      </c>
      <c r="AY501" s="246">
        <f t="shared" si="213"/>
        <v>0</v>
      </c>
      <c r="AZ501" s="246">
        <f t="shared" si="213"/>
        <v>0</v>
      </c>
      <c r="BA501" s="246">
        <f t="shared" si="213"/>
        <v>0</v>
      </c>
      <c r="BB501" s="246">
        <f t="shared" si="214"/>
        <v>0</v>
      </c>
      <c r="BC501" s="246">
        <f t="shared" si="214"/>
        <v>0</v>
      </c>
      <c r="BD501" s="246">
        <f t="shared" si="214"/>
        <v>0</v>
      </c>
      <c r="BE501" s="246">
        <f t="shared" si="214"/>
        <v>0</v>
      </c>
      <c r="BF501" s="246">
        <f t="shared" si="214"/>
        <v>0</v>
      </c>
      <c r="BG501" s="246">
        <f t="shared" si="214"/>
        <v>0</v>
      </c>
      <c r="BH501" s="246">
        <f t="shared" si="214"/>
        <v>0</v>
      </c>
      <c r="BI501" s="246">
        <f>+SUM(N501:AA501)</f>
        <v>52754688</v>
      </c>
      <c r="BJ501" s="246">
        <f>+AB501</f>
        <v>11496440</v>
      </c>
      <c r="BK501" s="246">
        <f>+SUM(AC501:AM501)</f>
        <v>-587888</v>
      </c>
      <c r="BL501" s="246">
        <f>+SUM(AN501:BH501)</f>
        <v>0</v>
      </c>
    </row>
    <row r="502" spans="1:64" s="187" customFormat="1" ht="16.2" hidden="1" outlineLevel="1" thickBot="1" x14ac:dyDescent="0.35">
      <c r="B502" s="247" t="s">
        <v>2807</v>
      </c>
      <c r="C502" s="248" t="s">
        <v>2827</v>
      </c>
      <c r="D502" s="248" t="s">
        <v>2959</v>
      </c>
      <c r="E502" s="247" t="s">
        <v>2807</v>
      </c>
      <c r="F502" s="248"/>
      <c r="G502" s="248"/>
      <c r="H502" s="248" t="s">
        <v>3036</v>
      </c>
      <c r="I502" s="249">
        <f>SUM(I500:I501)</f>
        <v>744011547.28379846</v>
      </c>
      <c r="J502" s="249">
        <f t="shared" ref="J502:AY502" si="215">SUM(J500:J501)</f>
        <v>744011547.69022119</v>
      </c>
      <c r="K502" s="249">
        <f t="shared" si="215"/>
        <v>-0.40642275020945817</v>
      </c>
      <c r="L502" s="249">
        <f t="shared" si="215"/>
        <v>744011547.69022119</v>
      </c>
      <c r="M502" s="249"/>
      <c r="N502" s="249">
        <f t="shared" si="215"/>
        <v>64268808.564255498</v>
      </c>
      <c r="O502" s="249">
        <f t="shared" ref="O502:Z502" si="216">SUM(O500:O501)</f>
        <v>66401597.386047892</v>
      </c>
      <c r="P502" s="249">
        <f t="shared" si="216"/>
        <v>11508583.581264475</v>
      </c>
      <c r="Q502" s="249">
        <f t="shared" si="216"/>
        <v>62775763.648400739</v>
      </c>
      <c r="R502" s="249">
        <f t="shared" si="216"/>
        <v>23007352.219087724</v>
      </c>
      <c r="S502" s="249">
        <f t="shared" si="216"/>
        <v>38135905.181016594</v>
      </c>
      <c r="T502" s="249">
        <f t="shared" si="216"/>
        <v>14259486.639443561</v>
      </c>
      <c r="U502" s="249">
        <f t="shared" si="216"/>
        <v>38795992.605803646</v>
      </c>
      <c r="V502" s="249">
        <f t="shared" si="216"/>
        <v>50756076.835279368</v>
      </c>
      <c r="W502" s="249">
        <f t="shared" si="216"/>
        <v>30388940.683660969</v>
      </c>
      <c r="X502" s="249">
        <f t="shared" si="216"/>
        <v>13302001.118406294</v>
      </c>
      <c r="Y502" s="249">
        <f t="shared" si="216"/>
        <v>46704610.100015312</v>
      </c>
      <c r="Z502" s="249">
        <f t="shared" si="216"/>
        <v>34065489.437317915</v>
      </c>
      <c r="AA502" s="249">
        <f t="shared" si="215"/>
        <v>63814260</v>
      </c>
      <c r="AB502" s="249">
        <f t="shared" si="215"/>
        <v>11496440</v>
      </c>
      <c r="AC502" s="249">
        <f t="shared" si="215"/>
        <v>386120</v>
      </c>
      <c r="AD502" s="249">
        <f t="shared" si="215"/>
        <v>0</v>
      </c>
      <c r="AE502" s="249">
        <f t="shared" si="215"/>
        <v>0</v>
      </c>
      <c r="AF502" s="249">
        <f>SUM(AF500:AF501)</f>
        <v>14607069.132306892</v>
      </c>
      <c r="AG502" s="249">
        <f>SUM(AG500:AG501)</f>
        <v>42844292</v>
      </c>
      <c r="AH502" s="249">
        <f t="shared" si="215"/>
        <v>0</v>
      </c>
      <c r="AI502" s="249">
        <f t="shared" si="215"/>
        <v>0</v>
      </c>
      <c r="AJ502" s="249">
        <f t="shared" si="215"/>
        <v>0</v>
      </c>
      <c r="AK502" s="249">
        <f t="shared" si="215"/>
        <v>0</v>
      </c>
      <c r="AL502" s="249">
        <f t="shared" si="215"/>
        <v>0</v>
      </c>
      <c r="AM502" s="249">
        <f t="shared" si="215"/>
        <v>116492758.55791421</v>
      </c>
      <c r="AN502" s="249">
        <f t="shared" si="215"/>
        <v>0</v>
      </c>
      <c r="AO502" s="249">
        <f t="shared" si="215"/>
        <v>0</v>
      </c>
      <c r="AP502" s="249">
        <f t="shared" si="215"/>
        <v>0</v>
      </c>
      <c r="AQ502" s="249">
        <f t="shared" si="215"/>
        <v>0</v>
      </c>
      <c r="AR502" s="249">
        <f t="shared" si="215"/>
        <v>0</v>
      </c>
      <c r="AS502" s="249">
        <f t="shared" si="215"/>
        <v>0</v>
      </c>
      <c r="AT502" s="249">
        <f t="shared" si="215"/>
        <v>0</v>
      </c>
      <c r="AU502" s="249">
        <f t="shared" si="215"/>
        <v>0</v>
      </c>
      <c r="AV502" s="249">
        <f t="shared" si="215"/>
        <v>0</v>
      </c>
      <c r="AW502" s="249">
        <f t="shared" si="215"/>
        <v>0</v>
      </c>
      <c r="AX502" s="249">
        <f t="shared" si="215"/>
        <v>0</v>
      </c>
      <c r="AY502" s="249">
        <f t="shared" si="215"/>
        <v>0</v>
      </c>
      <c r="AZ502" s="249">
        <f t="shared" ref="AZ502:BG502" si="217">SUM(AZ500:AZ501)</f>
        <v>0</v>
      </c>
      <c r="BA502" s="249">
        <f t="shared" si="217"/>
        <v>0</v>
      </c>
      <c r="BB502" s="249">
        <f t="shared" si="217"/>
        <v>0</v>
      </c>
      <c r="BC502" s="249">
        <f t="shared" si="217"/>
        <v>0</v>
      </c>
      <c r="BD502" s="249">
        <f t="shared" si="217"/>
        <v>0</v>
      </c>
      <c r="BE502" s="249">
        <f>SUM(BE500:BE501)</f>
        <v>0</v>
      </c>
      <c r="BF502" s="249">
        <f t="shared" si="217"/>
        <v>0</v>
      </c>
      <c r="BG502" s="249">
        <f t="shared" si="217"/>
        <v>0</v>
      </c>
      <c r="BH502" s="249">
        <f>SUM(BH500:BH501)</f>
        <v>0</v>
      </c>
      <c r="BI502" s="249">
        <f>SUM(BI500:BI501)</f>
        <v>558184868</v>
      </c>
      <c r="BJ502" s="249">
        <f>SUM(BJ500:BJ501)</f>
        <v>11496440</v>
      </c>
      <c r="BK502" s="249">
        <f>SUM(BK500:BK501)</f>
        <v>174330239.6902211</v>
      </c>
      <c r="BL502" s="249">
        <f>SUM(BL500:BL501)</f>
        <v>0</v>
      </c>
    </row>
    <row r="503" spans="1:64" s="187" customFormat="1" hidden="1" outlineLevel="1" x14ac:dyDescent="0.3">
      <c r="B503" s="250" t="s">
        <v>3975</v>
      </c>
      <c r="C503" s="251" t="s">
        <v>2827</v>
      </c>
      <c r="D503" s="251"/>
      <c r="E503" s="250" t="s">
        <v>3975</v>
      </c>
      <c r="F503" s="251"/>
      <c r="G503" s="251"/>
      <c r="H503" s="251"/>
      <c r="I503" s="252">
        <f>+I494-I500</f>
        <v>5763893.2530189753</v>
      </c>
      <c r="J503" s="252">
        <f t="shared" ref="J503:AY503" si="218">+J494-J500</f>
        <v>5763893.4304476976</v>
      </c>
      <c r="K503" s="252">
        <f t="shared" si="218"/>
        <v>-0.1774287112057209</v>
      </c>
      <c r="L503" s="252">
        <f t="shared" si="218"/>
        <v>472492625.31930506</v>
      </c>
      <c r="M503" s="252"/>
      <c r="N503" s="252">
        <f t="shared" si="218"/>
        <v>49421056.649202928</v>
      </c>
      <c r="O503" s="252">
        <f t="shared" ref="O503:Z503" si="219">+O494-O500</f>
        <v>-41551691.292918444</v>
      </c>
      <c r="P503" s="252">
        <f t="shared" si="219"/>
        <v>-2764464.8305890802</v>
      </c>
      <c r="Q503" s="252">
        <f t="shared" si="219"/>
        <v>-25844337.556355961</v>
      </c>
      <c r="R503" s="252">
        <f t="shared" si="219"/>
        <v>-8751072.0740262419</v>
      </c>
      <c r="S503" s="252">
        <f t="shared" si="219"/>
        <v>-2975028.9883304536</v>
      </c>
      <c r="T503" s="252">
        <f t="shared" si="219"/>
        <v>7735018.7715166397</v>
      </c>
      <c r="U503" s="252">
        <f t="shared" si="219"/>
        <v>2630956.9443506375</v>
      </c>
      <c r="V503" s="252">
        <f t="shared" si="219"/>
        <v>-4900499.2911839932</v>
      </c>
      <c r="W503" s="252">
        <f t="shared" si="219"/>
        <v>1261852.0816836059</v>
      </c>
      <c r="X503" s="252">
        <f t="shared" si="219"/>
        <v>7947891.0325716287</v>
      </c>
      <c r="Y503" s="252">
        <f t="shared" si="219"/>
        <v>39921768.40611802</v>
      </c>
      <c r="Z503" s="252">
        <f t="shared" si="219"/>
        <v>-16347648.089093048</v>
      </c>
      <c r="AA503" s="252">
        <f t="shared" si="218"/>
        <v>-0.43181790411472321</v>
      </c>
      <c r="AB503" s="252">
        <f t="shared" si="218"/>
        <v>-0.12582006631419063</v>
      </c>
      <c r="AC503" s="252">
        <f t="shared" si="218"/>
        <v>-19906.886946041312</v>
      </c>
      <c r="AD503" s="252">
        <f t="shared" si="218"/>
        <v>0</v>
      </c>
      <c r="AE503" s="252">
        <f t="shared" si="218"/>
        <v>0</v>
      </c>
      <c r="AF503" s="252">
        <f>+AF494-AF500</f>
        <v>-0.44999999739229679</v>
      </c>
      <c r="AG503" s="252">
        <f>+AG494-AG500</f>
        <v>0</v>
      </c>
      <c r="AH503" s="252">
        <f t="shared" si="218"/>
        <v>0</v>
      </c>
      <c r="AI503" s="252">
        <f t="shared" si="218"/>
        <v>0</v>
      </c>
      <c r="AJ503" s="252">
        <f t="shared" si="218"/>
        <v>0</v>
      </c>
      <c r="AK503" s="252">
        <f t="shared" si="218"/>
        <v>0</v>
      </c>
      <c r="AL503" s="252">
        <f t="shared" si="218"/>
        <v>0</v>
      </c>
      <c r="AM503" s="252">
        <f t="shared" si="218"/>
        <v>-0.43791420757770538</v>
      </c>
      <c r="AN503" s="252">
        <f t="shared" si="218"/>
        <v>1911197</v>
      </c>
      <c r="AO503" s="252">
        <f t="shared" si="218"/>
        <v>178656704.64255401</v>
      </c>
      <c r="AP503" s="252">
        <f t="shared" si="218"/>
        <v>40180860</v>
      </c>
      <c r="AQ503" s="252">
        <f t="shared" si="218"/>
        <v>157177.68975872546</v>
      </c>
      <c r="AR503" s="252">
        <f t="shared" si="218"/>
        <v>4701492.2274356317</v>
      </c>
      <c r="AS503" s="252">
        <f t="shared" si="218"/>
        <v>0</v>
      </c>
      <c r="AT503" s="252">
        <f t="shared" si="218"/>
        <v>0</v>
      </c>
      <c r="AU503" s="252">
        <f t="shared" si="218"/>
        <v>0</v>
      </c>
      <c r="AV503" s="252">
        <f t="shared" si="218"/>
        <v>0</v>
      </c>
      <c r="AW503" s="252">
        <f t="shared" si="218"/>
        <v>0</v>
      </c>
      <c r="AX503" s="252">
        <f t="shared" si="218"/>
        <v>0</v>
      </c>
      <c r="AY503" s="252">
        <f t="shared" si="218"/>
        <v>9239068.3874350004</v>
      </c>
      <c r="AZ503" s="252">
        <f t="shared" ref="AZ503:BH503" si="220">+AZ494-AZ500</f>
        <v>4397772.8868914694</v>
      </c>
      <c r="BA503" s="252">
        <f t="shared" si="220"/>
        <v>212813923.01090354</v>
      </c>
      <c r="BB503" s="252">
        <f t="shared" si="220"/>
        <v>-5239256.3252908494</v>
      </c>
      <c r="BC503" s="252">
        <f t="shared" si="220"/>
        <v>570048.36916987062</v>
      </c>
      <c r="BD503" s="252">
        <f t="shared" si="220"/>
        <v>0</v>
      </c>
      <c r="BE503" s="252">
        <f>+BE494-BE500</f>
        <v>0</v>
      </c>
      <c r="BF503" s="252">
        <f t="shared" si="220"/>
        <v>19339744</v>
      </c>
      <c r="BG503" s="252">
        <f t="shared" si="220"/>
        <v>0</v>
      </c>
      <c r="BH503" s="252">
        <f t="shared" si="220"/>
        <v>0</v>
      </c>
      <c r="BI503" s="252">
        <f>+SUM(N503:AA503)</f>
        <v>5783801.3311283365</v>
      </c>
      <c r="BJ503" s="252">
        <f>+AB503</f>
        <v>-0.12582006631419063</v>
      </c>
      <c r="BK503" s="252">
        <f>+SUM(AC503:AM503)</f>
        <v>-19907.774860246282</v>
      </c>
      <c r="BL503" s="252">
        <f>+SUM(AN503:BH503)</f>
        <v>466728731.88885736</v>
      </c>
    </row>
    <row r="504" spans="1:64" s="187" customFormat="1" ht="16.2" hidden="1" outlineLevel="1" thickBot="1" x14ac:dyDescent="0.35">
      <c r="B504" s="253" t="s">
        <v>2784</v>
      </c>
      <c r="C504" s="254" t="s">
        <v>2827</v>
      </c>
      <c r="D504" s="254"/>
      <c r="E504" s="253" t="s">
        <v>2784</v>
      </c>
      <c r="F504" s="254"/>
      <c r="G504" s="254"/>
      <c r="H504" s="254"/>
      <c r="I504" s="255">
        <f>I497-I501</f>
        <v>11923241.57</v>
      </c>
      <c r="J504" s="255">
        <f t="shared" ref="J504:AY504" si="221">J497-J501</f>
        <v>11923241.314999998</v>
      </c>
      <c r="K504" s="255">
        <f t="shared" si="221"/>
        <v>0.25500000000465661</v>
      </c>
      <c r="L504" s="255">
        <f t="shared" si="221"/>
        <v>11923241.314999998</v>
      </c>
      <c r="M504" s="255"/>
      <c r="N504" s="255">
        <f t="shared" si="221"/>
        <v>-0.16236739978194237</v>
      </c>
      <c r="O504" s="255">
        <f t="shared" ref="O504:Z504" si="222">O497-O501</f>
        <v>2.238213736563921E-2</v>
      </c>
      <c r="P504" s="255">
        <f t="shared" si="222"/>
        <v>-0.25624141003936529</v>
      </c>
      <c r="Q504" s="255">
        <f t="shared" si="222"/>
        <v>0.11913366243243217</v>
      </c>
      <c r="R504" s="255">
        <f t="shared" si="222"/>
        <v>3.7772715790197253E-2</v>
      </c>
      <c r="S504" s="255">
        <f t="shared" si="222"/>
        <v>0.39311563270166516</v>
      </c>
      <c r="T504" s="255">
        <f t="shared" si="222"/>
        <v>0.12671113837859593</v>
      </c>
      <c r="U504" s="255">
        <f t="shared" si="222"/>
        <v>-2.085370197892189E-2</v>
      </c>
      <c r="V504" s="255">
        <f t="shared" si="222"/>
        <v>-0.15443753229556023</v>
      </c>
      <c r="W504" s="255">
        <f t="shared" si="222"/>
        <v>9.9395517201628536E-2</v>
      </c>
      <c r="X504" s="255">
        <f t="shared" si="222"/>
        <v>-0.48692915798164904</v>
      </c>
      <c r="Y504" s="255">
        <f t="shared" si="222"/>
        <v>-1613784.3077595085</v>
      </c>
      <c r="Z504" s="255">
        <f t="shared" si="222"/>
        <v>0.16007790539879352</v>
      </c>
      <c r="AA504" s="255">
        <f>AA497-AA501</f>
        <v>0</v>
      </c>
      <c r="AB504" s="255">
        <f t="shared" si="221"/>
        <v>0</v>
      </c>
      <c r="AC504" s="255">
        <f t="shared" si="221"/>
        <v>13537026</v>
      </c>
      <c r="AD504" s="255">
        <f t="shared" si="221"/>
        <v>0</v>
      </c>
      <c r="AE504" s="255">
        <f t="shared" si="221"/>
        <v>0</v>
      </c>
      <c r="AF504" s="255">
        <f>AF497-AF501</f>
        <v>-0.25500000000465661</v>
      </c>
      <c r="AG504" s="255">
        <f>AG497-AG501</f>
        <v>0</v>
      </c>
      <c r="AH504" s="255">
        <f t="shared" si="221"/>
        <v>0</v>
      </c>
      <c r="AI504" s="255">
        <f t="shared" si="221"/>
        <v>0</v>
      </c>
      <c r="AJ504" s="255">
        <f t="shared" si="221"/>
        <v>0</v>
      </c>
      <c r="AK504" s="255">
        <f t="shared" si="221"/>
        <v>0</v>
      </c>
      <c r="AL504" s="255">
        <f t="shared" si="221"/>
        <v>0</v>
      </c>
      <c r="AM504" s="255">
        <f t="shared" si="221"/>
        <v>0</v>
      </c>
      <c r="AN504" s="255">
        <f t="shared" si="221"/>
        <v>0</v>
      </c>
      <c r="AO504" s="255">
        <f t="shared" si="221"/>
        <v>0</v>
      </c>
      <c r="AP504" s="255">
        <f t="shared" si="221"/>
        <v>0</v>
      </c>
      <c r="AQ504" s="255">
        <f t="shared" si="221"/>
        <v>0</v>
      </c>
      <c r="AR504" s="255">
        <f t="shared" si="221"/>
        <v>0</v>
      </c>
      <c r="AS504" s="255">
        <f t="shared" si="221"/>
        <v>0</v>
      </c>
      <c r="AT504" s="255">
        <f t="shared" si="221"/>
        <v>0</v>
      </c>
      <c r="AU504" s="255">
        <f t="shared" si="221"/>
        <v>0</v>
      </c>
      <c r="AV504" s="255">
        <f t="shared" si="221"/>
        <v>0</v>
      </c>
      <c r="AW504" s="255">
        <f t="shared" si="221"/>
        <v>0</v>
      </c>
      <c r="AX504" s="255">
        <f t="shared" si="221"/>
        <v>0</v>
      </c>
      <c r="AY504" s="255">
        <f t="shared" si="221"/>
        <v>0</v>
      </c>
      <c r="AZ504" s="255">
        <f t="shared" ref="AZ504:BH504" si="223">AZ497-AZ501</f>
        <v>0</v>
      </c>
      <c r="BA504" s="255">
        <f t="shared" si="223"/>
        <v>0</v>
      </c>
      <c r="BB504" s="255">
        <f t="shared" si="223"/>
        <v>0</v>
      </c>
      <c r="BC504" s="255">
        <f t="shared" si="223"/>
        <v>0</v>
      </c>
      <c r="BD504" s="255">
        <f t="shared" si="223"/>
        <v>0</v>
      </c>
      <c r="BE504" s="255">
        <f>BE497-BE501</f>
        <v>0</v>
      </c>
      <c r="BF504" s="255">
        <f t="shared" si="223"/>
        <v>0</v>
      </c>
      <c r="BG504" s="255">
        <f t="shared" si="223"/>
        <v>0</v>
      </c>
      <c r="BH504" s="255">
        <f t="shared" si="223"/>
        <v>0</v>
      </c>
      <c r="BI504" s="255">
        <f>+SUM(N504:AA504)</f>
        <v>-1613784.4300000011</v>
      </c>
      <c r="BJ504" s="255">
        <f>+AB504</f>
        <v>0</v>
      </c>
      <c r="BK504" s="255">
        <f>+SUM(AC504:AM504)</f>
        <v>13537025.744999999</v>
      </c>
      <c r="BL504" s="255">
        <f>+SUM(AN504:BH504)</f>
        <v>0</v>
      </c>
    </row>
    <row r="505" spans="1:64" s="187" customFormat="1" ht="16.2" hidden="1" outlineLevel="1" thickBot="1" x14ac:dyDescent="0.35">
      <c r="B505" s="256" t="s">
        <v>2785</v>
      </c>
      <c r="C505" s="257" t="s">
        <v>2827</v>
      </c>
      <c r="D505" s="257" t="s">
        <v>2960</v>
      </c>
      <c r="E505" s="256" t="s">
        <v>2785</v>
      </c>
      <c r="F505" s="257"/>
      <c r="G505" s="257"/>
      <c r="H505" s="257" t="s">
        <v>3036</v>
      </c>
      <c r="I505" s="258">
        <f>+I498-I502</f>
        <v>17687134.823019028</v>
      </c>
      <c r="J505" s="258">
        <f t="shared" ref="J505:AY505" si="224">+J498-J502</f>
        <v>17687134.745447755</v>
      </c>
      <c r="K505" s="258">
        <f t="shared" si="224"/>
        <v>7.7571288798935711E-2</v>
      </c>
      <c r="L505" s="258">
        <f t="shared" si="224"/>
        <v>484415866.63430512</v>
      </c>
      <c r="M505" s="258"/>
      <c r="N505" s="258">
        <f t="shared" si="224"/>
        <v>49421056.486835532</v>
      </c>
      <c r="O505" s="258">
        <f t="shared" ref="O505:Z505" si="225">+O498-O502</f>
        <v>-41551691.270536304</v>
      </c>
      <c r="P505" s="258">
        <f t="shared" si="225"/>
        <v>-2764465.0868304912</v>
      </c>
      <c r="Q505" s="258">
        <f t="shared" si="225"/>
        <v>-25844337.437222295</v>
      </c>
      <c r="R505" s="258">
        <f t="shared" si="225"/>
        <v>-8751072.0362535249</v>
      </c>
      <c r="S505" s="258">
        <f t="shared" si="225"/>
        <v>-2975028.5952148214</v>
      </c>
      <c r="T505" s="258">
        <f t="shared" si="225"/>
        <v>7735018.8982277773</v>
      </c>
      <c r="U505" s="258">
        <f t="shared" si="225"/>
        <v>2630956.9234969392</v>
      </c>
      <c r="V505" s="258">
        <f t="shared" si="225"/>
        <v>-4900499.4456215277</v>
      </c>
      <c r="W505" s="258">
        <f t="shared" si="225"/>
        <v>1261852.1810791232</v>
      </c>
      <c r="X505" s="258">
        <f t="shared" si="225"/>
        <v>7947890.5456424709</v>
      </c>
      <c r="Y505" s="258">
        <f t="shared" si="225"/>
        <v>38307984.098358512</v>
      </c>
      <c r="Z505" s="258">
        <f t="shared" si="225"/>
        <v>-16347647.929015141</v>
      </c>
      <c r="AA505" s="258">
        <f t="shared" si="224"/>
        <v>-0.43181790411472321</v>
      </c>
      <c r="AB505" s="258">
        <f t="shared" si="224"/>
        <v>-0.12582006677985191</v>
      </c>
      <c r="AC505" s="258">
        <f t="shared" si="224"/>
        <v>13517119.113053959</v>
      </c>
      <c r="AD505" s="258">
        <f t="shared" si="224"/>
        <v>0</v>
      </c>
      <c r="AE505" s="258">
        <f t="shared" si="224"/>
        <v>0</v>
      </c>
      <c r="AF505" s="258">
        <f>+AF498-AF502</f>
        <v>-0.70499999821186066</v>
      </c>
      <c r="AG505" s="258">
        <f>+AG498-AG502</f>
        <v>0</v>
      </c>
      <c r="AH505" s="258">
        <f t="shared" si="224"/>
        <v>0</v>
      </c>
      <c r="AI505" s="258">
        <f t="shared" si="224"/>
        <v>0</v>
      </c>
      <c r="AJ505" s="258">
        <f t="shared" si="224"/>
        <v>0</v>
      </c>
      <c r="AK505" s="258">
        <f t="shared" si="224"/>
        <v>0</v>
      </c>
      <c r="AL505" s="258">
        <f t="shared" si="224"/>
        <v>0</v>
      </c>
      <c r="AM505" s="258">
        <f t="shared" si="224"/>
        <v>-0.43791420757770538</v>
      </c>
      <c r="AN505" s="258">
        <f t="shared" si="224"/>
        <v>1911197</v>
      </c>
      <c r="AO505" s="258">
        <f t="shared" si="224"/>
        <v>178656704.64255401</v>
      </c>
      <c r="AP505" s="258">
        <f t="shared" si="224"/>
        <v>40180860</v>
      </c>
      <c r="AQ505" s="258">
        <f t="shared" si="224"/>
        <v>157177.68975872546</v>
      </c>
      <c r="AR505" s="258">
        <f t="shared" si="224"/>
        <v>4701492.2274356317</v>
      </c>
      <c r="AS505" s="258">
        <f t="shared" si="224"/>
        <v>0</v>
      </c>
      <c r="AT505" s="258">
        <f t="shared" si="224"/>
        <v>0</v>
      </c>
      <c r="AU505" s="258">
        <f t="shared" si="224"/>
        <v>0</v>
      </c>
      <c r="AV505" s="258">
        <f t="shared" si="224"/>
        <v>0</v>
      </c>
      <c r="AW505" s="258">
        <f t="shared" si="224"/>
        <v>0</v>
      </c>
      <c r="AX505" s="258">
        <f t="shared" si="224"/>
        <v>0</v>
      </c>
      <c r="AY505" s="258">
        <f t="shared" si="224"/>
        <v>9239068.3874350004</v>
      </c>
      <c r="AZ505" s="258">
        <f t="shared" ref="AZ505:BG505" si="226">+AZ498-AZ502</f>
        <v>4397772.8868914694</v>
      </c>
      <c r="BA505" s="258">
        <f t="shared" si="226"/>
        <v>212813923.01090354</v>
      </c>
      <c r="BB505" s="258">
        <f t="shared" si="226"/>
        <v>-5239256.3252908494</v>
      </c>
      <c r="BC505" s="258">
        <f t="shared" si="226"/>
        <v>570048.36916987062</v>
      </c>
      <c r="BD505" s="258">
        <f t="shared" si="226"/>
        <v>0</v>
      </c>
      <c r="BE505" s="258">
        <f>+BE498-BE502</f>
        <v>0</v>
      </c>
      <c r="BF505" s="258">
        <f t="shared" si="226"/>
        <v>19339744</v>
      </c>
      <c r="BG505" s="258">
        <f t="shared" si="226"/>
        <v>0</v>
      </c>
      <c r="BH505" s="258">
        <f>+BH498-BH502</f>
        <v>0</v>
      </c>
      <c r="BI505" s="258">
        <f>+BI498-BI502</f>
        <v>4170016.9011282921</v>
      </c>
      <c r="BJ505" s="258">
        <f>+BJ498-BJ502</f>
        <v>-0.12582006677985191</v>
      </c>
      <c r="BK505" s="258">
        <f>+BK498-BK502</f>
        <v>13517117.970139772</v>
      </c>
      <c r="BL505" s="258">
        <f>+BL498-BL502</f>
        <v>466728731.88885736</v>
      </c>
    </row>
    <row r="506" spans="1:64" s="187" customFormat="1" hidden="1" outlineLevel="1" x14ac:dyDescent="0.3">
      <c r="B506" s="793"/>
      <c r="C506" s="793"/>
      <c r="D506" s="793"/>
      <c r="E506" s="793"/>
      <c r="F506" s="793"/>
      <c r="G506" s="793"/>
      <c r="H506" s="793"/>
      <c r="I506" s="794"/>
      <c r="J506" s="794"/>
      <c r="K506" s="794"/>
      <c r="L506" s="794"/>
      <c r="M506" s="794"/>
      <c r="N506" s="794"/>
      <c r="O506" s="794"/>
      <c r="P506" s="794"/>
      <c r="Q506" s="794"/>
      <c r="R506" s="794"/>
      <c r="S506" s="794"/>
      <c r="T506" s="794"/>
      <c r="U506" s="794"/>
      <c r="V506" s="794"/>
      <c r="W506" s="794"/>
      <c r="X506" s="794"/>
      <c r="Y506" s="794"/>
      <c r="Z506" s="794"/>
      <c r="AA506" s="794"/>
      <c r="AB506" s="794"/>
      <c r="AC506" s="794"/>
      <c r="AD506" s="794"/>
      <c r="AE506" s="794"/>
      <c r="AF506" s="794"/>
      <c r="AG506" s="794"/>
      <c r="AH506" s="794"/>
      <c r="AI506" s="794"/>
      <c r="AJ506" s="794"/>
      <c r="AK506" s="794"/>
      <c r="AL506" s="794"/>
      <c r="AM506" s="794"/>
      <c r="AN506" s="794"/>
      <c r="AO506" s="794"/>
      <c r="AP506" s="794"/>
      <c r="AQ506" s="794"/>
      <c r="AR506" s="794"/>
      <c r="AS506" s="794"/>
      <c r="AT506" s="794"/>
      <c r="AU506" s="794"/>
      <c r="AV506" s="794"/>
      <c r="AW506" s="794"/>
      <c r="AX506" s="794"/>
      <c r="AY506" s="794"/>
      <c r="AZ506" s="794"/>
      <c r="BA506" s="794"/>
      <c r="BB506" s="794"/>
      <c r="BC506" s="794"/>
      <c r="BD506" s="794"/>
      <c r="BE506" s="794"/>
      <c r="BF506" s="794"/>
      <c r="BG506" s="794"/>
      <c r="BH506" s="794"/>
      <c r="BI506" s="794"/>
      <c r="BJ506" s="794"/>
      <c r="BK506" s="794"/>
      <c r="BL506" s="794"/>
    </row>
    <row r="507" spans="1:64" s="187" customFormat="1" hidden="1" outlineLevel="1" x14ac:dyDescent="0.3">
      <c r="A507" s="259"/>
      <c r="B507" s="259"/>
      <c r="C507" s="259"/>
      <c r="D507" s="259"/>
      <c r="E507" s="259"/>
      <c r="F507" s="259"/>
      <c r="G507" s="259"/>
      <c r="H507" s="259"/>
      <c r="I507" s="261"/>
      <c r="J507" s="259"/>
      <c r="K507" s="259"/>
      <c r="L507" s="259"/>
      <c r="M507" s="260"/>
      <c r="N507" s="259"/>
      <c r="O507" s="259"/>
      <c r="P507" s="259"/>
      <c r="Q507" s="259"/>
      <c r="R507" s="259"/>
      <c r="S507" s="259"/>
      <c r="T507" s="259"/>
      <c r="U507" s="259"/>
      <c r="V507" s="259"/>
      <c r="W507" s="259"/>
      <c r="X507" s="259"/>
      <c r="Y507" s="259"/>
      <c r="Z507" s="259"/>
      <c r="AA507" s="259"/>
      <c r="AB507" s="259"/>
      <c r="AC507" s="259"/>
      <c r="AD507" s="259"/>
      <c r="AE507" s="259"/>
      <c r="AF507" s="259"/>
      <c r="AG507" s="259"/>
      <c r="AH507" s="259"/>
      <c r="AI507" s="259"/>
      <c r="AJ507" s="259"/>
      <c r="AK507" s="259"/>
      <c r="AL507" s="259"/>
      <c r="AM507" s="259"/>
      <c r="AN507" s="259"/>
      <c r="AO507" s="259"/>
      <c r="AP507" s="259"/>
      <c r="AQ507" s="259"/>
      <c r="AR507" s="259"/>
      <c r="AS507" s="259"/>
      <c r="AT507" s="259"/>
      <c r="AU507" s="259"/>
      <c r="AV507" s="259"/>
      <c r="AW507" s="259"/>
      <c r="AX507" s="259"/>
      <c r="AY507" s="259"/>
      <c r="AZ507" s="259"/>
      <c r="BA507" s="259"/>
      <c r="BB507" s="259"/>
      <c r="BC507" s="259"/>
      <c r="BD507" s="259"/>
      <c r="BE507" s="259"/>
      <c r="BF507" s="259"/>
      <c r="BG507" s="259"/>
      <c r="BH507" s="259"/>
      <c r="BI507" s="259"/>
      <c r="BJ507" s="259"/>
      <c r="BK507" s="259"/>
      <c r="BL507" s="259"/>
    </row>
    <row r="508" spans="1:64" s="259" customFormat="1" ht="22.2" customHeight="1" collapsed="1" x14ac:dyDescent="0.3">
      <c r="B508" s="367" t="s">
        <v>2828</v>
      </c>
      <c r="C508" s="266"/>
      <c r="D508" s="266"/>
      <c r="E508" s="367" t="s">
        <v>2826</v>
      </c>
      <c r="F508" s="367"/>
      <c r="G508" s="367">
        <v>345</v>
      </c>
      <c r="H508" s="367" t="str">
        <f>IFERROR(VLOOKUP(G508,'2022. tervsor'!C:D,2,0)," ")</f>
        <v>T Belső keresztfinanszírozás</v>
      </c>
      <c r="I508" s="368">
        <f>SUM(I509:I519)</f>
        <v>0</v>
      </c>
      <c r="J508" s="372">
        <f t="shared" ref="J508:J519" si="227">SUM(N508:AM508)</f>
        <v>-1.862645149230957E-9</v>
      </c>
      <c r="K508" s="372">
        <f t="shared" ref="K508:K519" si="228">+I508-J508</f>
        <v>1.862645149230957E-9</v>
      </c>
      <c r="L508" s="372">
        <f t="shared" ref="L508:L519" si="229">SUM(N508:BH508)</f>
        <v>-1.862645149230957E-9</v>
      </c>
      <c r="M508" s="368"/>
      <c r="N508" s="181">
        <f>SUM(N509:N521)</f>
        <v>-49421056.486835532</v>
      </c>
      <c r="O508" s="181">
        <f t="shared" ref="O508:BH508" si="230">SUM(O509:O521)</f>
        <v>41551691.270536304</v>
      </c>
      <c r="P508" s="181">
        <f t="shared" si="230"/>
        <v>2764465.0868304912</v>
      </c>
      <c r="Q508" s="181">
        <f t="shared" si="230"/>
        <v>25844337.437222295</v>
      </c>
      <c r="R508" s="181">
        <f t="shared" si="230"/>
        <v>8751072.0362535249</v>
      </c>
      <c r="S508" s="181">
        <f t="shared" si="230"/>
        <v>2975028.5952148214</v>
      </c>
      <c r="T508" s="181">
        <f t="shared" si="230"/>
        <v>-7735018.8982277773</v>
      </c>
      <c r="U508" s="181">
        <f t="shared" si="230"/>
        <v>-2630956.9234969392</v>
      </c>
      <c r="V508" s="181">
        <f t="shared" si="230"/>
        <v>4900499.4456215277</v>
      </c>
      <c r="W508" s="181">
        <f t="shared" si="230"/>
        <v>-1261852.1810791232</v>
      </c>
      <c r="X508" s="181">
        <f t="shared" si="230"/>
        <v>-7947890.5456424709</v>
      </c>
      <c r="Y508" s="181">
        <f t="shared" si="230"/>
        <v>-39921768.307759508</v>
      </c>
      <c r="Z508" s="181">
        <f t="shared" si="230"/>
        <v>16347648</v>
      </c>
      <c r="AA508" s="181">
        <f t="shared" si="230"/>
        <v>0</v>
      </c>
      <c r="AB508" s="181">
        <f t="shared" si="230"/>
        <v>0</v>
      </c>
      <c r="AC508" s="181">
        <f t="shared" si="230"/>
        <v>5783801.4713623878</v>
      </c>
      <c r="AD508" s="181">
        <f t="shared" si="230"/>
        <v>0</v>
      </c>
      <c r="AE508" s="181">
        <f t="shared" si="230"/>
        <v>0</v>
      </c>
      <c r="AF508" s="181">
        <f t="shared" si="230"/>
        <v>0</v>
      </c>
      <c r="AG508" s="181">
        <f t="shared" si="230"/>
        <v>0</v>
      </c>
      <c r="AH508" s="181">
        <f t="shared" si="230"/>
        <v>0</v>
      </c>
      <c r="AI508" s="181">
        <f t="shared" si="230"/>
        <v>0</v>
      </c>
      <c r="AJ508" s="181">
        <f t="shared" si="230"/>
        <v>0</v>
      </c>
      <c r="AK508" s="181">
        <f t="shared" si="230"/>
        <v>0</v>
      </c>
      <c r="AL508" s="181">
        <f t="shared" si="230"/>
        <v>0</v>
      </c>
      <c r="AM508" s="181">
        <f t="shared" si="230"/>
        <v>0</v>
      </c>
      <c r="AN508" s="181">
        <f t="shared" si="230"/>
        <v>0</v>
      </c>
      <c r="AO508" s="181">
        <f t="shared" si="230"/>
        <v>0</v>
      </c>
      <c r="AP508" s="181">
        <f t="shared" si="230"/>
        <v>0</v>
      </c>
      <c r="AQ508" s="181">
        <f t="shared" si="230"/>
        <v>0</v>
      </c>
      <c r="AR508" s="181">
        <f t="shared" si="230"/>
        <v>0</v>
      </c>
      <c r="AS508" s="181">
        <f t="shared" si="230"/>
        <v>0</v>
      </c>
      <c r="AT508" s="181">
        <f t="shared" si="230"/>
        <v>0</v>
      </c>
      <c r="AU508" s="181">
        <f t="shared" si="230"/>
        <v>0</v>
      </c>
      <c r="AV508" s="181">
        <f t="shared" si="230"/>
        <v>0</v>
      </c>
      <c r="AW508" s="181">
        <f t="shared" si="230"/>
        <v>0</v>
      </c>
      <c r="AX508" s="181">
        <f t="shared" si="230"/>
        <v>0</v>
      </c>
      <c r="AY508" s="181">
        <f t="shared" si="230"/>
        <v>0</v>
      </c>
      <c r="AZ508" s="181">
        <f t="shared" si="230"/>
        <v>0</v>
      </c>
      <c r="BA508" s="181">
        <f t="shared" si="230"/>
        <v>0</v>
      </c>
      <c r="BB508" s="181">
        <f t="shared" si="230"/>
        <v>0</v>
      </c>
      <c r="BC508" s="181">
        <f t="shared" si="230"/>
        <v>0</v>
      </c>
      <c r="BD508" s="181">
        <f t="shared" si="230"/>
        <v>0</v>
      </c>
      <c r="BE508" s="181">
        <f t="shared" si="230"/>
        <v>0</v>
      </c>
      <c r="BF508" s="181">
        <f t="shared" si="230"/>
        <v>0</v>
      </c>
      <c r="BG508" s="181">
        <f t="shared" si="230"/>
        <v>0</v>
      </c>
      <c r="BH508" s="181">
        <f t="shared" si="230"/>
        <v>0</v>
      </c>
      <c r="BI508" s="183">
        <f>+SUM(N508:AA508)</f>
        <v>-5783801.4713623896</v>
      </c>
      <c r="BJ508" s="183">
        <f>+AB508</f>
        <v>0</v>
      </c>
      <c r="BK508" s="183">
        <f>+SUM(AC508:AM508)</f>
        <v>5783801.4713623878</v>
      </c>
      <c r="BL508" s="183">
        <f>+SUM(AN508:BH508)</f>
        <v>0</v>
      </c>
    </row>
    <row r="509" spans="1:64" s="187" customFormat="1" hidden="1" outlineLevel="1" x14ac:dyDescent="0.3">
      <c r="B509" s="266"/>
      <c r="C509" s="266"/>
      <c r="D509" s="266"/>
      <c r="E509" s="266"/>
      <c r="F509" s="266"/>
      <c r="G509" s="266"/>
      <c r="H509" s="266"/>
      <c r="I509" s="166">
        <v>0</v>
      </c>
      <c r="J509" s="372">
        <f t="shared" si="227"/>
        <v>0</v>
      </c>
      <c r="K509" s="372">
        <f t="shared" si="228"/>
        <v>0</v>
      </c>
      <c r="L509" s="372">
        <f t="shared" si="229"/>
        <v>0</v>
      </c>
      <c r="M509" s="369"/>
      <c r="N509" s="166">
        <f>$AG503*'1 b felosztások'!C10</f>
        <v>0</v>
      </c>
      <c r="O509" s="166">
        <f>$AG503*'1 b felosztások'!D10</f>
        <v>0</v>
      </c>
      <c r="P509" s="166">
        <f>$AG503*'1 b felosztások'!E10</f>
        <v>0</v>
      </c>
      <c r="Q509" s="166">
        <f>$AG503*'1 b felosztások'!F10</f>
        <v>0</v>
      </c>
      <c r="R509" s="166">
        <f>$AG503*'1 b felosztások'!G10</f>
        <v>0</v>
      </c>
      <c r="S509" s="166">
        <f>$AG503*'1 b felosztások'!H10</f>
        <v>0</v>
      </c>
      <c r="T509" s="166">
        <f>$AG503*'1 b felosztások'!I10</f>
        <v>0</v>
      </c>
      <c r="U509" s="166">
        <f>$AG503*'1 b felosztások'!J10</f>
        <v>0</v>
      </c>
      <c r="V509" s="166">
        <f>$AG503*'1 b felosztások'!K10</f>
        <v>0</v>
      </c>
      <c r="W509" s="166">
        <f>$AG503*'1 b felosztások'!L10</f>
        <v>0</v>
      </c>
      <c r="X509" s="166">
        <f>$AG503*'1 b felosztások'!M10</f>
        <v>0</v>
      </c>
      <c r="Y509" s="166">
        <f>$AG503*'1 b felosztások'!N10</f>
        <v>0</v>
      </c>
      <c r="Z509" s="166">
        <f>$AG503*'1 b felosztások'!O10</f>
        <v>0</v>
      </c>
      <c r="AA509" s="166">
        <f>$AG503*'1 b felosztások'!P10</f>
        <v>0</v>
      </c>
      <c r="AB509" s="166">
        <f>$AG503*'1 b felosztások'!Q10</f>
        <v>0</v>
      </c>
      <c r="AC509" s="166">
        <f>$AG503*'1 b felosztások'!R10</f>
        <v>0</v>
      </c>
      <c r="AD509" s="166">
        <f>$AG503*'1 b felosztások'!S10</f>
        <v>0</v>
      </c>
      <c r="AE509" s="166">
        <f>$AG503*'1 b felosztások'!T10</f>
        <v>0</v>
      </c>
      <c r="AF509" s="166"/>
      <c r="AG509" s="166"/>
      <c r="AH509" s="166"/>
      <c r="AI509" s="166"/>
      <c r="AJ509" s="166"/>
      <c r="AK509" s="166"/>
      <c r="AL509" s="166"/>
      <c r="AM509" s="166"/>
      <c r="AN509" s="370"/>
      <c r="AO509" s="370"/>
      <c r="AP509" s="370"/>
      <c r="AQ509" s="370"/>
      <c r="AR509" s="370"/>
      <c r="AS509" s="370"/>
      <c r="AT509" s="370"/>
      <c r="AU509" s="370"/>
      <c r="AV509" s="370"/>
      <c r="AW509" s="370"/>
      <c r="AX509" s="370"/>
      <c r="AY509" s="370"/>
      <c r="AZ509" s="370"/>
      <c r="BA509" s="370"/>
      <c r="BB509" s="370"/>
      <c r="BC509" s="370"/>
      <c r="BD509" s="370"/>
      <c r="BE509" s="370"/>
      <c r="BF509" s="370"/>
      <c r="BG509" s="370"/>
      <c r="BH509" s="370"/>
      <c r="BI509" s="183">
        <f>+SUM(N509:AA509)</f>
        <v>0</v>
      </c>
      <c r="BJ509" s="183">
        <f>+AB509</f>
        <v>0</v>
      </c>
      <c r="BK509" s="183">
        <f>+SUM(AC509:AM509)</f>
        <v>0</v>
      </c>
      <c r="BL509" s="183">
        <f>+SUM(AN509:BH509)</f>
        <v>0</v>
      </c>
    </row>
    <row r="510" spans="1:64" s="187" customFormat="1" hidden="1" outlineLevel="1" x14ac:dyDescent="0.3">
      <c r="B510" s="266"/>
      <c r="C510" s="266"/>
      <c r="D510" s="266"/>
      <c r="E510" s="266"/>
      <c r="F510" s="266"/>
      <c r="G510" s="266"/>
      <c r="H510" s="266"/>
      <c r="I510" s="166"/>
      <c r="J510" s="372">
        <f t="shared" si="227"/>
        <v>0</v>
      </c>
      <c r="K510" s="372">
        <f t="shared" si="228"/>
        <v>0</v>
      </c>
      <c r="L510" s="372">
        <f t="shared" si="229"/>
        <v>0</v>
      </c>
      <c r="M510" s="369"/>
      <c r="N510" s="166">
        <v>-41533124</v>
      </c>
      <c r="O510" s="166">
        <v>41533124</v>
      </c>
      <c r="P510" s="166"/>
      <c r="Q510" s="166"/>
      <c r="R510" s="166">
        <f>7835073-100054</f>
        <v>7735019</v>
      </c>
      <c r="S510" s="166"/>
      <c r="T510" s="166">
        <f>-7835073+100054</f>
        <v>-7735019</v>
      </c>
      <c r="U510" s="166"/>
      <c r="V510" s="166"/>
      <c r="W510" s="166"/>
      <c r="X510" s="166"/>
      <c r="Y510" s="166"/>
      <c r="Z510" s="166"/>
      <c r="AA510" s="166"/>
      <c r="AB510" s="166"/>
      <c r="AC510" s="166"/>
      <c r="AD510" s="166"/>
      <c r="AE510" s="166"/>
      <c r="AF510" s="166"/>
      <c r="AG510" s="166"/>
      <c r="AH510" s="166"/>
      <c r="AI510" s="166"/>
      <c r="AJ510" s="166"/>
      <c r="AK510" s="166"/>
      <c r="AL510" s="166"/>
      <c r="AM510" s="166"/>
      <c r="AN510" s="370"/>
      <c r="AO510" s="370"/>
      <c r="AP510" s="370"/>
      <c r="AQ510" s="370"/>
      <c r="AR510" s="370"/>
      <c r="AS510" s="370"/>
      <c r="AT510" s="370"/>
      <c r="AU510" s="370"/>
      <c r="AV510" s="370"/>
      <c r="AW510" s="370"/>
      <c r="AX510" s="370"/>
      <c r="AY510" s="370"/>
      <c r="AZ510" s="370"/>
      <c r="BA510" s="370"/>
      <c r="BB510" s="370"/>
      <c r="BC510" s="370"/>
      <c r="BD510" s="370"/>
      <c r="BE510" s="370"/>
      <c r="BF510" s="370"/>
      <c r="BG510" s="370"/>
      <c r="BH510" s="370"/>
      <c r="BI510" s="183"/>
      <c r="BJ510" s="183"/>
      <c r="BK510" s="183"/>
      <c r="BL510" s="183"/>
    </row>
    <row r="511" spans="1:64" s="187" customFormat="1" hidden="1" outlineLevel="1" x14ac:dyDescent="0.3">
      <c r="B511" s="266"/>
      <c r="C511" s="266"/>
      <c r="D511" s="266"/>
      <c r="E511" s="266"/>
      <c r="F511" s="266"/>
      <c r="G511" s="266"/>
      <c r="H511" s="266"/>
      <c r="I511" s="166"/>
      <c r="J511" s="372">
        <f t="shared" si="227"/>
        <v>0</v>
      </c>
      <c r="K511" s="372">
        <f t="shared" si="228"/>
        <v>0</v>
      </c>
      <c r="L511" s="372">
        <f t="shared" si="229"/>
        <v>0</v>
      </c>
      <c r="M511" s="369"/>
      <c r="N511" s="166">
        <v>-2726454</v>
      </c>
      <c r="O511" s="166"/>
      <c r="P511" s="166">
        <v>2726454</v>
      </c>
      <c r="Q511" s="166"/>
      <c r="R511" s="166">
        <v>847684</v>
      </c>
      <c r="S511" s="166"/>
      <c r="T511" s="166"/>
      <c r="U511" s="166">
        <v>-847684</v>
      </c>
      <c r="V511" s="166"/>
      <c r="W511" s="166"/>
      <c r="X511" s="166"/>
      <c r="Y511" s="166"/>
      <c r="Z511" s="166"/>
      <c r="AA511" s="166"/>
      <c r="AB511" s="166"/>
      <c r="AC511" s="166"/>
      <c r="AD511" s="166"/>
      <c r="AE511" s="166"/>
      <c r="AF511" s="166"/>
      <c r="AG511" s="166"/>
      <c r="AH511" s="166"/>
      <c r="AI511" s="166"/>
      <c r="AJ511" s="166"/>
      <c r="AK511" s="166"/>
      <c r="AL511" s="166"/>
      <c r="AM511" s="166"/>
      <c r="AN511" s="370"/>
      <c r="AO511" s="370"/>
      <c r="AP511" s="370"/>
      <c r="AQ511" s="370"/>
      <c r="AR511" s="370"/>
      <c r="AS511" s="370"/>
      <c r="AT511" s="370"/>
      <c r="AU511" s="370"/>
      <c r="AV511" s="370"/>
      <c r="AW511" s="370"/>
      <c r="AX511" s="370"/>
      <c r="AY511" s="370"/>
      <c r="AZ511" s="370"/>
      <c r="BA511" s="370"/>
      <c r="BB511" s="370"/>
      <c r="BC511" s="370"/>
      <c r="BD511" s="370"/>
      <c r="BE511" s="370"/>
      <c r="BF511" s="370"/>
      <c r="BG511" s="370"/>
      <c r="BH511" s="370"/>
      <c r="BI511" s="183"/>
      <c r="BJ511" s="183"/>
      <c r="BK511" s="183"/>
      <c r="BL511" s="183"/>
    </row>
    <row r="512" spans="1:64" s="187" customFormat="1" hidden="1" outlineLevel="1" x14ac:dyDescent="0.3">
      <c r="B512" s="266"/>
      <c r="C512" s="266"/>
      <c r="D512" s="266"/>
      <c r="E512" s="266"/>
      <c r="F512" s="266"/>
      <c r="G512" s="266"/>
      <c r="H512" s="266"/>
      <c r="I512" s="166">
        <v>0</v>
      </c>
      <c r="J512" s="372">
        <f t="shared" si="227"/>
        <v>0</v>
      </c>
      <c r="K512" s="372">
        <f t="shared" si="228"/>
        <v>0</v>
      </c>
      <c r="L512" s="372">
        <f t="shared" si="229"/>
        <v>0</v>
      </c>
      <c r="M512" s="369"/>
      <c r="N512" s="166">
        <v>-399590</v>
      </c>
      <c r="O512" s="166"/>
      <c r="P512" s="166"/>
      <c r="Q512" s="166">
        <v>399590</v>
      </c>
      <c r="R512" s="166"/>
      <c r="S512" s="166">
        <v>1823190</v>
      </c>
      <c r="T512" s="166"/>
      <c r="U512" s="166">
        <v>-1823190</v>
      </c>
      <c r="V512" s="166"/>
      <c r="W512" s="166"/>
      <c r="X512" s="166"/>
      <c r="Y512" s="166"/>
      <c r="Z512" s="166"/>
      <c r="AA512" s="166"/>
      <c r="AB512" s="166"/>
      <c r="AC512" s="166"/>
      <c r="AD512" s="166"/>
      <c r="AE512" s="166"/>
      <c r="AF512" s="166"/>
      <c r="AG512" s="166"/>
      <c r="AH512" s="166"/>
      <c r="AI512" s="166"/>
      <c r="AJ512" s="166"/>
      <c r="AK512" s="166"/>
      <c r="AL512" s="166"/>
      <c r="AM512" s="166"/>
      <c r="AN512" s="370"/>
      <c r="AO512" s="370"/>
      <c r="AP512" s="370"/>
      <c r="AQ512" s="370"/>
      <c r="AR512" s="370"/>
      <c r="AS512" s="370"/>
      <c r="AT512" s="370"/>
      <c r="AU512" s="370"/>
      <c r="AV512" s="370"/>
      <c r="AW512" s="370"/>
      <c r="AX512" s="370"/>
      <c r="AY512" s="370"/>
      <c r="AZ512" s="370"/>
      <c r="BA512" s="370"/>
      <c r="BB512" s="370"/>
      <c r="BC512" s="370"/>
      <c r="BD512" s="370"/>
      <c r="BE512" s="370"/>
      <c r="BF512" s="370"/>
      <c r="BG512" s="370"/>
      <c r="BH512" s="370"/>
      <c r="BI512" s="183">
        <f>+SUM(N512:AA512)</f>
        <v>0</v>
      </c>
      <c r="BJ512" s="183">
        <f>+AB512</f>
        <v>0</v>
      </c>
      <c r="BK512" s="183">
        <f>+SUM(AC512:AM512)</f>
        <v>0</v>
      </c>
      <c r="BL512" s="183">
        <f>+SUM(AN512:BH512)</f>
        <v>0</v>
      </c>
    </row>
    <row r="513" spans="1:64" s="187" customFormat="1" hidden="1" outlineLevel="1" x14ac:dyDescent="0.3">
      <c r="B513" s="266"/>
      <c r="C513" s="266"/>
      <c r="D513" s="266"/>
      <c r="E513" s="266"/>
      <c r="F513" s="266"/>
      <c r="G513" s="266"/>
      <c r="H513" s="266"/>
      <c r="I513" s="166">
        <v>0</v>
      </c>
      <c r="J513" s="372">
        <f t="shared" si="227"/>
        <v>0</v>
      </c>
      <c r="K513" s="372">
        <f t="shared" si="228"/>
        <v>0</v>
      </c>
      <c r="L513" s="372">
        <f t="shared" si="229"/>
        <v>0</v>
      </c>
      <c r="M513" s="369"/>
      <c r="N513" s="166"/>
      <c r="O513" s="166"/>
      <c r="P513" s="166"/>
      <c r="Q513" s="166"/>
      <c r="R513" s="166"/>
      <c r="S513" s="166">
        <v>1017892</v>
      </c>
      <c r="T513" s="166"/>
      <c r="U513" s="166"/>
      <c r="V513" s="166"/>
      <c r="W513" s="166">
        <v>-1017892</v>
      </c>
      <c r="X513" s="166"/>
      <c r="Y513" s="166"/>
      <c r="Z513" s="166"/>
      <c r="AA513" s="166"/>
      <c r="AB513" s="166"/>
      <c r="AC513" s="166"/>
      <c r="AD513" s="166"/>
      <c r="AE513" s="166"/>
      <c r="AF513" s="166"/>
      <c r="AG513" s="166"/>
      <c r="AH513" s="166"/>
      <c r="AI513" s="166"/>
      <c r="AJ513" s="166"/>
      <c r="AK513" s="166"/>
      <c r="AL513" s="166"/>
      <c r="AM513" s="166"/>
      <c r="AN513" s="370"/>
      <c r="AO513" s="370"/>
      <c r="AP513" s="370"/>
      <c r="AQ513" s="370"/>
      <c r="AR513" s="370"/>
      <c r="AS513" s="370"/>
      <c r="AT513" s="370"/>
      <c r="AU513" s="370"/>
      <c r="AV513" s="370"/>
      <c r="AW513" s="370"/>
      <c r="AX513" s="370"/>
      <c r="AY513" s="370"/>
      <c r="AZ513" s="370"/>
      <c r="BA513" s="370"/>
      <c r="BB513" s="370"/>
      <c r="BC513" s="370"/>
      <c r="BD513" s="370"/>
      <c r="BE513" s="370"/>
      <c r="BF513" s="370"/>
      <c r="BG513" s="370"/>
      <c r="BH513" s="370"/>
      <c r="BI513" s="183"/>
      <c r="BJ513" s="183"/>
      <c r="BK513" s="183"/>
      <c r="BL513" s="183"/>
    </row>
    <row r="514" spans="1:64" s="187" customFormat="1" hidden="1" outlineLevel="1" x14ac:dyDescent="0.3">
      <c r="B514" s="185"/>
      <c r="C514" s="185"/>
      <c r="D514" s="185"/>
      <c r="E514" s="185"/>
      <c r="F514" s="185"/>
      <c r="G514" s="185"/>
      <c r="H514" s="185"/>
      <c r="I514" s="166"/>
      <c r="J514" s="372">
        <f t="shared" si="227"/>
        <v>0</v>
      </c>
      <c r="K514" s="372">
        <f t="shared" si="228"/>
        <v>0</v>
      </c>
      <c r="L514" s="372">
        <f t="shared" si="229"/>
        <v>0</v>
      </c>
      <c r="M514" s="182"/>
      <c r="N514" s="166"/>
      <c r="O514" s="166"/>
      <c r="P514" s="166"/>
      <c r="Q514" s="166"/>
      <c r="R514" s="166"/>
      <c r="S514" s="166"/>
      <c r="T514" s="166"/>
      <c r="U514" s="166"/>
      <c r="V514" s="166">
        <v>4613562</v>
      </c>
      <c r="W514" s="166"/>
      <c r="X514" s="166">
        <v>-4613562</v>
      </c>
      <c r="Y514" s="166"/>
      <c r="Z514" s="166"/>
      <c r="AA514" s="166"/>
      <c r="AB514" s="166"/>
      <c r="AC514" s="166"/>
      <c r="AD514" s="166"/>
      <c r="AE514" s="166"/>
      <c r="AF514" s="166"/>
      <c r="AG514" s="166"/>
      <c r="AH514" s="166"/>
      <c r="AI514" s="166"/>
      <c r="AJ514" s="166"/>
      <c r="AK514" s="166"/>
      <c r="AL514" s="166"/>
      <c r="AM514" s="166"/>
      <c r="AN514" s="370"/>
      <c r="AO514" s="370"/>
      <c r="AP514" s="370"/>
      <c r="AQ514" s="370"/>
      <c r="AR514" s="370"/>
      <c r="AS514" s="370"/>
      <c r="AT514" s="370"/>
      <c r="AU514" s="370"/>
      <c r="AV514" s="370"/>
      <c r="AW514" s="370"/>
      <c r="AX514" s="370"/>
      <c r="AY514" s="370"/>
      <c r="AZ514" s="370"/>
      <c r="BA514" s="370"/>
      <c r="BB514" s="370"/>
      <c r="BC514" s="370"/>
      <c r="BD514" s="370"/>
      <c r="BE514" s="370"/>
      <c r="BF514" s="370"/>
      <c r="BG514" s="370"/>
      <c r="BH514" s="370"/>
      <c r="BI514" s="183"/>
      <c r="BJ514" s="183"/>
      <c r="BK514" s="183"/>
      <c r="BL514" s="183"/>
    </row>
    <row r="515" spans="1:64" s="187" customFormat="1" hidden="1" outlineLevel="1" x14ac:dyDescent="0.3">
      <c r="B515" s="185"/>
      <c r="C515" s="185"/>
      <c r="D515" s="185"/>
      <c r="E515" s="185"/>
      <c r="F515" s="185"/>
      <c r="G515" s="185"/>
      <c r="H515" s="185"/>
      <c r="I515" s="166"/>
      <c r="J515" s="372">
        <f t="shared" si="227"/>
        <v>0</v>
      </c>
      <c r="K515" s="372">
        <f t="shared" si="228"/>
        <v>0</v>
      </c>
      <c r="L515" s="372">
        <f t="shared" si="229"/>
        <v>0</v>
      </c>
      <c r="M515" s="182"/>
      <c r="N515" s="166"/>
      <c r="O515" s="166"/>
      <c r="P515" s="166"/>
      <c r="Q515" s="166">
        <v>415276</v>
      </c>
      <c r="R515" s="166"/>
      <c r="S515" s="166"/>
      <c r="T515" s="166"/>
      <c r="U515" s="166"/>
      <c r="V515" s="166"/>
      <c r="W515" s="166">
        <v>-415276</v>
      </c>
      <c r="X515" s="166"/>
      <c r="Y515" s="166"/>
      <c r="Z515" s="166"/>
      <c r="AA515" s="166"/>
      <c r="AB515" s="166"/>
      <c r="AC515" s="166"/>
      <c r="AD515" s="166"/>
      <c r="AE515" s="166"/>
      <c r="AF515" s="166"/>
      <c r="AG515" s="166"/>
      <c r="AH515" s="166"/>
      <c r="AI515" s="166"/>
      <c r="AJ515" s="166"/>
      <c r="AK515" s="166"/>
      <c r="AL515" s="166"/>
      <c r="AM515" s="166"/>
      <c r="AN515" s="370"/>
      <c r="AO515" s="370"/>
      <c r="AP515" s="370"/>
      <c r="AQ515" s="370"/>
      <c r="AR515" s="370"/>
      <c r="AS515" s="370"/>
      <c r="AT515" s="370"/>
      <c r="AU515" s="370"/>
      <c r="AV515" s="370"/>
      <c r="AW515" s="370"/>
      <c r="AX515" s="370"/>
      <c r="AY515" s="370"/>
      <c r="AZ515" s="370"/>
      <c r="BA515" s="370"/>
      <c r="BB515" s="370"/>
      <c r="BC515" s="370"/>
      <c r="BD515" s="370"/>
      <c r="BE515" s="370"/>
      <c r="BF515" s="370"/>
      <c r="BG515" s="370"/>
      <c r="BH515" s="370"/>
      <c r="BI515" s="183"/>
      <c r="BJ515" s="183"/>
      <c r="BK515" s="183"/>
      <c r="BL515" s="183"/>
    </row>
    <row r="516" spans="1:64" s="187" customFormat="1" hidden="1" outlineLevel="1" x14ac:dyDescent="0.3">
      <c r="B516" s="185"/>
      <c r="C516" s="185"/>
      <c r="D516" s="185"/>
      <c r="E516" s="185"/>
      <c r="F516" s="185"/>
      <c r="G516" s="185"/>
      <c r="H516" s="185"/>
      <c r="I516" s="166"/>
      <c r="J516" s="372">
        <f t="shared" si="227"/>
        <v>0</v>
      </c>
      <c r="K516" s="372">
        <f t="shared" si="228"/>
        <v>0</v>
      </c>
      <c r="L516" s="372">
        <f t="shared" si="229"/>
        <v>0</v>
      </c>
      <c r="M516" s="182"/>
      <c r="N516" s="166"/>
      <c r="O516" s="166"/>
      <c r="P516" s="166"/>
      <c r="Q516" s="166">
        <v>3393650</v>
      </c>
      <c r="R516" s="166"/>
      <c r="S516" s="166"/>
      <c r="T516" s="166"/>
      <c r="U516" s="166"/>
      <c r="V516" s="166"/>
      <c r="W516" s="166"/>
      <c r="X516" s="166">
        <v>-3393650</v>
      </c>
      <c r="Y516" s="166"/>
      <c r="Z516" s="166"/>
      <c r="AA516" s="166"/>
      <c r="AB516" s="166"/>
      <c r="AC516" s="166"/>
      <c r="AD516" s="166"/>
      <c r="AE516" s="166"/>
      <c r="AF516" s="166"/>
      <c r="AG516" s="166"/>
      <c r="AH516" s="166"/>
      <c r="AI516" s="166"/>
      <c r="AJ516" s="166"/>
      <c r="AK516" s="166"/>
      <c r="AL516" s="166"/>
      <c r="AM516" s="166"/>
      <c r="AN516" s="370"/>
      <c r="AO516" s="370"/>
      <c r="AP516" s="370"/>
      <c r="AQ516" s="370"/>
      <c r="AR516" s="370"/>
      <c r="AS516" s="370"/>
      <c r="AT516" s="370"/>
      <c r="AU516" s="370"/>
      <c r="AV516" s="370"/>
      <c r="AW516" s="370"/>
      <c r="AX516" s="370"/>
      <c r="AY516" s="370"/>
      <c r="AZ516" s="370"/>
      <c r="BA516" s="370"/>
      <c r="BB516" s="370"/>
      <c r="BC516" s="370"/>
      <c r="BD516" s="370"/>
      <c r="BE516" s="370"/>
      <c r="BF516" s="370"/>
      <c r="BG516" s="370"/>
      <c r="BH516" s="370"/>
      <c r="BI516" s="183"/>
      <c r="BJ516" s="183"/>
      <c r="BK516" s="183"/>
      <c r="BL516" s="183"/>
    </row>
    <row r="517" spans="1:64" s="187" customFormat="1" hidden="1" outlineLevel="1" x14ac:dyDescent="0.3">
      <c r="B517" s="185"/>
      <c r="C517" s="185"/>
      <c r="D517" s="185"/>
      <c r="E517" s="185"/>
      <c r="F517" s="185"/>
      <c r="G517" s="185"/>
      <c r="H517" s="185"/>
      <c r="I517" s="166"/>
      <c r="J517" s="372">
        <f t="shared" si="227"/>
        <v>0</v>
      </c>
      <c r="K517" s="372">
        <f t="shared" si="228"/>
        <v>0</v>
      </c>
      <c r="L517" s="372">
        <f t="shared" si="229"/>
        <v>0</v>
      </c>
      <c r="M517" s="182"/>
      <c r="N517" s="166"/>
      <c r="O517" s="166"/>
      <c r="P517" s="166"/>
      <c r="Q517" s="166"/>
      <c r="R517" s="166"/>
      <c r="S517" s="166"/>
      <c r="T517" s="166"/>
      <c r="U517" s="166"/>
      <c r="V517" s="166"/>
      <c r="W517" s="166"/>
      <c r="X517" s="166"/>
      <c r="Y517" s="166">
        <v>-16411527</v>
      </c>
      <c r="Z517" s="166">
        <v>16411527</v>
      </c>
      <c r="AA517" s="166"/>
      <c r="AB517" s="166"/>
      <c r="AC517" s="166"/>
      <c r="AD517" s="166"/>
      <c r="AE517" s="166"/>
      <c r="AF517" s="166"/>
      <c r="AG517" s="166"/>
      <c r="AH517" s="166"/>
      <c r="AI517" s="166"/>
      <c r="AJ517" s="166"/>
      <c r="AK517" s="166"/>
      <c r="AL517" s="166"/>
      <c r="AM517" s="166"/>
      <c r="AN517" s="370"/>
      <c r="AO517" s="370"/>
      <c r="AP517" s="370"/>
      <c r="AQ517" s="370"/>
      <c r="AR517" s="370"/>
      <c r="AS517" s="370"/>
      <c r="AT517" s="370"/>
      <c r="AU517" s="370"/>
      <c r="AV517" s="370"/>
      <c r="AW517" s="370"/>
      <c r="AX517" s="370"/>
      <c r="AY517" s="370"/>
      <c r="AZ517" s="370"/>
      <c r="BA517" s="370"/>
      <c r="BB517" s="370"/>
      <c r="BC517" s="370"/>
      <c r="BD517" s="370"/>
      <c r="BE517" s="370"/>
      <c r="BF517" s="370"/>
      <c r="BG517" s="370"/>
      <c r="BH517" s="370"/>
      <c r="BI517" s="183"/>
      <c r="BJ517" s="183"/>
      <c r="BK517" s="183"/>
      <c r="BL517" s="183"/>
    </row>
    <row r="518" spans="1:64" s="187" customFormat="1" hidden="1" outlineLevel="1" x14ac:dyDescent="0.3">
      <c r="B518" s="185"/>
      <c r="C518" s="185"/>
      <c r="D518" s="185"/>
      <c r="E518" s="185"/>
      <c r="F518" s="185"/>
      <c r="G518" s="185"/>
      <c r="H518" s="185"/>
      <c r="I518" s="166"/>
      <c r="J518" s="372">
        <f t="shared" si="227"/>
        <v>0</v>
      </c>
      <c r="K518" s="372">
        <f t="shared" si="228"/>
        <v>0</v>
      </c>
      <c r="L518" s="372">
        <f t="shared" si="229"/>
        <v>0</v>
      </c>
      <c r="M518" s="182"/>
      <c r="N518" s="166"/>
      <c r="O518" s="166"/>
      <c r="P518" s="166"/>
      <c r="Q518" s="166">
        <v>21456042</v>
      </c>
      <c r="R518" s="166"/>
      <c r="S518" s="166"/>
      <c r="T518" s="166"/>
      <c r="U518" s="166"/>
      <c r="V518" s="166"/>
      <c r="W518" s="166"/>
      <c r="X518" s="166"/>
      <c r="Y518" s="166">
        <v>-21456042</v>
      </c>
      <c r="Z518" s="166"/>
      <c r="AA518" s="166"/>
      <c r="AB518" s="166"/>
      <c r="AC518" s="166"/>
      <c r="AD518" s="166"/>
      <c r="AE518" s="166"/>
      <c r="AF518" s="166"/>
      <c r="AG518" s="166"/>
      <c r="AH518" s="166"/>
      <c r="AI518" s="166"/>
      <c r="AJ518" s="166"/>
      <c r="AK518" s="166"/>
      <c r="AL518" s="166"/>
      <c r="AM518" s="166"/>
      <c r="AN518" s="370"/>
      <c r="AO518" s="370"/>
      <c r="AP518" s="370"/>
      <c r="AQ518" s="370"/>
      <c r="AR518" s="370"/>
      <c r="AS518" s="370"/>
      <c r="AT518" s="370"/>
      <c r="AU518" s="370"/>
      <c r="AV518" s="370"/>
      <c r="AW518" s="370"/>
      <c r="AX518" s="370"/>
      <c r="AY518" s="370"/>
      <c r="AZ518" s="370"/>
      <c r="BA518" s="370"/>
      <c r="BB518" s="370"/>
      <c r="BC518" s="370"/>
      <c r="BD518" s="370"/>
      <c r="BE518" s="370"/>
      <c r="BF518" s="370"/>
      <c r="BG518" s="370"/>
      <c r="BH518" s="370"/>
      <c r="BI518" s="183"/>
      <c r="BJ518" s="183"/>
      <c r="BK518" s="183"/>
      <c r="BL518" s="183"/>
    </row>
    <row r="519" spans="1:64" s="187" customFormat="1" hidden="1" outlineLevel="1" x14ac:dyDescent="0.3">
      <c r="B519" s="185"/>
      <c r="C519" s="185"/>
      <c r="D519" s="185"/>
      <c r="E519" s="185"/>
      <c r="F519" s="185"/>
      <c r="G519" s="185"/>
      <c r="H519" s="185"/>
      <c r="I519" s="166"/>
      <c r="J519" s="372">
        <f t="shared" si="227"/>
        <v>0</v>
      </c>
      <c r="K519" s="372">
        <f t="shared" si="228"/>
        <v>0</v>
      </c>
      <c r="L519" s="372">
        <f t="shared" si="229"/>
        <v>0</v>
      </c>
      <c r="M519" s="182"/>
      <c r="N519" s="166">
        <f>-5441108+679220</f>
        <v>-4761888</v>
      </c>
      <c r="O519" s="166"/>
      <c r="P519" s="166"/>
      <c r="Q519" s="166"/>
      <c r="R519" s="166"/>
      <c r="S519" s="166"/>
      <c r="T519" s="166"/>
      <c r="U519" s="166"/>
      <c r="V519" s="166"/>
      <c r="W519" s="166"/>
      <c r="X519" s="166"/>
      <c r="Y519" s="166">
        <f>-2441342+1613784+387143</f>
        <v>-440415</v>
      </c>
      <c r="Z519" s="166">
        <f>-138352+74473</f>
        <v>-63879</v>
      </c>
      <c r="AA519" s="166"/>
      <c r="AB519" s="166"/>
      <c r="AC519" s="166">
        <f>(+Z519+Y519+U519+O519+N519)*-1</f>
        <v>5266182</v>
      </c>
      <c r="AD519" s="166"/>
      <c r="AE519" s="166"/>
      <c r="AF519" s="166"/>
      <c r="AG519" s="166"/>
      <c r="AH519" s="166"/>
      <c r="AI519" s="166"/>
      <c r="AJ519" s="166"/>
      <c r="AK519" s="166"/>
      <c r="AL519" s="166"/>
      <c r="AM519" s="166"/>
      <c r="AN519" s="370"/>
      <c r="AO519" s="370"/>
      <c r="AP519" s="370"/>
      <c r="AQ519" s="370"/>
      <c r="AR519" s="370"/>
      <c r="AS519" s="370"/>
      <c r="AT519" s="370"/>
      <c r="AU519" s="370"/>
      <c r="AV519" s="370"/>
      <c r="AW519" s="370"/>
      <c r="AX519" s="370"/>
      <c r="AY519" s="370"/>
      <c r="AZ519" s="370"/>
      <c r="BA519" s="370"/>
      <c r="BB519" s="370"/>
      <c r="BC519" s="370"/>
      <c r="BD519" s="370"/>
      <c r="BE519" s="370"/>
      <c r="BF519" s="370"/>
      <c r="BG519" s="370"/>
      <c r="BH519" s="370"/>
      <c r="BI519" s="183"/>
      <c r="BJ519" s="183"/>
      <c r="BK519" s="183"/>
      <c r="BL519" s="183"/>
    </row>
    <row r="520" spans="1:64" s="187" customFormat="1" hidden="1" outlineLevel="1" x14ac:dyDescent="0.3">
      <c r="B520" s="185"/>
      <c r="C520" s="185"/>
      <c r="D520" s="185"/>
      <c r="E520" s="185"/>
      <c r="F520" s="185"/>
      <c r="G520" s="185"/>
      <c r="H520" s="185"/>
      <c r="I520" s="166"/>
      <c r="J520" s="372">
        <f t="shared" ref="J520:J522" si="231">SUM(N520:AM520)</f>
        <v>0</v>
      </c>
      <c r="K520" s="372">
        <f t="shared" ref="K520:K522" si="232">+I520-J520</f>
        <v>0</v>
      </c>
      <c r="L520" s="372">
        <f t="shared" ref="L520:L522" si="233">SUM(N520:BH520)</f>
        <v>0</v>
      </c>
      <c r="M520" s="182"/>
      <c r="N520" s="166"/>
      <c r="O520" s="166"/>
      <c r="P520" s="166"/>
      <c r="Q520" s="166"/>
      <c r="R520" s="166"/>
      <c r="S520" s="166"/>
      <c r="T520" s="166"/>
      <c r="U520" s="166"/>
      <c r="V520" s="166"/>
      <c r="W520" s="166"/>
      <c r="X520" s="166"/>
      <c r="Y520" s="166">
        <f>-Y522</f>
        <v>-1613784.3077595085</v>
      </c>
      <c r="Z520" s="166"/>
      <c r="AA520" s="166"/>
      <c r="AB520" s="166"/>
      <c r="AC520" s="166">
        <f>-Y520</f>
        <v>1613784.3077595085</v>
      </c>
      <c r="AD520" s="166"/>
      <c r="AE520" s="166"/>
      <c r="AF520" s="166"/>
      <c r="AG520" s="166"/>
      <c r="AH520" s="166"/>
      <c r="AI520" s="166"/>
      <c r="AJ520" s="166"/>
      <c r="AK520" s="166"/>
      <c r="AL520" s="166"/>
      <c r="AM520" s="166"/>
      <c r="AN520" s="370"/>
      <c r="AO520" s="370"/>
      <c r="AP520" s="370"/>
      <c r="AQ520" s="370"/>
      <c r="AR520" s="370"/>
      <c r="AS520" s="370"/>
      <c r="AT520" s="370"/>
      <c r="AU520" s="370"/>
      <c r="AV520" s="370"/>
      <c r="AW520" s="370"/>
      <c r="AX520" s="370"/>
      <c r="AY520" s="370"/>
      <c r="AZ520" s="370"/>
      <c r="BA520" s="370"/>
      <c r="BB520" s="370"/>
      <c r="BC520" s="370"/>
      <c r="BD520" s="370"/>
      <c r="BE520" s="370"/>
      <c r="BF520" s="370"/>
      <c r="BG520" s="370"/>
      <c r="BH520" s="370"/>
      <c r="BI520" s="183"/>
      <c r="BJ520" s="183"/>
      <c r="BK520" s="183"/>
      <c r="BL520" s="183"/>
    </row>
    <row r="521" spans="1:64" s="187" customFormat="1" hidden="1" outlineLevel="1" x14ac:dyDescent="0.3">
      <c r="B521" s="185"/>
      <c r="C521" s="185"/>
      <c r="D521" s="185"/>
      <c r="E521" s="185"/>
      <c r="F521" s="185"/>
      <c r="G521" s="185"/>
      <c r="H521" s="185"/>
      <c r="I521" s="166"/>
      <c r="J521" s="372">
        <f t="shared" ref="J521" si="234">SUM(N521:AM521)</f>
        <v>0</v>
      </c>
      <c r="K521" s="372">
        <f t="shared" ref="K521" si="235">+I521-J521</f>
        <v>0</v>
      </c>
      <c r="L521" s="372">
        <f t="shared" ref="L521" si="236">SUM(N521:BH521)</f>
        <v>0</v>
      </c>
      <c r="M521" s="182"/>
      <c r="N521" s="166">
        <v>-0.4868355318903923</v>
      </c>
      <c r="O521" s="166">
        <v>18567.27053630352</v>
      </c>
      <c r="P521" s="166">
        <v>38011.0868304912</v>
      </c>
      <c r="Q521" s="166">
        <v>179779.43722229451</v>
      </c>
      <c r="R521" s="166">
        <v>168369.03625352494</v>
      </c>
      <c r="S521" s="166">
        <v>133946.5952148214</v>
      </c>
      <c r="T521" s="166">
        <v>0.10177222266793251</v>
      </c>
      <c r="U521" s="166">
        <v>39917.076503060758</v>
      </c>
      <c r="V521" s="166">
        <v>286937.44562152773</v>
      </c>
      <c r="W521" s="166">
        <v>171315.81892087683</v>
      </c>
      <c r="X521" s="166">
        <v>59321.454357529059</v>
      </c>
      <c r="Y521" s="166"/>
      <c r="Z521" s="166"/>
      <c r="AA521" s="166"/>
      <c r="AB521" s="166"/>
      <c r="AC521" s="166">
        <f>-SUM(N521:X521)</f>
        <v>-1096164.8363971207</v>
      </c>
      <c r="AD521" s="166"/>
      <c r="AE521" s="166"/>
      <c r="AF521" s="166"/>
      <c r="AG521" s="166"/>
      <c r="AH521" s="166"/>
      <c r="AI521" s="166"/>
      <c r="AJ521" s="166"/>
      <c r="AK521" s="166"/>
      <c r="AL521" s="166"/>
      <c r="AM521" s="166"/>
      <c r="AN521" s="370"/>
      <c r="AO521" s="370"/>
      <c r="AP521" s="370"/>
      <c r="AQ521" s="370"/>
      <c r="AR521" s="370"/>
      <c r="AS521" s="370"/>
      <c r="AT521" s="370"/>
      <c r="AU521" s="370"/>
      <c r="AV521" s="370"/>
      <c r="AW521" s="370"/>
      <c r="AX521" s="370"/>
      <c r="AY521" s="370"/>
      <c r="AZ521" s="370"/>
      <c r="BA521" s="370"/>
      <c r="BB521" s="370"/>
      <c r="BC521" s="370"/>
      <c r="BD521" s="370"/>
      <c r="BE521" s="370"/>
      <c r="BF521" s="370"/>
      <c r="BG521" s="370"/>
      <c r="BH521" s="370"/>
      <c r="BI521" s="183"/>
      <c r="BJ521" s="183"/>
      <c r="BK521" s="183"/>
      <c r="BL521" s="183"/>
    </row>
    <row r="522" spans="1:64" s="187" customFormat="1" hidden="1" outlineLevel="1" x14ac:dyDescent="0.3">
      <c r="B522" s="185" t="s">
        <v>2828</v>
      </c>
      <c r="C522" s="185"/>
      <c r="D522" s="185"/>
      <c r="E522" s="180" t="s">
        <v>4383</v>
      </c>
      <c r="F522" s="180"/>
      <c r="G522" s="180"/>
      <c r="H522" s="180" t="s">
        <v>2679</v>
      </c>
      <c r="I522" s="181"/>
      <c r="J522" s="372">
        <f t="shared" si="231"/>
        <v>0</v>
      </c>
      <c r="K522" s="372">
        <f t="shared" si="232"/>
        <v>0</v>
      </c>
      <c r="L522" s="372">
        <f t="shared" si="233"/>
        <v>0</v>
      </c>
      <c r="M522" s="190"/>
      <c r="N522" s="181"/>
      <c r="O522" s="181"/>
      <c r="P522" s="181"/>
      <c r="Q522" s="181"/>
      <c r="R522" s="181"/>
      <c r="S522" s="181"/>
      <c r="T522" s="181"/>
      <c r="U522" s="181"/>
      <c r="V522" s="181"/>
      <c r="W522" s="181"/>
      <c r="X522" s="181"/>
      <c r="Y522" s="181">
        <f>-Y504</f>
        <v>1613784.3077595085</v>
      </c>
      <c r="Z522" s="181"/>
      <c r="AA522" s="181"/>
      <c r="AB522" s="181"/>
      <c r="AC522" s="181">
        <f>-Y522</f>
        <v>-1613784.3077595085</v>
      </c>
      <c r="AD522" s="181"/>
      <c r="AE522" s="181"/>
      <c r="AF522" s="181"/>
      <c r="AG522" s="181"/>
      <c r="AH522" s="181"/>
      <c r="AI522" s="181"/>
      <c r="AJ522" s="181"/>
      <c r="AK522" s="181"/>
      <c r="AL522" s="181"/>
      <c r="AM522" s="181"/>
      <c r="AN522" s="1078"/>
      <c r="AO522" s="1078"/>
      <c r="AP522" s="1078"/>
      <c r="AQ522" s="1078"/>
      <c r="AR522" s="1078"/>
      <c r="AS522" s="1078"/>
      <c r="AT522" s="1078"/>
      <c r="AU522" s="1078"/>
      <c r="AV522" s="1078"/>
      <c r="AW522" s="1078"/>
      <c r="AX522" s="1078"/>
      <c r="AY522" s="1078"/>
      <c r="AZ522" s="1078"/>
      <c r="BA522" s="1078"/>
      <c r="BB522" s="1078"/>
      <c r="BC522" s="1078"/>
      <c r="BD522" s="1078"/>
      <c r="BE522" s="1078"/>
      <c r="BF522" s="1078"/>
      <c r="BG522" s="1078"/>
      <c r="BH522" s="1078"/>
      <c r="BI522" s="183">
        <f>+SUM(N522:AA522)</f>
        <v>1613784.3077595085</v>
      </c>
      <c r="BJ522" s="183">
        <f>+AB522</f>
        <v>0</v>
      </c>
      <c r="BK522" s="183">
        <f>+SUM(AC522:AM522)</f>
        <v>-1613784.3077595085</v>
      </c>
      <c r="BL522" s="183">
        <f>+SUM(AN522:BH522)</f>
        <v>0</v>
      </c>
    </row>
    <row r="523" spans="1:64" s="259" customFormat="1" x14ac:dyDescent="0.3">
      <c r="M523" s="260"/>
    </row>
    <row r="526" spans="1:64" s="259" customFormat="1" x14ac:dyDescent="0.3">
      <c r="A526" s="187"/>
      <c r="B526" s="371" t="s">
        <v>2682</v>
      </c>
      <c r="C526" s="371"/>
      <c r="D526" s="371"/>
      <c r="E526" s="371" t="s">
        <v>2682</v>
      </c>
      <c r="F526" s="371"/>
      <c r="G526" s="371"/>
      <c r="H526" s="371"/>
      <c r="I526" s="372">
        <f>+I505+I508</f>
        <v>17687134.823019028</v>
      </c>
      <c r="J526" s="372">
        <f>SUM(N526:AM526)</f>
        <v>17687134.745448031</v>
      </c>
      <c r="K526" s="372">
        <f t="shared" ref="K526" si="237">+I526-J526</f>
        <v>7.7570997178554535E-2</v>
      </c>
      <c r="L526" s="372">
        <f>SUM(N526:BH526)</f>
        <v>484415866.63430542</v>
      </c>
      <c r="M526" s="373"/>
      <c r="N526" s="373">
        <f t="shared" ref="N526:BH526" si="238">+N505+N508+N522</f>
        <v>0</v>
      </c>
      <c r="O526" s="373">
        <f t="shared" si="238"/>
        <v>0</v>
      </c>
      <c r="P526" s="373">
        <f t="shared" si="238"/>
        <v>0</v>
      </c>
      <c r="Q526" s="373">
        <f t="shared" si="238"/>
        <v>0</v>
      </c>
      <c r="R526" s="373">
        <f t="shared" si="238"/>
        <v>0</v>
      </c>
      <c r="S526" s="373">
        <f t="shared" si="238"/>
        <v>0</v>
      </c>
      <c r="T526" s="373">
        <f t="shared" si="238"/>
        <v>0</v>
      </c>
      <c r="U526" s="373">
        <f t="shared" si="238"/>
        <v>0</v>
      </c>
      <c r="V526" s="373">
        <f t="shared" si="238"/>
        <v>0</v>
      </c>
      <c r="W526" s="373">
        <f t="shared" si="238"/>
        <v>0</v>
      </c>
      <c r="X526" s="373">
        <f t="shared" si="238"/>
        <v>0</v>
      </c>
      <c r="Y526" s="373">
        <f t="shared" si="238"/>
        <v>9.8358511924743652E-2</v>
      </c>
      <c r="Z526" s="373">
        <f t="shared" si="238"/>
        <v>7.0984859019517899E-2</v>
      </c>
      <c r="AA526" s="373">
        <f t="shared" si="238"/>
        <v>-0.43181790411472321</v>
      </c>
      <c r="AB526" s="373">
        <f t="shared" si="238"/>
        <v>-0.12582006677985191</v>
      </c>
      <c r="AC526" s="373">
        <f t="shared" si="238"/>
        <v>17687136.276656836</v>
      </c>
      <c r="AD526" s="373">
        <f t="shared" si="238"/>
        <v>0</v>
      </c>
      <c r="AE526" s="373">
        <f t="shared" si="238"/>
        <v>0</v>
      </c>
      <c r="AF526" s="373">
        <f t="shared" si="238"/>
        <v>-0.70499999821186066</v>
      </c>
      <c r="AG526" s="373">
        <f t="shared" si="238"/>
        <v>0</v>
      </c>
      <c r="AH526" s="373">
        <f t="shared" si="238"/>
        <v>0</v>
      </c>
      <c r="AI526" s="373">
        <f t="shared" si="238"/>
        <v>0</v>
      </c>
      <c r="AJ526" s="373">
        <f t="shared" si="238"/>
        <v>0</v>
      </c>
      <c r="AK526" s="373">
        <f t="shared" si="238"/>
        <v>0</v>
      </c>
      <c r="AL526" s="373">
        <f t="shared" si="238"/>
        <v>0</v>
      </c>
      <c r="AM526" s="373">
        <f t="shared" si="238"/>
        <v>-0.43791420757770538</v>
      </c>
      <c r="AN526" s="373">
        <f t="shared" si="238"/>
        <v>1911197</v>
      </c>
      <c r="AO526" s="373">
        <f t="shared" si="238"/>
        <v>178656704.64255401</v>
      </c>
      <c r="AP526" s="373">
        <f t="shared" si="238"/>
        <v>40180860</v>
      </c>
      <c r="AQ526" s="373">
        <f t="shared" si="238"/>
        <v>157177.68975872546</v>
      </c>
      <c r="AR526" s="373">
        <f t="shared" si="238"/>
        <v>4701492.2274356317</v>
      </c>
      <c r="AS526" s="373">
        <f t="shared" si="238"/>
        <v>0</v>
      </c>
      <c r="AT526" s="373">
        <f t="shared" si="238"/>
        <v>0</v>
      </c>
      <c r="AU526" s="373">
        <f t="shared" si="238"/>
        <v>0</v>
      </c>
      <c r="AV526" s="373">
        <f t="shared" si="238"/>
        <v>0</v>
      </c>
      <c r="AW526" s="373">
        <f t="shared" si="238"/>
        <v>0</v>
      </c>
      <c r="AX526" s="373">
        <f t="shared" si="238"/>
        <v>0</v>
      </c>
      <c r="AY526" s="373">
        <f t="shared" si="238"/>
        <v>9239068.3874350004</v>
      </c>
      <c r="AZ526" s="373">
        <f t="shared" si="238"/>
        <v>4397772.8868914694</v>
      </c>
      <c r="BA526" s="373">
        <f t="shared" si="238"/>
        <v>212813923.01090354</v>
      </c>
      <c r="BB526" s="373">
        <f t="shared" si="238"/>
        <v>-5239256.3252908494</v>
      </c>
      <c r="BC526" s="373">
        <f t="shared" si="238"/>
        <v>570048.36916987062</v>
      </c>
      <c r="BD526" s="373">
        <f t="shared" si="238"/>
        <v>0</v>
      </c>
      <c r="BE526" s="373">
        <f t="shared" si="238"/>
        <v>0</v>
      </c>
      <c r="BF526" s="373">
        <f t="shared" si="238"/>
        <v>19339744</v>
      </c>
      <c r="BG526" s="373">
        <f t="shared" si="238"/>
        <v>0</v>
      </c>
      <c r="BH526" s="373">
        <f t="shared" si="238"/>
        <v>0</v>
      </c>
      <c r="BI526" s="373">
        <f>+SUM(N526:AA526)</f>
        <v>-0.26247453317046165</v>
      </c>
      <c r="BJ526" s="373">
        <f>+AB526</f>
        <v>-0.12582006677985191</v>
      </c>
      <c r="BK526" s="373">
        <f>+SUM(AC526:AM526)</f>
        <v>17687135.13374263</v>
      </c>
      <c r="BL526" s="373">
        <f>+SUM(AN526:BH526)</f>
        <v>466728731.88885736</v>
      </c>
    </row>
  </sheetData>
  <dataConsolidate topLabels="1"/>
  <pageMargins left="0.70866141732283472" right="0.70866141732283472" top="0.74803149606299213" bottom="0.74803149606299213" header="0.31496062992125984" footer="0.31496062992125984"/>
  <pageSetup paperSize="8" scale="36" fitToWidth="2" orientation="landscape" r:id="rId1"/>
  <headerFooter>
    <oddHeader>&amp;L&amp;"Garamond,Félkövér"&amp;20 1. melléklet - Pedagógiai és Pszichológiai Kar /Szombathely/ költségvetésének kancellári körlevél szerinti főtáblája (Ft-ban)</oddHeader>
  </headerFooter>
  <ignoredErrors>
    <ignoredError sqref="J274 J190 J263 J360 N109 J89:L94 J140:L143 J96:L117 K95:L95 J188:L188 K493:K498 BI126:BL126 J127:L134 J88:L88 J119:L122 K118:L118 AM258 I26 I143 BI485 AC521" formula="1"/>
  </ignoredErrors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8"/>
  <sheetViews>
    <sheetView workbookViewId="0">
      <selection activeCell="E6" sqref="E6"/>
    </sheetView>
  </sheetViews>
  <sheetFormatPr defaultRowHeight="15.6" x14ac:dyDescent="0.3"/>
  <cols>
    <col min="1" max="1" width="22.77734375" customWidth="1"/>
    <col min="2" max="2" width="16.77734375" customWidth="1"/>
    <col min="3" max="4" width="18.6640625" bestFit="1" customWidth="1"/>
    <col min="5" max="6" width="17.109375" bestFit="1" customWidth="1"/>
    <col min="7" max="7" width="18.6640625" bestFit="1" customWidth="1"/>
    <col min="8" max="8" width="9.109375" bestFit="1" customWidth="1"/>
    <col min="9" max="9" width="17.109375" bestFit="1" customWidth="1"/>
    <col min="10" max="10" width="18.6640625" bestFit="1" customWidth="1"/>
    <col min="11" max="12" width="17.109375" bestFit="1" customWidth="1"/>
    <col min="13" max="13" width="16" bestFit="1" customWidth="1"/>
    <col min="14" max="14" width="17.109375" bestFit="1" customWidth="1"/>
  </cols>
  <sheetData>
    <row r="1" spans="1:15" x14ac:dyDescent="0.3">
      <c r="A1" t="s">
        <v>3717</v>
      </c>
      <c r="E1" s="352"/>
      <c r="F1" s="352"/>
      <c r="G1" s="352"/>
      <c r="H1" s="352"/>
    </row>
    <row r="2" spans="1:15" x14ac:dyDescent="0.3">
      <c r="A2" s="554" t="s">
        <v>3718</v>
      </c>
      <c r="B2" s="554" t="s">
        <v>3719</v>
      </c>
      <c r="E2" s="352"/>
      <c r="F2" s="352"/>
      <c r="G2" s="352"/>
      <c r="H2" s="352"/>
    </row>
    <row r="3" spans="1:15" x14ac:dyDescent="0.3">
      <c r="A3" s="554" t="s">
        <v>3720</v>
      </c>
      <c r="B3" s="554" t="s">
        <v>3719</v>
      </c>
      <c r="E3" s="352"/>
      <c r="F3" s="352"/>
      <c r="G3" s="352"/>
      <c r="H3" s="352"/>
    </row>
    <row r="4" spans="1:15" x14ac:dyDescent="0.3">
      <c r="A4" s="554" t="s">
        <v>3721</v>
      </c>
      <c r="B4" s="554" t="s">
        <v>3719</v>
      </c>
      <c r="E4" s="352"/>
      <c r="F4" s="352"/>
      <c r="G4" s="352"/>
      <c r="H4" s="352"/>
    </row>
    <row r="5" spans="1:15" x14ac:dyDescent="0.3">
      <c r="A5" s="554" t="s">
        <v>3722</v>
      </c>
      <c r="B5" s="554" t="s">
        <v>3723</v>
      </c>
      <c r="E5" s="352"/>
      <c r="F5" s="352"/>
      <c r="G5" s="352"/>
      <c r="H5" s="352"/>
      <c r="I5" s="1203"/>
      <c r="J5" s="1203"/>
      <c r="L5" s="1204" t="s">
        <v>3724</v>
      </c>
      <c r="M5" s="1204"/>
      <c r="N5" s="1204"/>
    </row>
    <row r="6" spans="1:15" x14ac:dyDescent="0.3">
      <c r="A6" s="554" t="s">
        <v>737</v>
      </c>
      <c r="B6" s="554" t="s">
        <v>134</v>
      </c>
      <c r="E6" s="352"/>
      <c r="F6" s="352"/>
      <c r="G6" s="352"/>
      <c r="H6" s="352"/>
      <c r="I6" t="s">
        <v>3725</v>
      </c>
      <c r="J6" t="s">
        <v>3483</v>
      </c>
      <c r="M6" t="s">
        <v>3725</v>
      </c>
      <c r="N6" t="s">
        <v>3483</v>
      </c>
    </row>
    <row r="7" spans="1:15" x14ac:dyDescent="0.3">
      <c r="E7" s="352"/>
      <c r="F7" s="352"/>
      <c r="G7" s="352"/>
      <c r="H7" s="352"/>
      <c r="I7" s="73" t="s">
        <v>3726</v>
      </c>
      <c r="J7" s="73" t="s">
        <v>3727</v>
      </c>
      <c r="M7" s="410" t="s">
        <v>3726</v>
      </c>
      <c r="N7" s="410" t="s">
        <v>3727</v>
      </c>
    </row>
    <row r="8" spans="1:15" ht="18" customHeight="1" x14ac:dyDescent="0.3">
      <c r="A8" t="s">
        <v>3728</v>
      </c>
      <c r="B8" t="s">
        <v>3729</v>
      </c>
      <c r="E8" s="1205" t="s">
        <v>3730</v>
      </c>
      <c r="F8" s="1205"/>
      <c r="G8" s="1205"/>
      <c r="H8" s="555"/>
      <c r="I8" s="73"/>
      <c r="J8" s="73"/>
      <c r="L8" s="1206" t="s">
        <v>3731</v>
      </c>
      <c r="M8" s="410"/>
      <c r="N8" s="410"/>
    </row>
    <row r="9" spans="1:15" x14ac:dyDescent="0.3">
      <c r="A9" s="554" t="s">
        <v>3732</v>
      </c>
      <c r="B9" s="554" t="s">
        <v>3733</v>
      </c>
      <c r="C9" s="554" t="s">
        <v>3734</v>
      </c>
      <c r="D9" s="554" t="s">
        <v>765</v>
      </c>
      <c r="E9" t="s">
        <v>3733</v>
      </c>
      <c r="F9" t="s">
        <v>3734</v>
      </c>
      <c r="G9" t="s">
        <v>765</v>
      </c>
      <c r="I9" s="73" t="s">
        <v>3735</v>
      </c>
      <c r="J9" s="73" t="s">
        <v>3736</v>
      </c>
      <c r="L9" s="1206"/>
      <c r="M9" s="410" t="s">
        <v>3735</v>
      </c>
      <c r="N9" s="410" t="s">
        <v>3736</v>
      </c>
    </row>
    <row r="10" spans="1:15" x14ac:dyDescent="0.3">
      <c r="A10" t="s">
        <v>746</v>
      </c>
      <c r="B10" s="352">
        <v>881711884.01422298</v>
      </c>
      <c r="C10" s="352">
        <v>1014560491.9999579</v>
      </c>
      <c r="D10" s="352">
        <v>1896272376.0141811</v>
      </c>
      <c r="E10" s="352">
        <v>749455101.41208947</v>
      </c>
      <c r="F10" s="352">
        <v>862376418.19996417</v>
      </c>
      <c r="G10" s="352">
        <v>1611831519.6120539</v>
      </c>
      <c r="H10" s="352"/>
      <c r="I10" s="436"/>
      <c r="J10" s="436"/>
      <c r="O10" s="352"/>
    </row>
    <row r="11" spans="1:15" x14ac:dyDescent="0.3">
      <c r="A11" t="s">
        <v>6</v>
      </c>
      <c r="B11" s="352">
        <v>127350336.014219</v>
      </c>
      <c r="C11" s="352">
        <v>160734999.99998197</v>
      </c>
      <c r="D11" s="352">
        <v>288085336.01420099</v>
      </c>
      <c r="E11" s="352">
        <v>108247785.61208615</v>
      </c>
      <c r="F11" s="352">
        <v>136624749.99998468</v>
      </c>
      <c r="G11" s="352">
        <v>244872535.61207083</v>
      </c>
      <c r="H11" s="352" t="s">
        <v>6</v>
      </c>
      <c r="I11" s="436">
        <v>108247785.61208615</v>
      </c>
      <c r="J11" s="436">
        <v>136624749.99998468</v>
      </c>
      <c r="L11" s="352">
        <v>40523750</v>
      </c>
      <c r="M11" s="352">
        <v>18803011.94582079</v>
      </c>
      <c r="N11" s="352">
        <v>21720738.054179206</v>
      </c>
      <c r="O11" s="352"/>
    </row>
    <row r="12" spans="1:15" x14ac:dyDescent="0.3">
      <c r="A12" t="s">
        <v>3451</v>
      </c>
      <c r="B12" s="352">
        <v>7875000.0000099996</v>
      </c>
      <c r="C12" s="352">
        <v>25199999.999998003</v>
      </c>
      <c r="D12" s="352">
        <v>33075000.000008002</v>
      </c>
      <c r="E12" s="432">
        <v>6693750.0000084992</v>
      </c>
      <c r="F12" s="352">
        <v>21419999.999998301</v>
      </c>
      <c r="G12" s="352">
        <v>28113750.000006802</v>
      </c>
      <c r="H12" s="352" t="s">
        <v>3451</v>
      </c>
      <c r="I12" s="436">
        <v>6693750.0000084992</v>
      </c>
      <c r="J12" s="436">
        <v>21419999.999998301</v>
      </c>
      <c r="L12" s="352">
        <v>4781250</v>
      </c>
      <c r="M12" s="352">
        <v>2218499.0497166635</v>
      </c>
      <c r="N12" s="352">
        <v>2562750.950283336</v>
      </c>
      <c r="O12" s="352"/>
    </row>
    <row r="13" spans="1:15" x14ac:dyDescent="0.3">
      <c r="A13" t="s">
        <v>10</v>
      </c>
      <c r="B13" s="352">
        <v>266988000.00007305</v>
      </c>
      <c r="C13" s="352">
        <v>317276999.99995893</v>
      </c>
      <c r="D13" s="352">
        <v>584265000.00003195</v>
      </c>
      <c r="E13" s="432">
        <v>226939800.00006208</v>
      </c>
      <c r="F13" s="352">
        <v>269685449.99996507</v>
      </c>
      <c r="G13" s="352">
        <v>496625250.00002712</v>
      </c>
      <c r="H13" s="352" t="s">
        <v>10</v>
      </c>
      <c r="I13" s="436">
        <v>226939800.00006208</v>
      </c>
      <c r="J13" s="436">
        <v>269685449.99996507</v>
      </c>
      <c r="L13" s="352">
        <v>57247500</v>
      </c>
      <c r="M13" s="352">
        <v>26562828.621940855</v>
      </c>
      <c r="N13" s="352">
        <v>30684671.378059145</v>
      </c>
      <c r="O13" s="352"/>
    </row>
    <row r="14" spans="1:15" x14ac:dyDescent="0.3">
      <c r="A14" t="s">
        <v>7</v>
      </c>
      <c r="B14" s="352">
        <v>165466499.99996498</v>
      </c>
      <c r="C14" s="352">
        <v>169862500.00000703</v>
      </c>
      <c r="D14" s="352">
        <v>335328999.99997199</v>
      </c>
      <c r="E14" s="352">
        <v>140646524.99997023</v>
      </c>
      <c r="F14" s="352">
        <v>144383125.00000596</v>
      </c>
      <c r="G14" s="352">
        <v>285029649.99997616</v>
      </c>
      <c r="H14" s="352" t="s">
        <v>7</v>
      </c>
      <c r="I14" s="436">
        <v>140646524.99997023</v>
      </c>
      <c r="J14" s="436">
        <v>144383125.00000596</v>
      </c>
      <c r="L14" s="352">
        <v>31620000</v>
      </c>
      <c r="M14" s="352">
        <v>14671673.715459537</v>
      </c>
      <c r="N14" s="352">
        <v>16948326.284540463</v>
      </c>
      <c r="O14" s="352"/>
    </row>
    <row r="15" spans="1:15" x14ac:dyDescent="0.3">
      <c r="A15" t="s">
        <v>8</v>
      </c>
      <c r="B15" s="352">
        <v>82921547.999976993</v>
      </c>
      <c r="C15" s="352">
        <v>106473492.000017</v>
      </c>
      <c r="D15" s="352">
        <v>189395039.99999398</v>
      </c>
      <c r="E15" s="352">
        <v>70483315.799980447</v>
      </c>
      <c r="F15" s="352">
        <v>90502468.200014442</v>
      </c>
      <c r="G15" s="352">
        <v>160985783.99999487</v>
      </c>
      <c r="H15" s="352" t="s">
        <v>8</v>
      </c>
      <c r="I15" s="436">
        <v>70483315.799980447</v>
      </c>
      <c r="J15" s="436">
        <v>90502468.200014442</v>
      </c>
      <c r="L15" s="352">
        <v>29771250</v>
      </c>
      <c r="M15" s="352">
        <v>13813854.082902426</v>
      </c>
      <c r="N15" s="352">
        <v>15957395.917097572</v>
      </c>
      <c r="O15" s="352"/>
    </row>
    <row r="16" spans="1:15" x14ac:dyDescent="0.3">
      <c r="A16" t="s">
        <v>12</v>
      </c>
      <c r="B16" s="352"/>
      <c r="C16" s="352">
        <v>399999.99999600003</v>
      </c>
      <c r="D16" s="352">
        <v>399999.99999600003</v>
      </c>
      <c r="E16" s="352">
        <v>0</v>
      </c>
      <c r="F16" s="352">
        <v>339999.99999660003</v>
      </c>
      <c r="G16" s="352">
        <v>339999.99999660003</v>
      </c>
      <c r="H16" s="352" t="s">
        <v>12</v>
      </c>
      <c r="I16" s="436">
        <v>0</v>
      </c>
      <c r="J16" s="436">
        <v>339999.99999660003</v>
      </c>
      <c r="L16" s="352">
        <v>85000</v>
      </c>
      <c r="M16" s="352">
        <v>39439.983106074025</v>
      </c>
      <c r="N16" s="352">
        <v>45560.016893925975</v>
      </c>
      <c r="O16" s="352"/>
    </row>
    <row r="17" spans="1:15" x14ac:dyDescent="0.3">
      <c r="A17" t="s">
        <v>9</v>
      </c>
      <c r="B17" s="352">
        <v>231110499.99997902</v>
      </c>
      <c r="C17" s="352">
        <v>234612499.99999902</v>
      </c>
      <c r="D17" s="352">
        <v>465722999.99997807</v>
      </c>
      <c r="E17" s="352">
        <v>196443924.99998215</v>
      </c>
      <c r="F17" s="352">
        <v>199420624.99999917</v>
      </c>
      <c r="G17" s="352">
        <v>395864549.99998134</v>
      </c>
      <c r="H17" s="352" t="s">
        <v>9</v>
      </c>
      <c r="I17" s="436">
        <v>196443924.99998215</v>
      </c>
      <c r="J17" s="436">
        <v>199420624.99999917</v>
      </c>
      <c r="L17" s="352">
        <v>36465000</v>
      </c>
      <c r="M17" s="352">
        <v>16919752.752505757</v>
      </c>
      <c r="N17" s="352">
        <v>19545247.247494243</v>
      </c>
      <c r="O17" s="352"/>
    </row>
    <row r="18" spans="1:15" x14ac:dyDescent="0.3">
      <c r="A18" t="s">
        <v>761</v>
      </c>
      <c r="B18" s="352">
        <v>20495999.999985002</v>
      </c>
      <c r="C18" s="352">
        <v>27646000.000038002</v>
      </c>
      <c r="D18" s="352">
        <v>48142000.000023007</v>
      </c>
      <c r="E18" s="352">
        <v>17421599.999987252</v>
      </c>
      <c r="F18" s="352">
        <v>23499100.000032302</v>
      </c>
      <c r="G18" s="352">
        <v>40920700.000019558</v>
      </c>
      <c r="H18" s="352"/>
      <c r="I18" s="436"/>
      <c r="J18" s="436"/>
      <c r="L18" s="352"/>
      <c r="M18" s="352">
        <v>0</v>
      </c>
      <c r="N18" s="352">
        <v>0</v>
      </c>
      <c r="O18" s="352"/>
    </row>
    <row r="19" spans="1:15" x14ac:dyDescent="0.3">
      <c r="A19" t="s">
        <v>10</v>
      </c>
      <c r="B19" s="352">
        <v>20495999.999985002</v>
      </c>
      <c r="C19" s="352">
        <v>27646000.000038002</v>
      </c>
      <c r="D19" s="352">
        <v>48142000.000023007</v>
      </c>
      <c r="E19" s="352">
        <v>17421599.999987252</v>
      </c>
      <c r="F19" s="352">
        <v>23499100.000032302</v>
      </c>
      <c r="G19" s="352">
        <v>40920700.000019558</v>
      </c>
      <c r="H19" s="352" t="s">
        <v>2777</v>
      </c>
      <c r="I19" s="436">
        <v>17421599.999987252</v>
      </c>
      <c r="J19" s="436">
        <v>23499100.000032302</v>
      </c>
      <c r="L19" s="352">
        <v>5121250</v>
      </c>
      <c r="M19" s="352">
        <v>2376258.9821409597</v>
      </c>
      <c r="N19" s="352">
        <v>2744991.0178590398</v>
      </c>
      <c r="O19" s="352"/>
    </row>
    <row r="20" spans="1:15" x14ac:dyDescent="0.3">
      <c r="A20" s="554" t="s">
        <v>765</v>
      </c>
      <c r="B20" s="556">
        <v>902207884.01420796</v>
      </c>
      <c r="C20" s="556">
        <v>1042206491.9999959</v>
      </c>
      <c r="D20" s="556">
        <v>1944414376.014204</v>
      </c>
      <c r="E20" s="352">
        <v>766876701.41207671</v>
      </c>
      <c r="F20" s="352">
        <v>885875518.19999659</v>
      </c>
      <c r="G20" s="352">
        <v>1652752219.6120734</v>
      </c>
      <c r="H20" s="352" t="s">
        <v>765</v>
      </c>
      <c r="I20" s="436">
        <v>766876701.41207671</v>
      </c>
      <c r="J20" s="436">
        <v>885875518.19999647</v>
      </c>
      <c r="L20" s="352">
        <v>205615000</v>
      </c>
      <c r="M20" s="352">
        <v>95405319.133593082</v>
      </c>
      <c r="N20" s="352">
        <v>110209680.86640692</v>
      </c>
      <c r="O20" s="352"/>
    </row>
    <row r="21" spans="1:15" x14ac:dyDescent="0.3">
      <c r="B21" s="352"/>
      <c r="C21" s="352"/>
      <c r="D21" s="352"/>
      <c r="E21" s="352">
        <v>766876701.41207671</v>
      </c>
      <c r="F21" s="352">
        <v>885875518.19999659</v>
      </c>
      <c r="G21" s="352"/>
      <c r="H21" s="352" t="e">
        <v>#REF!</v>
      </c>
      <c r="I21" s="557"/>
      <c r="J21" s="557">
        <v>1652752219.6120732</v>
      </c>
      <c r="K21" s="431"/>
      <c r="L21" s="557"/>
      <c r="M21" s="557"/>
      <c r="N21" s="557">
        <v>205615000</v>
      </c>
      <c r="O21" s="352"/>
    </row>
    <row r="22" spans="1:15" x14ac:dyDescent="0.3">
      <c r="B22" s="352"/>
      <c r="C22" s="352"/>
      <c r="D22" s="352"/>
      <c r="E22" s="558">
        <v>0.46399980124792967</v>
      </c>
      <c r="F22" s="558">
        <v>0.53600019875207028</v>
      </c>
      <c r="G22" s="352"/>
      <c r="H22" s="352"/>
      <c r="I22" s="557"/>
      <c r="J22" s="557">
        <v>-4.76837158203125E-6</v>
      </c>
      <c r="K22" s="431"/>
      <c r="L22" s="557"/>
      <c r="M22" s="557"/>
      <c r="N22" s="557">
        <v>0</v>
      </c>
      <c r="O22" s="352"/>
    </row>
    <row r="23" spans="1:15" ht="16.2" thickBot="1" x14ac:dyDescent="0.35">
      <c r="B23" s="352"/>
      <c r="C23" s="352"/>
      <c r="D23" s="352"/>
      <c r="E23" s="432"/>
      <c r="F23" s="352"/>
      <c r="G23" s="352"/>
      <c r="H23" s="352"/>
      <c r="I23" s="557"/>
      <c r="J23" s="557"/>
      <c r="K23" s="431"/>
      <c r="L23" s="557"/>
      <c r="M23" s="557"/>
      <c r="N23" s="557"/>
      <c r="O23" s="352"/>
    </row>
    <row r="24" spans="1:15" x14ac:dyDescent="0.3">
      <c r="B24" s="352"/>
      <c r="C24" s="352"/>
      <c r="D24" s="352"/>
      <c r="E24" s="352"/>
      <c r="F24" s="352"/>
      <c r="G24" s="352"/>
      <c r="H24" s="352"/>
      <c r="I24" s="559"/>
      <c r="J24" s="560" t="s">
        <v>3737</v>
      </c>
      <c r="K24" s="561" t="s">
        <v>3738</v>
      </c>
      <c r="L24" s="557"/>
      <c r="M24" s="557"/>
      <c r="N24" s="557"/>
      <c r="O24" s="352"/>
    </row>
    <row r="25" spans="1:15" x14ac:dyDescent="0.3">
      <c r="B25" s="352"/>
      <c r="C25" s="352"/>
      <c r="D25" s="352"/>
      <c r="E25" s="352"/>
      <c r="F25" s="352"/>
      <c r="G25" s="352"/>
      <c r="H25" s="352"/>
      <c r="I25" s="562" t="s">
        <v>3739</v>
      </c>
      <c r="J25" s="557">
        <v>1611831519.6120584</v>
      </c>
      <c r="K25" s="563">
        <v>200493750</v>
      </c>
      <c r="L25" s="557"/>
      <c r="M25" s="557"/>
      <c r="N25" s="557"/>
      <c r="O25" s="352"/>
    </row>
    <row r="26" spans="1:15" x14ac:dyDescent="0.3">
      <c r="B26" s="352"/>
      <c r="C26" s="352"/>
      <c r="D26" s="352"/>
      <c r="E26" s="2"/>
      <c r="H26" s="352"/>
      <c r="I26" s="564" t="s">
        <v>3740</v>
      </c>
      <c r="J26" s="565">
        <v>40920700.000019558</v>
      </c>
      <c r="K26" s="566">
        <v>5121250</v>
      </c>
      <c r="O26" s="352"/>
    </row>
    <row r="27" spans="1:15" ht="16.2" thickBot="1" x14ac:dyDescent="0.35">
      <c r="B27" s="352"/>
      <c r="C27" s="352"/>
      <c r="D27" s="352"/>
      <c r="H27" s="352"/>
      <c r="I27" s="567" t="s">
        <v>3741</v>
      </c>
      <c r="J27" s="568">
        <v>1652752219.612078</v>
      </c>
      <c r="K27" s="569">
        <v>205615000</v>
      </c>
      <c r="O27" s="352"/>
    </row>
    <row r="28" spans="1:15" x14ac:dyDescent="0.3">
      <c r="B28" s="352"/>
      <c r="C28" s="352"/>
      <c r="D28" s="352"/>
      <c r="O28" s="352"/>
    </row>
  </sheetData>
  <mergeCells count="4">
    <mergeCell ref="I5:J5"/>
    <mergeCell ref="L5:N5"/>
    <mergeCell ref="E8:G8"/>
    <mergeCell ref="L8:L9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.6" x14ac:dyDescent="0.3"/>
  <sheetData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U371"/>
  <sheetViews>
    <sheetView workbookViewId="0">
      <selection activeCell="D257" sqref="D257"/>
    </sheetView>
  </sheetViews>
  <sheetFormatPr defaultColWidth="8.88671875" defaultRowHeight="15.6" x14ac:dyDescent="0.3"/>
  <cols>
    <col min="1" max="1" width="16" style="78" bestFit="1" customWidth="1"/>
    <col min="2" max="2" width="22" style="78" bestFit="1" customWidth="1"/>
    <col min="3" max="4" width="47" style="78" customWidth="1"/>
    <col min="5" max="5" width="26" style="78" bestFit="1" customWidth="1"/>
    <col min="6" max="6" width="12" style="78" bestFit="1" customWidth="1"/>
    <col min="7" max="7" width="21" style="78" bestFit="1" customWidth="1"/>
    <col min="8" max="16384" width="8.88671875" style="78"/>
  </cols>
  <sheetData>
    <row r="1" spans="1:47" x14ac:dyDescent="0.3">
      <c r="A1" s="77" t="s">
        <v>1432</v>
      </c>
      <c r="B1" s="77" t="s">
        <v>1433</v>
      </c>
      <c r="C1" s="77" t="s">
        <v>1434</v>
      </c>
      <c r="D1" s="77" t="s">
        <v>1434</v>
      </c>
      <c r="E1" s="77" t="s">
        <v>1435</v>
      </c>
      <c r="F1" s="77" t="s">
        <v>1436</v>
      </c>
      <c r="G1" s="77" t="s">
        <v>1437</v>
      </c>
      <c r="AU1" s="77" t="s">
        <v>154</v>
      </c>
    </row>
    <row r="2" spans="1:47" hidden="1" x14ac:dyDescent="0.3">
      <c r="A2" s="79" t="s">
        <v>1438</v>
      </c>
      <c r="B2" s="79" t="s">
        <v>5</v>
      </c>
      <c r="C2" s="79" t="s">
        <v>796</v>
      </c>
      <c r="D2" s="79" t="s">
        <v>796</v>
      </c>
      <c r="E2" s="79" t="s">
        <v>772</v>
      </c>
      <c r="F2" s="79" t="s">
        <v>1439</v>
      </c>
      <c r="G2" s="79" t="s">
        <v>1440</v>
      </c>
      <c r="AU2" s="77" t="s">
        <v>1441</v>
      </c>
    </row>
    <row r="3" spans="1:47" hidden="1" x14ac:dyDescent="0.3">
      <c r="A3" s="79" t="s">
        <v>1442</v>
      </c>
      <c r="B3" s="79" t="s">
        <v>1168</v>
      </c>
      <c r="C3" s="79" t="s">
        <v>1443</v>
      </c>
      <c r="D3" s="79" t="s">
        <v>95</v>
      </c>
      <c r="E3" s="79" t="s">
        <v>1444</v>
      </c>
      <c r="F3" s="79" t="s">
        <v>1438</v>
      </c>
      <c r="G3" s="79" t="s">
        <v>5</v>
      </c>
      <c r="AU3" s="77" t="s">
        <v>1445</v>
      </c>
    </row>
    <row r="4" spans="1:47" hidden="1" x14ac:dyDescent="0.3">
      <c r="A4" s="79" t="s">
        <v>1446</v>
      </c>
      <c r="B4" s="79" t="s">
        <v>1169</v>
      </c>
      <c r="C4" s="79" t="s">
        <v>1447</v>
      </c>
      <c r="D4" s="79" t="s">
        <v>96</v>
      </c>
      <c r="E4" s="79" t="s">
        <v>1444</v>
      </c>
      <c r="F4" s="79" t="s">
        <v>1438</v>
      </c>
      <c r="G4" s="79" t="s">
        <v>5</v>
      </c>
      <c r="AU4" s="77" t="s">
        <v>1448</v>
      </c>
    </row>
    <row r="5" spans="1:47" hidden="1" x14ac:dyDescent="0.3">
      <c r="A5" s="79" t="s">
        <v>1449</v>
      </c>
      <c r="B5" s="79" t="s">
        <v>1170</v>
      </c>
      <c r="C5" s="79" t="s">
        <v>1450</v>
      </c>
      <c r="D5" s="79" t="s">
        <v>97</v>
      </c>
      <c r="E5" s="79" t="s">
        <v>1444</v>
      </c>
      <c r="F5" s="79" t="s">
        <v>1438</v>
      </c>
      <c r="G5" s="79" t="s">
        <v>5</v>
      </c>
      <c r="AU5" s="77" t="s">
        <v>1451</v>
      </c>
    </row>
    <row r="6" spans="1:47" hidden="1" x14ac:dyDescent="0.3">
      <c r="A6" s="79" t="s">
        <v>1452</v>
      </c>
      <c r="B6" s="79" t="s">
        <v>1171</v>
      </c>
      <c r="C6" s="79" t="s">
        <v>1453</v>
      </c>
      <c r="D6" s="79" t="s">
        <v>2651</v>
      </c>
      <c r="E6" s="79" t="s">
        <v>1444</v>
      </c>
      <c r="F6" s="79" t="s">
        <v>1438</v>
      </c>
      <c r="G6" s="79" t="s">
        <v>5</v>
      </c>
      <c r="AU6" s="77" t="s">
        <v>1454</v>
      </c>
    </row>
    <row r="7" spans="1:47" hidden="1" x14ac:dyDescent="0.3">
      <c r="A7" s="79" t="s">
        <v>1455</v>
      </c>
      <c r="B7" s="79" t="s">
        <v>1172</v>
      </c>
      <c r="C7" s="79" t="s">
        <v>1456</v>
      </c>
      <c r="D7" s="79" t="s">
        <v>106</v>
      </c>
      <c r="E7" s="79" t="s">
        <v>1457</v>
      </c>
      <c r="F7" s="79" t="s">
        <v>1438</v>
      </c>
      <c r="G7" s="79" t="s">
        <v>5</v>
      </c>
      <c r="AU7" s="77" t="s">
        <v>1458</v>
      </c>
    </row>
    <row r="8" spans="1:47" hidden="1" x14ac:dyDescent="0.3">
      <c r="A8" s="79" t="s">
        <v>1459</v>
      </c>
      <c r="B8" s="79" t="s">
        <v>1460</v>
      </c>
      <c r="C8" s="79" t="s">
        <v>1461</v>
      </c>
      <c r="D8" s="79" t="s">
        <v>108</v>
      </c>
      <c r="E8" s="79" t="s">
        <v>1457</v>
      </c>
      <c r="F8" s="79" t="s">
        <v>1438</v>
      </c>
      <c r="G8" s="79" t="s">
        <v>5</v>
      </c>
      <c r="AU8" s="77" t="s">
        <v>1462</v>
      </c>
    </row>
    <row r="9" spans="1:47" hidden="1" x14ac:dyDescent="0.3">
      <c r="A9" s="79" t="s">
        <v>1463</v>
      </c>
      <c r="B9" s="79" t="s">
        <v>1173</v>
      </c>
      <c r="C9" s="79" t="s">
        <v>1464</v>
      </c>
      <c r="D9" s="79" t="s">
        <v>2652</v>
      </c>
      <c r="E9" s="79" t="s">
        <v>1465</v>
      </c>
      <c r="F9" s="79" t="s">
        <v>1438</v>
      </c>
      <c r="G9" s="79" t="s">
        <v>5</v>
      </c>
      <c r="AU9" s="77" t="s">
        <v>1466</v>
      </c>
    </row>
    <row r="10" spans="1:47" hidden="1" x14ac:dyDescent="0.3">
      <c r="A10" s="79" t="s">
        <v>1467</v>
      </c>
      <c r="B10" s="79" t="s">
        <v>1174</v>
      </c>
      <c r="C10" s="79" t="s">
        <v>1468</v>
      </c>
      <c r="D10" s="79" t="s">
        <v>98</v>
      </c>
      <c r="E10" s="79" t="s">
        <v>1444</v>
      </c>
      <c r="F10" s="79" t="s">
        <v>1438</v>
      </c>
      <c r="G10" s="79" t="s">
        <v>5</v>
      </c>
      <c r="AU10" s="77" t="s">
        <v>1469</v>
      </c>
    </row>
    <row r="11" spans="1:47" hidden="1" x14ac:dyDescent="0.3">
      <c r="A11" s="79" t="s">
        <v>1470</v>
      </c>
      <c r="B11" s="79" t="s">
        <v>1175</v>
      </c>
      <c r="C11" s="79" t="s">
        <v>1471</v>
      </c>
      <c r="D11" s="79" t="s">
        <v>105</v>
      </c>
      <c r="E11" s="79" t="s">
        <v>1472</v>
      </c>
      <c r="F11" s="79" t="s">
        <v>1438</v>
      </c>
      <c r="G11" s="79" t="s">
        <v>5</v>
      </c>
      <c r="AU11" s="77" t="s">
        <v>1473</v>
      </c>
    </row>
    <row r="12" spans="1:47" hidden="1" x14ac:dyDescent="0.3">
      <c r="A12" s="79" t="s">
        <v>1474</v>
      </c>
      <c r="B12" s="79" t="s">
        <v>1176</v>
      </c>
      <c r="C12" s="79" t="s">
        <v>1475</v>
      </c>
      <c r="D12" s="79" t="s">
        <v>2653</v>
      </c>
      <c r="E12" s="79" t="s">
        <v>1444</v>
      </c>
      <c r="F12" s="79" t="s">
        <v>1438</v>
      </c>
      <c r="G12" s="79" t="s">
        <v>5</v>
      </c>
      <c r="AU12" s="77" t="s">
        <v>1476</v>
      </c>
    </row>
    <row r="13" spans="1:47" hidden="1" x14ac:dyDescent="0.3">
      <c r="A13" s="79" t="s">
        <v>1477</v>
      </c>
      <c r="B13" s="79" t="s">
        <v>1177</v>
      </c>
      <c r="C13" s="79" t="s">
        <v>1478</v>
      </c>
      <c r="D13" s="79" t="s">
        <v>99</v>
      </c>
      <c r="E13" s="79" t="s">
        <v>1444</v>
      </c>
      <c r="F13" s="79" t="s">
        <v>1438</v>
      </c>
      <c r="G13" s="79" t="s">
        <v>5</v>
      </c>
      <c r="AU13" s="77" t="s">
        <v>1479</v>
      </c>
    </row>
    <row r="14" spans="1:47" hidden="1" x14ac:dyDescent="0.3">
      <c r="A14" s="79" t="s">
        <v>1480</v>
      </c>
      <c r="B14" s="79" t="s">
        <v>1481</v>
      </c>
      <c r="C14" s="79" t="s">
        <v>1482</v>
      </c>
      <c r="D14" s="79" t="s">
        <v>2654</v>
      </c>
      <c r="E14" s="79" t="s">
        <v>1457</v>
      </c>
      <c r="F14" s="79" t="s">
        <v>1438</v>
      </c>
      <c r="G14" s="79" t="s">
        <v>5</v>
      </c>
      <c r="AU14" s="77" t="s">
        <v>1483</v>
      </c>
    </row>
    <row r="15" spans="1:47" hidden="1" x14ac:dyDescent="0.3">
      <c r="A15" s="79" t="s">
        <v>1484</v>
      </c>
      <c r="B15" s="79" t="s">
        <v>1178</v>
      </c>
      <c r="C15" s="79" t="s">
        <v>966</v>
      </c>
      <c r="D15" s="79" t="s">
        <v>984</v>
      </c>
      <c r="E15" s="79" t="s">
        <v>1457</v>
      </c>
      <c r="F15" s="79" t="s">
        <v>1438</v>
      </c>
      <c r="G15" s="79" t="s">
        <v>5</v>
      </c>
      <c r="AU15" s="77" t="s">
        <v>1485</v>
      </c>
    </row>
    <row r="16" spans="1:47" hidden="1" x14ac:dyDescent="0.3">
      <c r="A16" s="79" t="s">
        <v>1486</v>
      </c>
      <c r="B16" s="79" t="s">
        <v>1179</v>
      </c>
      <c r="C16" s="79" t="s">
        <v>1487</v>
      </c>
      <c r="D16" s="79" t="s">
        <v>2655</v>
      </c>
      <c r="E16" s="79" t="s">
        <v>1444</v>
      </c>
      <c r="F16" s="79" t="s">
        <v>1438</v>
      </c>
      <c r="G16" s="79" t="s">
        <v>5</v>
      </c>
      <c r="AU16" s="77" t="s">
        <v>1488</v>
      </c>
    </row>
    <row r="17" spans="1:47" hidden="1" x14ac:dyDescent="0.3">
      <c r="A17" s="79" t="s">
        <v>1489</v>
      </c>
      <c r="B17" s="79" t="s">
        <v>1180</v>
      </c>
      <c r="C17" s="79" t="s">
        <v>1490</v>
      </c>
      <c r="D17" s="79" t="s">
        <v>100</v>
      </c>
      <c r="E17" s="79" t="s">
        <v>1444</v>
      </c>
      <c r="F17" s="79" t="s">
        <v>1438</v>
      </c>
      <c r="G17" s="79" t="s">
        <v>5</v>
      </c>
      <c r="AU17" s="77" t="s">
        <v>1491</v>
      </c>
    </row>
    <row r="18" spans="1:47" hidden="1" x14ac:dyDescent="0.3">
      <c r="A18" s="79" t="s">
        <v>1492</v>
      </c>
      <c r="B18" s="79" t="s">
        <v>1181</v>
      </c>
      <c r="C18" s="79" t="s">
        <v>1493</v>
      </c>
      <c r="D18" s="79" t="s">
        <v>2656</v>
      </c>
      <c r="E18" s="79" t="s">
        <v>1444</v>
      </c>
      <c r="F18" s="79" t="s">
        <v>1438</v>
      </c>
      <c r="G18" s="79" t="s">
        <v>5</v>
      </c>
      <c r="AU18" s="77" t="s">
        <v>1494</v>
      </c>
    </row>
    <row r="19" spans="1:47" hidden="1" x14ac:dyDescent="0.3">
      <c r="A19" s="79" t="s">
        <v>1495</v>
      </c>
      <c r="B19" s="79" t="s">
        <v>1182</v>
      </c>
      <c r="C19" s="79" t="s">
        <v>1496</v>
      </c>
      <c r="D19" s="79" t="s">
        <v>101</v>
      </c>
      <c r="E19" s="79" t="s">
        <v>1444</v>
      </c>
      <c r="F19" s="79" t="s">
        <v>1438</v>
      </c>
      <c r="G19" s="79" t="s">
        <v>5</v>
      </c>
      <c r="AU19" s="77" t="s">
        <v>1497</v>
      </c>
    </row>
    <row r="20" spans="1:47" hidden="1" x14ac:dyDescent="0.3">
      <c r="A20" s="79" t="s">
        <v>1498</v>
      </c>
      <c r="B20" s="79" t="s">
        <v>1183</v>
      </c>
      <c r="C20" s="79" t="s">
        <v>1499</v>
      </c>
      <c r="D20" s="79" t="s">
        <v>2657</v>
      </c>
      <c r="E20" s="79" t="s">
        <v>1444</v>
      </c>
      <c r="F20" s="79" t="s">
        <v>1438</v>
      </c>
      <c r="G20" s="79" t="s">
        <v>5</v>
      </c>
      <c r="AU20" s="77" t="s">
        <v>1500</v>
      </c>
    </row>
    <row r="21" spans="1:47" hidden="1" x14ac:dyDescent="0.3">
      <c r="A21" s="79" t="s">
        <v>1501</v>
      </c>
      <c r="B21" s="79" t="s">
        <v>1184</v>
      </c>
      <c r="C21" s="79" t="s">
        <v>1502</v>
      </c>
      <c r="D21" s="79" t="s">
        <v>2658</v>
      </c>
      <c r="E21" s="79" t="s">
        <v>1444</v>
      </c>
      <c r="F21" s="79" t="s">
        <v>1438</v>
      </c>
      <c r="G21" s="79" t="s">
        <v>5</v>
      </c>
      <c r="AU21" s="77" t="s">
        <v>1503</v>
      </c>
    </row>
    <row r="22" spans="1:47" hidden="1" x14ac:dyDescent="0.3">
      <c r="A22" s="79" t="s">
        <v>1504</v>
      </c>
      <c r="B22" s="79" t="s">
        <v>1185</v>
      </c>
      <c r="C22" s="79" t="s">
        <v>1505</v>
      </c>
      <c r="D22" s="79" t="s">
        <v>103</v>
      </c>
      <c r="E22" s="79" t="s">
        <v>1444</v>
      </c>
      <c r="F22" s="79" t="s">
        <v>1438</v>
      </c>
      <c r="G22" s="79" t="s">
        <v>5</v>
      </c>
      <c r="AU22" s="77" t="s">
        <v>1506</v>
      </c>
    </row>
    <row r="23" spans="1:47" hidden="1" x14ac:dyDescent="0.3">
      <c r="A23" s="79" t="s">
        <v>1507</v>
      </c>
      <c r="B23" s="79" t="s">
        <v>1186</v>
      </c>
      <c r="C23" s="79" t="s">
        <v>1508</v>
      </c>
      <c r="D23" s="79" t="s">
        <v>2659</v>
      </c>
      <c r="E23" s="79" t="s">
        <v>1472</v>
      </c>
      <c r="F23" s="79" t="s">
        <v>1438</v>
      </c>
      <c r="G23" s="79" t="s">
        <v>5</v>
      </c>
      <c r="AU23" s="77" t="s">
        <v>1509</v>
      </c>
    </row>
    <row r="24" spans="1:47" hidden="1" x14ac:dyDescent="0.3">
      <c r="A24" s="79" t="s">
        <v>1510</v>
      </c>
      <c r="B24" s="79" t="s">
        <v>1187</v>
      </c>
      <c r="C24" s="79" t="s">
        <v>1511</v>
      </c>
      <c r="D24" s="79" t="s">
        <v>102</v>
      </c>
      <c r="E24" s="79" t="s">
        <v>1444</v>
      </c>
      <c r="F24" s="79" t="s">
        <v>1438</v>
      </c>
      <c r="G24" s="79" t="s">
        <v>5</v>
      </c>
      <c r="AU24" s="77" t="s">
        <v>1512</v>
      </c>
    </row>
    <row r="25" spans="1:47" hidden="1" x14ac:dyDescent="0.3">
      <c r="A25" s="79" t="s">
        <v>1513</v>
      </c>
      <c r="B25" s="79" t="s">
        <v>1188</v>
      </c>
      <c r="C25" s="79" t="s">
        <v>1514</v>
      </c>
      <c r="D25" s="79" t="s">
        <v>104</v>
      </c>
      <c r="E25" s="79" t="s">
        <v>1444</v>
      </c>
      <c r="F25" s="79" t="s">
        <v>1438</v>
      </c>
      <c r="G25" s="79" t="s">
        <v>5</v>
      </c>
      <c r="AU25" s="77" t="s">
        <v>1515</v>
      </c>
    </row>
    <row r="26" spans="1:47" hidden="1" x14ac:dyDescent="0.3">
      <c r="A26" s="79" t="s">
        <v>1516</v>
      </c>
      <c r="B26" s="79" t="s">
        <v>1189</v>
      </c>
      <c r="C26" s="79" t="s">
        <v>1517</v>
      </c>
      <c r="D26" s="79" t="s">
        <v>107</v>
      </c>
      <c r="E26" s="79" t="s">
        <v>1457</v>
      </c>
      <c r="F26" s="79" t="s">
        <v>1438</v>
      </c>
      <c r="G26" s="79" t="s">
        <v>5</v>
      </c>
      <c r="AU26" s="77" t="s">
        <v>1518</v>
      </c>
    </row>
    <row r="27" spans="1:47" hidden="1" x14ac:dyDescent="0.3">
      <c r="A27" s="79" t="s">
        <v>1519</v>
      </c>
      <c r="B27" s="79" t="s">
        <v>1520</v>
      </c>
      <c r="C27" s="79" t="s">
        <v>1521</v>
      </c>
      <c r="D27" s="79" t="s">
        <v>1521</v>
      </c>
      <c r="E27" s="79" t="s">
        <v>1457</v>
      </c>
      <c r="F27" s="79" t="s">
        <v>1439</v>
      </c>
      <c r="G27" s="79" t="s">
        <v>1440</v>
      </c>
      <c r="AU27" s="77" t="s">
        <v>1522</v>
      </c>
    </row>
    <row r="28" spans="1:47" hidden="1" x14ac:dyDescent="0.3">
      <c r="A28" s="79" t="s">
        <v>1523</v>
      </c>
      <c r="B28" s="79" t="s">
        <v>1524</v>
      </c>
      <c r="C28" s="79" t="s">
        <v>1525</v>
      </c>
      <c r="D28" s="79" t="s">
        <v>1525</v>
      </c>
      <c r="E28" s="79" t="s">
        <v>1457</v>
      </c>
      <c r="F28" s="79" t="s">
        <v>1439</v>
      </c>
      <c r="G28" s="79" t="s">
        <v>1440</v>
      </c>
      <c r="AU28" s="77" t="s">
        <v>1526</v>
      </c>
    </row>
    <row r="29" spans="1:47" hidden="1" x14ac:dyDescent="0.3">
      <c r="A29" s="79" t="s">
        <v>1527</v>
      </c>
      <c r="B29" s="79" t="s">
        <v>1192</v>
      </c>
      <c r="C29" s="79" t="s">
        <v>1528</v>
      </c>
      <c r="D29" s="79" t="s">
        <v>2971</v>
      </c>
      <c r="E29" s="79" t="s">
        <v>1444</v>
      </c>
      <c r="F29" s="79" t="s">
        <v>1529</v>
      </c>
      <c r="G29" s="79" t="s">
        <v>749</v>
      </c>
      <c r="AU29" s="77" t="s">
        <v>1530</v>
      </c>
    </row>
    <row r="30" spans="1:47" hidden="1" x14ac:dyDescent="0.3">
      <c r="A30" s="79" t="s">
        <v>1531</v>
      </c>
      <c r="B30" s="79" t="s">
        <v>1193</v>
      </c>
      <c r="C30" s="79" t="s">
        <v>1532</v>
      </c>
      <c r="D30" s="79" t="s">
        <v>1160</v>
      </c>
      <c r="E30" s="79" t="s">
        <v>1444</v>
      </c>
      <c r="F30" s="79" t="s">
        <v>1529</v>
      </c>
      <c r="G30" s="79" t="s">
        <v>749</v>
      </c>
      <c r="AU30" s="77" t="s">
        <v>1533</v>
      </c>
    </row>
    <row r="31" spans="1:47" hidden="1" x14ac:dyDescent="0.3">
      <c r="A31" s="79" t="s">
        <v>1534</v>
      </c>
      <c r="B31" s="79" t="s">
        <v>1194</v>
      </c>
      <c r="C31" s="79" t="s">
        <v>1535</v>
      </c>
      <c r="D31" s="79" t="s">
        <v>2972</v>
      </c>
      <c r="E31" s="79" t="s">
        <v>1444</v>
      </c>
      <c r="F31" s="79" t="s">
        <v>1529</v>
      </c>
      <c r="G31" s="79" t="s">
        <v>749</v>
      </c>
      <c r="AU31" s="77" t="s">
        <v>1536</v>
      </c>
    </row>
    <row r="32" spans="1:47" hidden="1" x14ac:dyDescent="0.3">
      <c r="A32" s="79" t="s">
        <v>1537</v>
      </c>
      <c r="B32" s="79" t="s">
        <v>1195</v>
      </c>
      <c r="C32" s="79" t="s">
        <v>1538</v>
      </c>
      <c r="D32" s="79" t="s">
        <v>2973</v>
      </c>
      <c r="E32" s="79" t="s">
        <v>1444</v>
      </c>
      <c r="F32" s="79" t="s">
        <v>1529</v>
      </c>
      <c r="G32" s="79" t="s">
        <v>749</v>
      </c>
      <c r="AU32" s="77" t="s">
        <v>1539</v>
      </c>
    </row>
    <row r="33" spans="1:47" hidden="1" x14ac:dyDescent="0.3">
      <c r="A33" s="79" t="s">
        <v>1540</v>
      </c>
      <c r="B33" s="79" t="s">
        <v>1196</v>
      </c>
      <c r="C33" s="79" t="s">
        <v>1541</v>
      </c>
      <c r="D33" s="79" t="s">
        <v>2974</v>
      </c>
      <c r="E33" s="79" t="s">
        <v>1444</v>
      </c>
      <c r="F33" s="79" t="s">
        <v>1529</v>
      </c>
      <c r="G33" s="79" t="s">
        <v>749</v>
      </c>
      <c r="AU33" s="77" t="s">
        <v>1542</v>
      </c>
    </row>
    <row r="34" spans="1:47" hidden="1" x14ac:dyDescent="0.3">
      <c r="A34" s="79" t="s">
        <v>1543</v>
      </c>
      <c r="B34" s="79" t="s">
        <v>1197</v>
      </c>
      <c r="C34" s="79" t="s">
        <v>1544</v>
      </c>
      <c r="D34" s="79" t="s">
        <v>2975</v>
      </c>
      <c r="E34" s="79" t="s">
        <v>1444</v>
      </c>
      <c r="F34" s="79" t="s">
        <v>1529</v>
      </c>
      <c r="G34" s="79" t="s">
        <v>749</v>
      </c>
      <c r="AU34" s="77" t="s">
        <v>1545</v>
      </c>
    </row>
    <row r="35" spans="1:47" hidden="1" x14ac:dyDescent="0.3">
      <c r="A35" s="79" t="s">
        <v>1546</v>
      </c>
      <c r="B35" s="79" t="s">
        <v>1198</v>
      </c>
      <c r="C35" s="79" t="s">
        <v>1547</v>
      </c>
      <c r="D35" s="79" t="s">
        <v>2976</v>
      </c>
      <c r="E35" s="79" t="s">
        <v>1444</v>
      </c>
      <c r="F35" s="79" t="s">
        <v>1529</v>
      </c>
      <c r="G35" s="79" t="s">
        <v>749</v>
      </c>
      <c r="AU35" s="77" t="s">
        <v>1548</v>
      </c>
    </row>
    <row r="36" spans="1:47" hidden="1" x14ac:dyDescent="0.3">
      <c r="A36" s="79" t="s">
        <v>1549</v>
      </c>
      <c r="B36" s="79" t="s">
        <v>1199</v>
      </c>
      <c r="C36" s="79" t="s">
        <v>1550</v>
      </c>
      <c r="D36" s="79" t="s">
        <v>2977</v>
      </c>
      <c r="E36" s="79" t="s">
        <v>1444</v>
      </c>
      <c r="F36" s="79" t="s">
        <v>1529</v>
      </c>
      <c r="G36" s="79" t="s">
        <v>749</v>
      </c>
      <c r="AU36" s="77" t="s">
        <v>1551</v>
      </c>
    </row>
    <row r="37" spans="1:47" hidden="1" x14ac:dyDescent="0.3">
      <c r="A37" s="79" t="s">
        <v>1552</v>
      </c>
      <c r="B37" s="79" t="s">
        <v>1200</v>
      </c>
      <c r="C37" s="79" t="s">
        <v>1553</v>
      </c>
      <c r="D37" s="79" t="s">
        <v>2978</v>
      </c>
      <c r="E37" s="79" t="s">
        <v>1444</v>
      </c>
      <c r="F37" s="79" t="s">
        <v>1529</v>
      </c>
      <c r="G37" s="79" t="s">
        <v>749</v>
      </c>
      <c r="AU37" s="77" t="s">
        <v>1554</v>
      </c>
    </row>
    <row r="38" spans="1:47" hidden="1" x14ac:dyDescent="0.3">
      <c r="A38" s="79" t="s">
        <v>1529</v>
      </c>
      <c r="B38" s="79" t="s">
        <v>749</v>
      </c>
      <c r="C38" s="79" t="s">
        <v>1555</v>
      </c>
      <c r="D38" s="79" t="s">
        <v>1555</v>
      </c>
      <c r="E38" s="79" t="s">
        <v>1472</v>
      </c>
      <c r="F38" s="79" t="s">
        <v>1439</v>
      </c>
      <c r="G38" s="79" t="s">
        <v>1440</v>
      </c>
      <c r="AU38" s="77" t="s">
        <v>1556</v>
      </c>
    </row>
    <row r="39" spans="1:47" hidden="1" x14ac:dyDescent="0.3">
      <c r="A39" s="79" t="s">
        <v>1557</v>
      </c>
      <c r="B39" s="79" t="s">
        <v>1558</v>
      </c>
      <c r="C39" s="79" t="s">
        <v>1559</v>
      </c>
      <c r="D39" s="79" t="s">
        <v>2983</v>
      </c>
      <c r="E39" s="79" t="s">
        <v>1457</v>
      </c>
      <c r="F39" s="79" t="s">
        <v>1529</v>
      </c>
      <c r="G39" s="79" t="s">
        <v>749</v>
      </c>
      <c r="AU39" s="77" t="s">
        <v>1560</v>
      </c>
    </row>
    <row r="40" spans="1:47" hidden="1" x14ac:dyDescent="0.3">
      <c r="A40" s="79" t="s">
        <v>1561</v>
      </c>
      <c r="B40" s="79" t="s">
        <v>1562</v>
      </c>
      <c r="C40" s="79" t="s">
        <v>1563</v>
      </c>
      <c r="D40" s="79" t="s">
        <v>107</v>
      </c>
      <c r="E40" s="79" t="s">
        <v>1457</v>
      </c>
      <c r="F40" s="79" t="s">
        <v>1529</v>
      </c>
      <c r="G40" s="79" t="s">
        <v>749</v>
      </c>
      <c r="AU40" s="77" t="s">
        <v>1564</v>
      </c>
    </row>
    <row r="41" spans="1:47" hidden="1" x14ac:dyDescent="0.3">
      <c r="A41" s="79" t="s">
        <v>1565</v>
      </c>
      <c r="B41" s="79" t="s">
        <v>1201</v>
      </c>
      <c r="C41" s="79" t="s">
        <v>1566</v>
      </c>
      <c r="D41" s="79" t="s">
        <v>2979</v>
      </c>
      <c r="E41" s="79" t="s">
        <v>1444</v>
      </c>
      <c r="F41" s="79" t="s">
        <v>1529</v>
      </c>
      <c r="G41" s="79" t="s">
        <v>749</v>
      </c>
      <c r="AU41" s="77" t="s">
        <v>1567</v>
      </c>
    </row>
    <row r="42" spans="1:47" hidden="1" x14ac:dyDescent="0.3">
      <c r="A42" s="79" t="s">
        <v>1568</v>
      </c>
      <c r="B42" s="79" t="s">
        <v>1202</v>
      </c>
      <c r="C42" s="79" t="s">
        <v>1569</v>
      </c>
      <c r="D42" s="79" t="s">
        <v>2980</v>
      </c>
      <c r="E42" s="79" t="s">
        <v>1444</v>
      </c>
      <c r="F42" s="79" t="s">
        <v>1529</v>
      </c>
      <c r="G42" s="79" t="s">
        <v>749</v>
      </c>
      <c r="AU42" s="77" t="s">
        <v>1570</v>
      </c>
    </row>
    <row r="43" spans="1:47" hidden="1" x14ac:dyDescent="0.3">
      <c r="A43" s="79" t="s">
        <v>1571</v>
      </c>
      <c r="B43" s="79" t="s">
        <v>1203</v>
      </c>
      <c r="C43" s="79" t="s">
        <v>1572</v>
      </c>
      <c r="D43" s="79" t="s">
        <v>2981</v>
      </c>
      <c r="E43" s="79" t="s">
        <v>1444</v>
      </c>
      <c r="F43" s="79" t="s">
        <v>1529</v>
      </c>
      <c r="G43" s="79" t="s">
        <v>749</v>
      </c>
      <c r="AU43" s="77" t="s">
        <v>1573</v>
      </c>
    </row>
    <row r="44" spans="1:47" hidden="1" x14ac:dyDescent="0.3">
      <c r="A44" s="79" t="s">
        <v>1574</v>
      </c>
      <c r="B44" s="79" t="s">
        <v>1204</v>
      </c>
      <c r="C44" s="79" t="s">
        <v>1575</v>
      </c>
      <c r="D44" s="79" t="s">
        <v>2982</v>
      </c>
      <c r="E44" s="79" t="s">
        <v>1444</v>
      </c>
      <c r="F44" s="79" t="s">
        <v>1529</v>
      </c>
      <c r="G44" s="79" t="s">
        <v>749</v>
      </c>
      <c r="AU44" s="77" t="s">
        <v>1576</v>
      </c>
    </row>
    <row r="45" spans="1:47" hidden="1" x14ac:dyDescent="0.3">
      <c r="A45" s="79" t="s">
        <v>1577</v>
      </c>
      <c r="B45" s="79" t="s">
        <v>11</v>
      </c>
      <c r="C45" s="79" t="s">
        <v>802</v>
      </c>
      <c r="D45" s="79" t="s">
        <v>802</v>
      </c>
      <c r="E45" s="79" t="s">
        <v>772</v>
      </c>
      <c r="F45" s="79" t="s">
        <v>1439</v>
      </c>
      <c r="G45" s="79" t="s">
        <v>1440</v>
      </c>
      <c r="AU45" s="77" t="s">
        <v>1578</v>
      </c>
    </row>
    <row r="46" spans="1:47" hidden="1" x14ac:dyDescent="0.3">
      <c r="A46" s="79" t="s">
        <v>1579</v>
      </c>
      <c r="B46" s="79" t="s">
        <v>1207</v>
      </c>
      <c r="C46" s="79" t="s">
        <v>1580</v>
      </c>
      <c r="D46" s="79" t="s">
        <v>2870</v>
      </c>
      <c r="E46" s="79" t="s">
        <v>1472</v>
      </c>
      <c r="F46" s="79" t="s">
        <v>1577</v>
      </c>
      <c r="G46" s="79" t="s">
        <v>11</v>
      </c>
      <c r="AU46" s="77" t="s">
        <v>1581</v>
      </c>
    </row>
    <row r="47" spans="1:47" hidden="1" x14ac:dyDescent="0.3">
      <c r="A47" s="79" t="s">
        <v>1582</v>
      </c>
      <c r="B47" s="79" t="s">
        <v>1208</v>
      </c>
      <c r="C47" s="79" t="s">
        <v>1583</v>
      </c>
      <c r="D47" s="79" t="s">
        <v>2871</v>
      </c>
      <c r="E47" s="79" t="s">
        <v>1472</v>
      </c>
      <c r="F47" s="79" t="s">
        <v>1577</v>
      </c>
      <c r="G47" s="79" t="s">
        <v>11</v>
      </c>
      <c r="AU47" s="77" t="s">
        <v>1584</v>
      </c>
    </row>
    <row r="48" spans="1:47" hidden="1" x14ac:dyDescent="0.3">
      <c r="A48" s="79" t="s">
        <v>1585</v>
      </c>
      <c r="B48" s="79" t="s">
        <v>1209</v>
      </c>
      <c r="C48" s="79" t="s">
        <v>1031</v>
      </c>
      <c r="D48" s="79" t="s">
        <v>106</v>
      </c>
      <c r="E48" s="79" t="s">
        <v>1457</v>
      </c>
      <c r="F48" s="79" t="s">
        <v>1577</v>
      </c>
      <c r="G48" s="79" t="s">
        <v>11</v>
      </c>
      <c r="AU48" s="77" t="s">
        <v>1586</v>
      </c>
    </row>
    <row r="49" spans="1:47" hidden="1" x14ac:dyDescent="0.3">
      <c r="A49" s="79" t="s">
        <v>1587</v>
      </c>
      <c r="B49" s="79" t="s">
        <v>1210</v>
      </c>
      <c r="C49" s="79" t="s">
        <v>1588</v>
      </c>
      <c r="D49" s="79" t="s">
        <v>2872</v>
      </c>
      <c r="E49" s="79" t="s">
        <v>1472</v>
      </c>
      <c r="F49" s="79" t="s">
        <v>1577</v>
      </c>
      <c r="G49" s="79" t="s">
        <v>11</v>
      </c>
      <c r="AU49" s="77" t="s">
        <v>1589</v>
      </c>
    </row>
    <row r="50" spans="1:47" hidden="1" x14ac:dyDescent="0.3">
      <c r="A50" s="79" t="s">
        <v>1590</v>
      </c>
      <c r="B50" s="79" t="s">
        <v>1591</v>
      </c>
      <c r="C50" s="79" t="s">
        <v>1592</v>
      </c>
      <c r="D50" s="79" t="s">
        <v>108</v>
      </c>
      <c r="E50" s="79" t="s">
        <v>1457</v>
      </c>
      <c r="F50" s="79" t="s">
        <v>1577</v>
      </c>
      <c r="G50" s="79" t="s">
        <v>11</v>
      </c>
      <c r="AU50" s="77" t="s">
        <v>1593</v>
      </c>
    </row>
    <row r="51" spans="1:47" hidden="1" x14ac:dyDescent="0.3">
      <c r="A51" s="79" t="s">
        <v>1594</v>
      </c>
      <c r="B51" s="79" t="s">
        <v>1211</v>
      </c>
      <c r="C51" s="79" t="s">
        <v>1595</v>
      </c>
      <c r="D51" s="79" t="s">
        <v>2873</v>
      </c>
      <c r="E51" s="79" t="s">
        <v>1472</v>
      </c>
      <c r="F51" s="79" t="s">
        <v>1577</v>
      </c>
      <c r="G51" s="79" t="s">
        <v>11</v>
      </c>
      <c r="AU51" s="77" t="s">
        <v>1596</v>
      </c>
    </row>
    <row r="52" spans="1:47" hidden="1" x14ac:dyDescent="0.3">
      <c r="A52" s="79" t="s">
        <v>1597</v>
      </c>
      <c r="B52" s="79" t="s">
        <v>1212</v>
      </c>
      <c r="C52" s="79" t="s">
        <v>1598</v>
      </c>
      <c r="D52" s="79" t="s">
        <v>2874</v>
      </c>
      <c r="E52" s="79" t="s">
        <v>1472</v>
      </c>
      <c r="F52" s="79" t="s">
        <v>1577</v>
      </c>
      <c r="G52" s="79" t="s">
        <v>11</v>
      </c>
      <c r="AU52" s="77" t="s">
        <v>1599</v>
      </c>
    </row>
    <row r="53" spans="1:47" hidden="1" x14ac:dyDescent="0.3">
      <c r="A53" s="79" t="s">
        <v>1600</v>
      </c>
      <c r="B53" s="79" t="s">
        <v>1213</v>
      </c>
      <c r="C53" s="79" t="s">
        <v>1601</v>
      </c>
      <c r="D53" s="79" t="s">
        <v>2875</v>
      </c>
      <c r="E53" s="79" t="s">
        <v>1465</v>
      </c>
      <c r="F53" s="79" t="s">
        <v>1577</v>
      </c>
      <c r="G53" s="79" t="s">
        <v>11</v>
      </c>
      <c r="AU53" s="77" t="s">
        <v>1602</v>
      </c>
    </row>
    <row r="54" spans="1:47" hidden="1" x14ac:dyDescent="0.3">
      <c r="A54" s="79" t="s">
        <v>1603</v>
      </c>
      <c r="B54" s="79" t="s">
        <v>1604</v>
      </c>
      <c r="C54" s="79" t="s">
        <v>1605</v>
      </c>
      <c r="D54" s="79" t="s">
        <v>2876</v>
      </c>
      <c r="E54" s="79" t="s">
        <v>1457</v>
      </c>
      <c r="F54" s="79" t="s">
        <v>1577</v>
      </c>
      <c r="G54" s="79" t="s">
        <v>11</v>
      </c>
      <c r="AU54" s="77" t="s">
        <v>1606</v>
      </c>
    </row>
    <row r="55" spans="1:47" hidden="1" x14ac:dyDescent="0.3">
      <c r="A55" s="79" t="s">
        <v>1607</v>
      </c>
      <c r="B55" s="79" t="s">
        <v>1608</v>
      </c>
      <c r="C55" s="79" t="s">
        <v>1609</v>
      </c>
      <c r="D55" s="79" t="s">
        <v>2877</v>
      </c>
      <c r="E55" s="79" t="s">
        <v>1457</v>
      </c>
      <c r="F55" s="79" t="s">
        <v>1577</v>
      </c>
      <c r="G55" s="79" t="s">
        <v>11</v>
      </c>
      <c r="AU55" s="77" t="s">
        <v>1610</v>
      </c>
    </row>
    <row r="56" spans="1:47" hidden="1" x14ac:dyDescent="0.3">
      <c r="A56" s="79" t="s">
        <v>1611</v>
      </c>
      <c r="B56" s="79" t="s">
        <v>1612</v>
      </c>
      <c r="C56" s="79" t="s">
        <v>1613</v>
      </c>
      <c r="D56" s="79" t="s">
        <v>2878</v>
      </c>
      <c r="E56" s="79" t="s">
        <v>1457</v>
      </c>
      <c r="F56" s="79" t="s">
        <v>1577</v>
      </c>
      <c r="G56" s="79" t="s">
        <v>11</v>
      </c>
      <c r="AU56" s="77" t="s">
        <v>1614</v>
      </c>
    </row>
    <row r="57" spans="1:47" hidden="1" x14ac:dyDescent="0.3">
      <c r="A57" s="79" t="s">
        <v>1615</v>
      </c>
      <c r="B57" s="79" t="s">
        <v>1616</v>
      </c>
      <c r="C57" s="79" t="s">
        <v>1035</v>
      </c>
      <c r="D57" s="79" t="s">
        <v>107</v>
      </c>
      <c r="E57" s="79" t="s">
        <v>1457</v>
      </c>
      <c r="F57" s="79" t="s">
        <v>1577</v>
      </c>
      <c r="G57" s="79" t="s">
        <v>11</v>
      </c>
      <c r="AU57" s="77" t="s">
        <v>1617</v>
      </c>
    </row>
    <row r="58" spans="1:47" hidden="1" x14ac:dyDescent="0.3">
      <c r="A58" s="79" t="s">
        <v>1618</v>
      </c>
      <c r="B58" s="79" t="s">
        <v>1619</v>
      </c>
      <c r="C58" s="79" t="s">
        <v>1620</v>
      </c>
      <c r="D58" s="79" t="s">
        <v>1620</v>
      </c>
      <c r="E58" s="79" t="s">
        <v>1621</v>
      </c>
      <c r="F58" s="79" t="s">
        <v>1439</v>
      </c>
      <c r="G58" s="79" t="s">
        <v>1440</v>
      </c>
      <c r="AU58" s="77" t="s">
        <v>1622</v>
      </c>
    </row>
    <row r="59" spans="1:47" hidden="1" x14ac:dyDescent="0.3">
      <c r="A59" s="79" t="s">
        <v>1623</v>
      </c>
      <c r="B59" s="79" t="s">
        <v>1624</v>
      </c>
      <c r="C59" s="79" t="s">
        <v>1625</v>
      </c>
      <c r="D59" s="79" t="s">
        <v>1625</v>
      </c>
      <c r="E59" s="79" t="s">
        <v>1621</v>
      </c>
      <c r="F59" s="79" t="s">
        <v>1439</v>
      </c>
      <c r="G59" s="79" t="s">
        <v>1440</v>
      </c>
      <c r="AU59" s="77" t="s">
        <v>1626</v>
      </c>
    </row>
    <row r="60" spans="1:47" hidden="1" x14ac:dyDescent="0.3">
      <c r="A60" s="79" t="s">
        <v>1627</v>
      </c>
      <c r="B60" s="79" t="s">
        <v>6</v>
      </c>
      <c r="C60" s="79" t="s">
        <v>797</v>
      </c>
      <c r="D60" s="79" t="s">
        <v>797</v>
      </c>
      <c r="E60" s="79" t="s">
        <v>772</v>
      </c>
      <c r="F60" s="79" t="s">
        <v>1439</v>
      </c>
      <c r="G60" s="79" t="s">
        <v>1440</v>
      </c>
      <c r="AU60" s="77" t="s">
        <v>1628</v>
      </c>
    </row>
    <row r="61" spans="1:47" hidden="1" x14ac:dyDescent="0.3">
      <c r="A61" s="79" t="s">
        <v>1629</v>
      </c>
      <c r="B61" s="79" t="s">
        <v>1216</v>
      </c>
      <c r="C61" s="79" t="s">
        <v>1630</v>
      </c>
      <c r="D61" s="79" t="s">
        <v>1630</v>
      </c>
      <c r="E61" s="79" t="s">
        <v>1631</v>
      </c>
      <c r="F61" s="79" t="s">
        <v>1632</v>
      </c>
      <c r="G61" s="79" t="s">
        <v>1257</v>
      </c>
      <c r="AU61" s="77" t="s">
        <v>1633</v>
      </c>
    </row>
    <row r="62" spans="1:47" hidden="1" x14ac:dyDescent="0.3">
      <c r="A62" s="79" t="s">
        <v>1634</v>
      </c>
      <c r="B62" s="79" t="s">
        <v>1217</v>
      </c>
      <c r="C62" s="79" t="s">
        <v>1635</v>
      </c>
      <c r="D62" s="79" t="s">
        <v>1635</v>
      </c>
      <c r="E62" s="79" t="s">
        <v>1631</v>
      </c>
      <c r="F62" s="79" t="s">
        <v>1636</v>
      </c>
      <c r="G62" s="79" t="s">
        <v>1232</v>
      </c>
      <c r="AU62" s="77" t="s">
        <v>1637</v>
      </c>
    </row>
    <row r="63" spans="1:47" hidden="1" x14ac:dyDescent="0.3">
      <c r="A63" s="79" t="s">
        <v>1638</v>
      </c>
      <c r="B63" s="79" t="s">
        <v>1639</v>
      </c>
      <c r="C63" s="79" t="s">
        <v>1640</v>
      </c>
      <c r="D63" s="79" t="s">
        <v>1640</v>
      </c>
      <c r="E63" s="79" t="s">
        <v>1472</v>
      </c>
      <c r="F63" s="79" t="s">
        <v>1627</v>
      </c>
      <c r="G63" s="79" t="s">
        <v>6</v>
      </c>
      <c r="AU63" s="77" t="s">
        <v>1641</v>
      </c>
    </row>
    <row r="64" spans="1:47" hidden="1" x14ac:dyDescent="0.3">
      <c r="A64" s="79" t="s">
        <v>1642</v>
      </c>
      <c r="B64" s="79" t="s">
        <v>1218</v>
      </c>
      <c r="C64" s="79" t="s">
        <v>1643</v>
      </c>
      <c r="D64" s="79" t="s">
        <v>1643</v>
      </c>
      <c r="E64" s="79" t="s">
        <v>1631</v>
      </c>
      <c r="F64" s="79" t="s">
        <v>1638</v>
      </c>
      <c r="G64" s="79" t="s">
        <v>1639</v>
      </c>
      <c r="AU64" s="77" t="s">
        <v>1644</v>
      </c>
    </row>
    <row r="65" spans="1:47" hidden="1" x14ac:dyDescent="0.3">
      <c r="A65" s="79" t="s">
        <v>1645</v>
      </c>
      <c r="B65" s="79" t="s">
        <v>1219</v>
      </c>
      <c r="C65" s="79" t="s">
        <v>1646</v>
      </c>
      <c r="D65" s="79" t="s">
        <v>1646</v>
      </c>
      <c r="E65" s="79" t="s">
        <v>1631</v>
      </c>
      <c r="F65" s="79" t="s">
        <v>1638</v>
      </c>
      <c r="G65" s="79" t="s">
        <v>1639</v>
      </c>
      <c r="AU65" s="77" t="s">
        <v>1647</v>
      </c>
    </row>
    <row r="66" spans="1:47" hidden="1" x14ac:dyDescent="0.3">
      <c r="A66" s="79" t="s">
        <v>1648</v>
      </c>
      <c r="B66" s="79" t="s">
        <v>1220</v>
      </c>
      <c r="C66" s="79" t="s">
        <v>1649</v>
      </c>
      <c r="D66" s="79" t="s">
        <v>1649</v>
      </c>
      <c r="E66" s="79" t="s">
        <v>1631</v>
      </c>
      <c r="F66" s="79" t="s">
        <v>1638</v>
      </c>
      <c r="G66" s="79" t="s">
        <v>1639</v>
      </c>
      <c r="AU66" s="77" t="s">
        <v>1650</v>
      </c>
    </row>
    <row r="67" spans="1:47" hidden="1" x14ac:dyDescent="0.3">
      <c r="A67" s="79" t="s">
        <v>1651</v>
      </c>
      <c r="B67" s="79" t="s">
        <v>1221</v>
      </c>
      <c r="C67" s="79" t="s">
        <v>1652</v>
      </c>
      <c r="D67" s="79" t="s">
        <v>1652</v>
      </c>
      <c r="E67" s="79" t="s">
        <v>1631</v>
      </c>
      <c r="F67" s="79" t="s">
        <v>1638</v>
      </c>
      <c r="G67" s="79" t="s">
        <v>1639</v>
      </c>
      <c r="AU67" s="77" t="s">
        <v>1653</v>
      </c>
    </row>
    <row r="68" spans="1:47" hidden="1" x14ac:dyDescent="0.3">
      <c r="A68" s="79" t="s">
        <v>1654</v>
      </c>
      <c r="B68" s="79" t="s">
        <v>1222</v>
      </c>
      <c r="C68" s="79" t="s">
        <v>1655</v>
      </c>
      <c r="D68" s="79" t="s">
        <v>1655</v>
      </c>
      <c r="E68" s="79" t="s">
        <v>1631</v>
      </c>
      <c r="F68" s="79" t="s">
        <v>1638</v>
      </c>
      <c r="G68" s="79" t="s">
        <v>1639</v>
      </c>
      <c r="AU68" s="77" t="s">
        <v>1656</v>
      </c>
    </row>
    <row r="69" spans="1:47" hidden="1" x14ac:dyDescent="0.3">
      <c r="A69" s="79" t="s">
        <v>1657</v>
      </c>
      <c r="B69" s="79" t="s">
        <v>1223</v>
      </c>
      <c r="C69" s="79" t="s">
        <v>1658</v>
      </c>
      <c r="D69" s="79" t="s">
        <v>1658</v>
      </c>
      <c r="E69" s="79" t="s">
        <v>1631</v>
      </c>
      <c r="F69" s="79" t="s">
        <v>1659</v>
      </c>
      <c r="G69" s="79" t="s">
        <v>1283</v>
      </c>
      <c r="AU69" s="77" t="s">
        <v>1660</v>
      </c>
    </row>
    <row r="70" spans="1:47" hidden="1" x14ac:dyDescent="0.3">
      <c r="A70" s="79" t="s">
        <v>1661</v>
      </c>
      <c r="B70" s="79" t="s">
        <v>1224</v>
      </c>
      <c r="C70" s="79" t="s">
        <v>1662</v>
      </c>
      <c r="D70" s="79" t="s">
        <v>1662</v>
      </c>
      <c r="E70" s="79" t="s">
        <v>1631</v>
      </c>
      <c r="F70" s="79" t="s">
        <v>1663</v>
      </c>
      <c r="G70" s="79" t="s">
        <v>1276</v>
      </c>
      <c r="AU70" s="77" t="s">
        <v>1664</v>
      </c>
    </row>
    <row r="71" spans="1:47" hidden="1" x14ac:dyDescent="0.3">
      <c r="A71" s="79" t="s">
        <v>1665</v>
      </c>
      <c r="B71" s="79" t="s">
        <v>1225</v>
      </c>
      <c r="C71" s="79" t="s">
        <v>1666</v>
      </c>
      <c r="D71" s="79" t="s">
        <v>1666</v>
      </c>
      <c r="E71" s="79" t="s">
        <v>1631</v>
      </c>
      <c r="F71" s="79" t="s">
        <v>1667</v>
      </c>
      <c r="G71" s="79" t="s">
        <v>1297</v>
      </c>
      <c r="AU71" s="77" t="s">
        <v>1668</v>
      </c>
    </row>
    <row r="72" spans="1:47" hidden="1" x14ac:dyDescent="0.3">
      <c r="A72" s="79" t="s">
        <v>1669</v>
      </c>
      <c r="B72" s="79" t="s">
        <v>1226</v>
      </c>
      <c r="C72" s="79" t="s">
        <v>1670</v>
      </c>
      <c r="D72" s="79" t="s">
        <v>1670</v>
      </c>
      <c r="E72" s="79" t="s">
        <v>1631</v>
      </c>
      <c r="F72" s="79" t="s">
        <v>1671</v>
      </c>
      <c r="G72" s="79" t="s">
        <v>1294</v>
      </c>
      <c r="AU72" s="77" t="s">
        <v>1672</v>
      </c>
    </row>
    <row r="73" spans="1:47" hidden="1" x14ac:dyDescent="0.3">
      <c r="A73" s="79" t="s">
        <v>1673</v>
      </c>
      <c r="B73" s="79" t="s">
        <v>1674</v>
      </c>
      <c r="C73" s="79" t="s">
        <v>1675</v>
      </c>
      <c r="D73" s="79" t="s">
        <v>1675</v>
      </c>
      <c r="E73" s="79" t="s">
        <v>1457</v>
      </c>
      <c r="F73" s="79" t="s">
        <v>1627</v>
      </c>
      <c r="G73" s="79" t="s">
        <v>6</v>
      </c>
      <c r="AU73" s="77" t="s">
        <v>1676</v>
      </c>
    </row>
    <row r="74" spans="1:47" hidden="1" x14ac:dyDescent="0.3">
      <c r="A74" s="79" t="s">
        <v>1677</v>
      </c>
      <c r="B74" s="79" t="s">
        <v>1227</v>
      </c>
      <c r="C74" s="79" t="s">
        <v>1678</v>
      </c>
      <c r="D74" s="79" t="s">
        <v>1678</v>
      </c>
      <c r="E74" s="79" t="s">
        <v>1631</v>
      </c>
      <c r="F74" s="79" t="s">
        <v>1671</v>
      </c>
      <c r="G74" s="79" t="s">
        <v>1294</v>
      </c>
      <c r="AU74" s="77" t="s">
        <v>1679</v>
      </c>
    </row>
    <row r="75" spans="1:47" hidden="1" x14ac:dyDescent="0.3">
      <c r="A75" s="79" t="s">
        <v>1680</v>
      </c>
      <c r="B75" s="79" t="s">
        <v>1681</v>
      </c>
      <c r="C75" s="79" t="s">
        <v>949</v>
      </c>
      <c r="D75" s="79" t="s">
        <v>949</v>
      </c>
      <c r="E75" s="79" t="s">
        <v>1457</v>
      </c>
      <c r="F75" s="79" t="s">
        <v>1627</v>
      </c>
      <c r="G75" s="79" t="s">
        <v>6</v>
      </c>
      <c r="AU75" s="77" t="s">
        <v>1682</v>
      </c>
    </row>
    <row r="76" spans="1:47" hidden="1" x14ac:dyDescent="0.3">
      <c r="A76" s="79" t="s">
        <v>1683</v>
      </c>
      <c r="B76" s="79" t="s">
        <v>1305</v>
      </c>
      <c r="C76" s="79" t="s">
        <v>1684</v>
      </c>
      <c r="D76" s="79" t="s">
        <v>1684</v>
      </c>
      <c r="E76" s="79" t="s">
        <v>1465</v>
      </c>
      <c r="F76" s="79" t="s">
        <v>1627</v>
      </c>
      <c r="G76" s="79" t="s">
        <v>6</v>
      </c>
      <c r="AU76" s="77" t="s">
        <v>1685</v>
      </c>
    </row>
    <row r="77" spans="1:47" hidden="1" x14ac:dyDescent="0.3">
      <c r="A77" s="79" t="s">
        <v>1686</v>
      </c>
      <c r="B77" s="79" t="s">
        <v>1426</v>
      </c>
      <c r="C77" s="79" t="s">
        <v>1687</v>
      </c>
      <c r="D77" s="79" t="s">
        <v>1687</v>
      </c>
      <c r="E77" s="79" t="s">
        <v>1457</v>
      </c>
      <c r="F77" s="79" t="s">
        <v>1627</v>
      </c>
      <c r="G77" s="79" t="s">
        <v>6</v>
      </c>
      <c r="AU77" s="77" t="s">
        <v>1688</v>
      </c>
    </row>
    <row r="78" spans="1:47" hidden="1" x14ac:dyDescent="0.3">
      <c r="A78" s="79" t="s">
        <v>1689</v>
      </c>
      <c r="B78" s="79" t="s">
        <v>1228</v>
      </c>
      <c r="C78" s="79" t="s">
        <v>1690</v>
      </c>
      <c r="D78" s="79" t="s">
        <v>1690</v>
      </c>
      <c r="E78" s="79" t="s">
        <v>1631</v>
      </c>
      <c r="F78" s="79" t="s">
        <v>1663</v>
      </c>
      <c r="G78" s="79" t="s">
        <v>1276</v>
      </c>
      <c r="AU78" s="77" t="s">
        <v>1691</v>
      </c>
    </row>
    <row r="79" spans="1:47" hidden="1" x14ac:dyDescent="0.3">
      <c r="A79" s="79" t="s">
        <v>1692</v>
      </c>
      <c r="B79" s="79" t="s">
        <v>1229</v>
      </c>
      <c r="C79" s="79" t="s">
        <v>1693</v>
      </c>
      <c r="D79" s="79" t="s">
        <v>1693</v>
      </c>
      <c r="E79" s="79" t="s">
        <v>1631</v>
      </c>
      <c r="F79" s="79" t="s">
        <v>1636</v>
      </c>
      <c r="G79" s="79" t="s">
        <v>1232</v>
      </c>
      <c r="AU79" s="77" t="s">
        <v>1694</v>
      </c>
    </row>
    <row r="80" spans="1:47" hidden="1" x14ac:dyDescent="0.3">
      <c r="A80" s="79" t="s">
        <v>1695</v>
      </c>
      <c r="B80" s="79" t="s">
        <v>1230</v>
      </c>
      <c r="C80" s="79" t="s">
        <v>1696</v>
      </c>
      <c r="D80" s="79" t="s">
        <v>1696</v>
      </c>
      <c r="E80" s="79" t="s">
        <v>1631</v>
      </c>
      <c r="F80" s="79" t="s">
        <v>1697</v>
      </c>
      <c r="G80" s="79" t="s">
        <v>1264</v>
      </c>
      <c r="AU80" s="77" t="s">
        <v>1698</v>
      </c>
    </row>
    <row r="81" spans="1:47" hidden="1" x14ac:dyDescent="0.3">
      <c r="A81" s="79" t="s">
        <v>1699</v>
      </c>
      <c r="B81" s="79" t="s">
        <v>1700</v>
      </c>
      <c r="C81" s="79" t="s">
        <v>1701</v>
      </c>
      <c r="D81" s="79" t="s">
        <v>1701</v>
      </c>
      <c r="E81" s="79" t="s">
        <v>1457</v>
      </c>
      <c r="F81" s="79" t="s">
        <v>1697</v>
      </c>
      <c r="G81" s="79" t="s">
        <v>1264</v>
      </c>
      <c r="AU81" s="77" t="s">
        <v>1702</v>
      </c>
    </row>
    <row r="82" spans="1:47" hidden="1" x14ac:dyDescent="0.3">
      <c r="A82" s="79" t="s">
        <v>1703</v>
      </c>
      <c r="B82" s="79" t="s">
        <v>1231</v>
      </c>
      <c r="C82" s="79" t="s">
        <v>1704</v>
      </c>
      <c r="D82" s="79" t="s">
        <v>1704</v>
      </c>
      <c r="E82" s="79" t="s">
        <v>1631</v>
      </c>
      <c r="F82" s="79" t="s">
        <v>1697</v>
      </c>
      <c r="G82" s="79" t="s">
        <v>1264</v>
      </c>
      <c r="AU82" s="77" t="s">
        <v>1705</v>
      </c>
    </row>
    <row r="83" spans="1:47" hidden="1" x14ac:dyDescent="0.3">
      <c r="A83" s="79" t="s">
        <v>1636</v>
      </c>
      <c r="B83" s="79" t="s">
        <v>1232</v>
      </c>
      <c r="C83" s="79" t="s">
        <v>1706</v>
      </c>
      <c r="D83" s="79" t="s">
        <v>1706</v>
      </c>
      <c r="E83" s="79" t="s">
        <v>1472</v>
      </c>
      <c r="F83" s="79" t="s">
        <v>1627</v>
      </c>
      <c r="G83" s="79" t="s">
        <v>6</v>
      </c>
      <c r="AU83" s="77" t="s">
        <v>1707</v>
      </c>
    </row>
    <row r="84" spans="1:47" hidden="1" x14ac:dyDescent="0.3">
      <c r="A84" s="79" t="s">
        <v>1708</v>
      </c>
      <c r="B84" s="79" t="s">
        <v>1709</v>
      </c>
      <c r="C84" s="79" t="s">
        <v>1710</v>
      </c>
      <c r="D84" s="79" t="s">
        <v>1710</v>
      </c>
      <c r="E84" s="79" t="s">
        <v>1631</v>
      </c>
      <c r="F84" s="79" t="s">
        <v>1632</v>
      </c>
      <c r="G84" s="79" t="s">
        <v>1257</v>
      </c>
      <c r="AU84" s="77" t="s">
        <v>1711</v>
      </c>
    </row>
    <row r="85" spans="1:47" hidden="1" x14ac:dyDescent="0.3">
      <c r="A85" s="79" t="s">
        <v>1712</v>
      </c>
      <c r="B85" s="79" t="s">
        <v>1233</v>
      </c>
      <c r="C85" s="79" t="s">
        <v>1713</v>
      </c>
      <c r="D85" s="79" t="s">
        <v>1713</v>
      </c>
      <c r="E85" s="79" t="s">
        <v>1631</v>
      </c>
      <c r="F85" s="79" t="s">
        <v>1714</v>
      </c>
      <c r="G85" s="79" t="s">
        <v>1270</v>
      </c>
      <c r="AU85" s="77" t="s">
        <v>1715</v>
      </c>
    </row>
    <row r="86" spans="1:47" hidden="1" x14ac:dyDescent="0.3">
      <c r="A86" s="79" t="s">
        <v>1716</v>
      </c>
      <c r="B86" s="79" t="s">
        <v>1234</v>
      </c>
      <c r="C86" s="79" t="s">
        <v>1717</v>
      </c>
      <c r="D86" s="79" t="s">
        <v>1717</v>
      </c>
      <c r="E86" s="79" t="s">
        <v>1631</v>
      </c>
      <c r="F86" s="79" t="s">
        <v>1718</v>
      </c>
      <c r="G86" s="79" t="s">
        <v>1272</v>
      </c>
      <c r="AU86" s="77" t="s">
        <v>1719</v>
      </c>
    </row>
    <row r="87" spans="1:47" hidden="1" x14ac:dyDescent="0.3">
      <c r="A87" s="79" t="s">
        <v>1720</v>
      </c>
      <c r="B87" s="79" t="s">
        <v>1235</v>
      </c>
      <c r="C87" s="79" t="s">
        <v>1721</v>
      </c>
      <c r="D87" s="79" t="s">
        <v>1721</v>
      </c>
      <c r="E87" s="79" t="s">
        <v>1631</v>
      </c>
      <c r="F87" s="79" t="s">
        <v>1722</v>
      </c>
      <c r="G87" s="79" t="s">
        <v>1285</v>
      </c>
      <c r="AU87" s="77" t="s">
        <v>1723</v>
      </c>
    </row>
    <row r="88" spans="1:47" hidden="1" x14ac:dyDescent="0.3">
      <c r="A88" s="79" t="s">
        <v>1724</v>
      </c>
      <c r="B88" s="79" t="s">
        <v>1306</v>
      </c>
      <c r="C88" s="79" t="s">
        <v>1725</v>
      </c>
      <c r="D88" s="79" t="s">
        <v>1725</v>
      </c>
      <c r="E88" s="79" t="s">
        <v>1457</v>
      </c>
      <c r="F88" s="79" t="s">
        <v>1627</v>
      </c>
      <c r="G88" s="79" t="s">
        <v>6</v>
      </c>
      <c r="AU88" s="77" t="s">
        <v>1726</v>
      </c>
    </row>
    <row r="89" spans="1:47" hidden="1" x14ac:dyDescent="0.3">
      <c r="A89" s="79" t="s">
        <v>1727</v>
      </c>
      <c r="B89" s="79" t="s">
        <v>1236</v>
      </c>
      <c r="C89" s="79" t="s">
        <v>1728</v>
      </c>
      <c r="D89" s="79" t="s">
        <v>1728</v>
      </c>
      <c r="E89" s="79" t="s">
        <v>1631</v>
      </c>
      <c r="F89" s="79" t="s">
        <v>1667</v>
      </c>
      <c r="G89" s="79" t="s">
        <v>1297</v>
      </c>
      <c r="AU89" s="77" t="s">
        <v>1729</v>
      </c>
    </row>
    <row r="90" spans="1:47" hidden="1" x14ac:dyDescent="0.3">
      <c r="A90" s="79" t="s">
        <v>1730</v>
      </c>
      <c r="B90" s="79" t="s">
        <v>1237</v>
      </c>
      <c r="C90" s="79" t="s">
        <v>1731</v>
      </c>
      <c r="D90" s="79" t="s">
        <v>1731</v>
      </c>
      <c r="E90" s="79" t="s">
        <v>1472</v>
      </c>
      <c r="F90" s="79" t="s">
        <v>1627</v>
      </c>
      <c r="G90" s="79" t="s">
        <v>6</v>
      </c>
      <c r="AU90" s="77" t="s">
        <v>1732</v>
      </c>
    </row>
    <row r="91" spans="1:47" hidden="1" x14ac:dyDescent="0.3">
      <c r="A91" s="79" t="s">
        <v>1733</v>
      </c>
      <c r="B91" s="79" t="s">
        <v>1238</v>
      </c>
      <c r="C91" s="79" t="s">
        <v>1734</v>
      </c>
      <c r="D91" s="79" t="s">
        <v>1734</v>
      </c>
      <c r="E91" s="79" t="s">
        <v>1631</v>
      </c>
      <c r="F91" s="79" t="s">
        <v>1663</v>
      </c>
      <c r="G91" s="79" t="s">
        <v>1276</v>
      </c>
      <c r="AU91" s="77" t="s">
        <v>1735</v>
      </c>
    </row>
    <row r="92" spans="1:47" hidden="1" x14ac:dyDescent="0.3">
      <c r="A92" s="79" t="s">
        <v>1736</v>
      </c>
      <c r="B92" s="79" t="s">
        <v>1239</v>
      </c>
      <c r="C92" s="79" t="s">
        <v>1737</v>
      </c>
      <c r="D92" s="79" t="s">
        <v>1737</v>
      </c>
      <c r="E92" s="79" t="s">
        <v>1631</v>
      </c>
      <c r="F92" s="79" t="s">
        <v>1738</v>
      </c>
      <c r="G92" s="79" t="s">
        <v>1279</v>
      </c>
      <c r="AU92" s="77" t="s">
        <v>1739</v>
      </c>
    </row>
    <row r="93" spans="1:47" hidden="1" x14ac:dyDescent="0.3">
      <c r="A93" s="79" t="s">
        <v>1740</v>
      </c>
      <c r="B93" s="79" t="s">
        <v>1240</v>
      </c>
      <c r="C93" s="79" t="s">
        <v>1741</v>
      </c>
      <c r="D93" s="79" t="s">
        <v>1741</v>
      </c>
      <c r="E93" s="79" t="s">
        <v>1631</v>
      </c>
      <c r="F93" s="79" t="s">
        <v>1738</v>
      </c>
      <c r="G93" s="79" t="s">
        <v>1279</v>
      </c>
      <c r="AU93" s="77" t="s">
        <v>1742</v>
      </c>
    </row>
    <row r="94" spans="1:47" hidden="1" x14ac:dyDescent="0.3">
      <c r="A94" s="79" t="s">
        <v>1743</v>
      </c>
      <c r="B94" s="79" t="s">
        <v>1241</v>
      </c>
      <c r="C94" s="79" t="s">
        <v>1744</v>
      </c>
      <c r="D94" s="79" t="s">
        <v>1744</v>
      </c>
      <c r="E94" s="79" t="s">
        <v>1745</v>
      </c>
      <c r="F94" s="79" t="s">
        <v>1671</v>
      </c>
      <c r="G94" s="79" t="s">
        <v>1294</v>
      </c>
      <c r="AU94" s="77" t="s">
        <v>1746</v>
      </c>
    </row>
    <row r="95" spans="1:47" hidden="1" x14ac:dyDescent="0.3">
      <c r="A95" s="79" t="s">
        <v>1747</v>
      </c>
      <c r="B95" s="79" t="s">
        <v>1242</v>
      </c>
      <c r="C95" s="79" t="s">
        <v>1748</v>
      </c>
      <c r="D95" s="79" t="s">
        <v>1748</v>
      </c>
      <c r="E95" s="79" t="s">
        <v>1631</v>
      </c>
      <c r="F95" s="79" t="s">
        <v>1667</v>
      </c>
      <c r="G95" s="79" t="s">
        <v>1297</v>
      </c>
      <c r="AU95" s="77" t="s">
        <v>1749</v>
      </c>
    </row>
    <row r="96" spans="1:47" hidden="1" x14ac:dyDescent="0.3">
      <c r="A96" s="79" t="s">
        <v>1750</v>
      </c>
      <c r="B96" s="79" t="s">
        <v>1243</v>
      </c>
      <c r="C96" s="79" t="s">
        <v>1751</v>
      </c>
      <c r="D96" s="79" t="s">
        <v>1751</v>
      </c>
      <c r="E96" s="79" t="s">
        <v>1631</v>
      </c>
      <c r="F96" s="79" t="s">
        <v>1667</v>
      </c>
      <c r="G96" s="79" t="s">
        <v>1297</v>
      </c>
      <c r="AU96" s="77" t="s">
        <v>1752</v>
      </c>
    </row>
    <row r="97" spans="1:47" hidden="1" x14ac:dyDescent="0.3">
      <c r="A97" s="79" t="s">
        <v>1753</v>
      </c>
      <c r="B97" s="79" t="s">
        <v>1244</v>
      </c>
      <c r="C97" s="79" t="s">
        <v>1754</v>
      </c>
      <c r="D97" s="79" t="s">
        <v>1754</v>
      </c>
      <c r="E97" s="79" t="s">
        <v>1631</v>
      </c>
      <c r="F97" s="79" t="s">
        <v>1671</v>
      </c>
      <c r="G97" s="79" t="s">
        <v>1294</v>
      </c>
      <c r="AU97" s="77" t="s">
        <v>1755</v>
      </c>
    </row>
    <row r="98" spans="1:47" hidden="1" x14ac:dyDescent="0.3">
      <c r="A98" s="79" t="s">
        <v>1756</v>
      </c>
      <c r="B98" s="79" t="s">
        <v>1245</v>
      </c>
      <c r="C98" s="79" t="s">
        <v>1757</v>
      </c>
      <c r="D98" s="79" t="s">
        <v>1757</v>
      </c>
      <c r="E98" s="79" t="s">
        <v>1631</v>
      </c>
      <c r="F98" s="79" t="s">
        <v>1667</v>
      </c>
      <c r="G98" s="79" t="s">
        <v>1297</v>
      </c>
      <c r="AU98" s="77" t="s">
        <v>1758</v>
      </c>
    </row>
    <row r="99" spans="1:47" hidden="1" x14ac:dyDescent="0.3">
      <c r="A99" s="79" t="s">
        <v>1759</v>
      </c>
      <c r="B99" s="79" t="s">
        <v>1246</v>
      </c>
      <c r="C99" s="79" t="s">
        <v>1760</v>
      </c>
      <c r="D99" s="79" t="s">
        <v>1760</v>
      </c>
      <c r="E99" s="79" t="s">
        <v>1472</v>
      </c>
      <c r="F99" s="79" t="s">
        <v>1627</v>
      </c>
      <c r="G99" s="79" t="s">
        <v>6</v>
      </c>
      <c r="AU99" s="77" t="s">
        <v>1761</v>
      </c>
    </row>
    <row r="100" spans="1:47" hidden="1" x14ac:dyDescent="0.3">
      <c r="A100" s="79" t="s">
        <v>1762</v>
      </c>
      <c r="B100" s="79" t="s">
        <v>1247</v>
      </c>
      <c r="C100" s="79" t="s">
        <v>1763</v>
      </c>
      <c r="D100" s="79" t="s">
        <v>1763</v>
      </c>
      <c r="E100" s="79" t="s">
        <v>1631</v>
      </c>
      <c r="F100" s="79" t="s">
        <v>1759</v>
      </c>
      <c r="G100" s="79" t="s">
        <v>1246</v>
      </c>
      <c r="AU100" s="77" t="s">
        <v>1764</v>
      </c>
    </row>
    <row r="101" spans="1:47" hidden="1" x14ac:dyDescent="0.3">
      <c r="A101" s="79" t="s">
        <v>1765</v>
      </c>
      <c r="B101" s="79" t="s">
        <v>1248</v>
      </c>
      <c r="C101" s="79" t="s">
        <v>1766</v>
      </c>
      <c r="D101" s="79" t="s">
        <v>1766</v>
      </c>
      <c r="E101" s="79" t="s">
        <v>1631</v>
      </c>
      <c r="F101" s="79" t="s">
        <v>1759</v>
      </c>
      <c r="G101" s="79" t="s">
        <v>1246</v>
      </c>
      <c r="AU101" s="77" t="s">
        <v>1767</v>
      </c>
    </row>
    <row r="102" spans="1:47" hidden="1" x14ac:dyDescent="0.3">
      <c r="A102" s="79" t="s">
        <v>1768</v>
      </c>
      <c r="B102" s="79" t="s">
        <v>1249</v>
      </c>
      <c r="C102" s="79" t="s">
        <v>1769</v>
      </c>
      <c r="D102" s="79" t="s">
        <v>1769</v>
      </c>
      <c r="E102" s="79" t="s">
        <v>1631</v>
      </c>
      <c r="F102" s="79" t="s">
        <v>1667</v>
      </c>
      <c r="G102" s="79" t="s">
        <v>1297</v>
      </c>
      <c r="AU102" s="77" t="s">
        <v>1770</v>
      </c>
    </row>
    <row r="103" spans="1:47" hidden="1" x14ac:dyDescent="0.3">
      <c r="A103" s="79" t="s">
        <v>1771</v>
      </c>
      <c r="B103" s="79" t="s">
        <v>1250</v>
      </c>
      <c r="C103" s="79" t="s">
        <v>1772</v>
      </c>
      <c r="D103" s="79" t="s">
        <v>1772</v>
      </c>
      <c r="E103" s="79" t="s">
        <v>1631</v>
      </c>
      <c r="F103" s="79" t="s">
        <v>1671</v>
      </c>
      <c r="G103" s="79" t="s">
        <v>1294</v>
      </c>
      <c r="AU103" s="77" t="s">
        <v>1773</v>
      </c>
    </row>
    <row r="104" spans="1:47" hidden="1" x14ac:dyDescent="0.3">
      <c r="A104" s="79" t="s">
        <v>1774</v>
      </c>
      <c r="B104" s="79" t="s">
        <v>1251</v>
      </c>
      <c r="C104" s="79" t="s">
        <v>1775</v>
      </c>
      <c r="D104" s="79" t="s">
        <v>1775</v>
      </c>
      <c r="E104" s="79" t="s">
        <v>1631</v>
      </c>
      <c r="F104" s="79" t="s">
        <v>1667</v>
      </c>
      <c r="G104" s="79" t="s">
        <v>1297</v>
      </c>
      <c r="AU104" s="77" t="s">
        <v>1776</v>
      </c>
    </row>
    <row r="105" spans="1:47" hidden="1" x14ac:dyDescent="0.3">
      <c r="A105" s="79" t="s">
        <v>1777</v>
      </c>
      <c r="B105" s="79" t="s">
        <v>1778</v>
      </c>
      <c r="C105" s="79" t="s">
        <v>1779</v>
      </c>
      <c r="D105" s="79" t="s">
        <v>1779</v>
      </c>
      <c r="E105" s="79" t="s">
        <v>1457</v>
      </c>
      <c r="F105" s="79" t="s">
        <v>1627</v>
      </c>
      <c r="G105" s="79" t="s">
        <v>6</v>
      </c>
      <c r="AU105" s="77" t="s">
        <v>1780</v>
      </c>
    </row>
    <row r="106" spans="1:47" hidden="1" x14ac:dyDescent="0.3">
      <c r="A106" s="79" t="s">
        <v>1781</v>
      </c>
      <c r="B106" s="79" t="s">
        <v>1782</v>
      </c>
      <c r="C106" s="79" t="s">
        <v>1783</v>
      </c>
      <c r="D106" s="79" t="s">
        <v>1783</v>
      </c>
      <c r="E106" s="79" t="s">
        <v>1457</v>
      </c>
      <c r="F106" s="79" t="s">
        <v>1777</v>
      </c>
      <c r="G106" s="79" t="s">
        <v>1778</v>
      </c>
      <c r="AU106" s="77" t="s">
        <v>1784</v>
      </c>
    </row>
    <row r="107" spans="1:47" hidden="1" x14ac:dyDescent="0.3">
      <c r="A107" s="79" t="s">
        <v>1785</v>
      </c>
      <c r="B107" s="79" t="s">
        <v>1786</v>
      </c>
      <c r="C107" s="79" t="s">
        <v>1787</v>
      </c>
      <c r="D107" s="79" t="s">
        <v>1787</v>
      </c>
      <c r="E107" s="79" t="s">
        <v>1457</v>
      </c>
      <c r="F107" s="79" t="s">
        <v>1777</v>
      </c>
      <c r="G107" s="79" t="s">
        <v>1778</v>
      </c>
      <c r="AU107" s="77" t="s">
        <v>1788</v>
      </c>
    </row>
    <row r="108" spans="1:47" hidden="1" x14ac:dyDescent="0.3">
      <c r="A108" s="79" t="s">
        <v>1789</v>
      </c>
      <c r="B108" s="79" t="s">
        <v>1790</v>
      </c>
      <c r="C108" s="79" t="s">
        <v>1791</v>
      </c>
      <c r="D108" s="79" t="s">
        <v>1791</v>
      </c>
      <c r="E108" s="79" t="s">
        <v>1457</v>
      </c>
      <c r="F108" s="79" t="s">
        <v>1777</v>
      </c>
      <c r="G108" s="79" t="s">
        <v>1778</v>
      </c>
      <c r="AU108" s="77" t="s">
        <v>1792</v>
      </c>
    </row>
    <row r="109" spans="1:47" hidden="1" x14ac:dyDescent="0.3">
      <c r="A109" s="79" t="s">
        <v>1793</v>
      </c>
      <c r="B109" s="79" t="s">
        <v>1794</v>
      </c>
      <c r="C109" s="79" t="s">
        <v>1795</v>
      </c>
      <c r="D109" s="79" t="s">
        <v>1795</v>
      </c>
      <c r="E109" s="79" t="s">
        <v>1457</v>
      </c>
      <c r="F109" s="79" t="s">
        <v>1777</v>
      </c>
      <c r="G109" s="79" t="s">
        <v>1778</v>
      </c>
      <c r="AU109" s="77" t="s">
        <v>1796</v>
      </c>
    </row>
    <row r="110" spans="1:47" hidden="1" x14ac:dyDescent="0.3">
      <c r="A110" s="79" t="s">
        <v>1797</v>
      </c>
      <c r="B110" s="79" t="s">
        <v>1798</v>
      </c>
      <c r="C110" s="79" t="s">
        <v>1799</v>
      </c>
      <c r="D110" s="79" t="s">
        <v>1799</v>
      </c>
      <c r="E110" s="79" t="s">
        <v>1457</v>
      </c>
      <c r="F110" s="79" t="s">
        <v>1777</v>
      </c>
      <c r="G110" s="79" t="s">
        <v>1778</v>
      </c>
      <c r="AU110" s="77" t="s">
        <v>1800</v>
      </c>
    </row>
    <row r="111" spans="1:47" hidden="1" x14ac:dyDescent="0.3">
      <c r="A111" s="79" t="s">
        <v>1801</v>
      </c>
      <c r="B111" s="79" t="s">
        <v>1802</v>
      </c>
      <c r="C111" s="79" t="s">
        <v>1803</v>
      </c>
      <c r="D111" s="79" t="s">
        <v>1803</v>
      </c>
      <c r="E111" s="79" t="s">
        <v>1457</v>
      </c>
      <c r="F111" s="79" t="s">
        <v>1777</v>
      </c>
      <c r="G111" s="79" t="s">
        <v>1778</v>
      </c>
      <c r="AU111" s="77" t="s">
        <v>1804</v>
      </c>
    </row>
    <row r="112" spans="1:47" hidden="1" x14ac:dyDescent="0.3">
      <c r="A112" s="79" t="s">
        <v>1805</v>
      </c>
      <c r="B112" s="79" t="s">
        <v>1806</v>
      </c>
      <c r="C112" s="79" t="s">
        <v>1807</v>
      </c>
      <c r="D112" s="79" t="s">
        <v>1807</v>
      </c>
      <c r="E112" s="79" t="s">
        <v>1457</v>
      </c>
      <c r="F112" s="79" t="s">
        <v>1777</v>
      </c>
      <c r="G112" s="79" t="s">
        <v>1778</v>
      </c>
      <c r="AU112" s="77" t="s">
        <v>1808</v>
      </c>
    </row>
    <row r="113" spans="1:47" hidden="1" x14ac:dyDescent="0.3">
      <c r="A113" s="79" t="s">
        <v>1809</v>
      </c>
      <c r="B113" s="79" t="s">
        <v>1252</v>
      </c>
      <c r="C113" s="79" t="s">
        <v>1810</v>
      </c>
      <c r="D113" s="79" t="s">
        <v>1810</v>
      </c>
      <c r="E113" s="79" t="s">
        <v>1631</v>
      </c>
      <c r="F113" s="79" t="s">
        <v>1663</v>
      </c>
      <c r="G113" s="79" t="s">
        <v>1276</v>
      </c>
      <c r="AU113" s="77" t="s">
        <v>1811</v>
      </c>
    </row>
    <row r="114" spans="1:47" hidden="1" x14ac:dyDescent="0.3">
      <c r="A114" s="79" t="s">
        <v>1812</v>
      </c>
      <c r="B114" s="79" t="s">
        <v>1253</v>
      </c>
      <c r="C114" s="79" t="s">
        <v>1813</v>
      </c>
      <c r="D114" s="79" t="s">
        <v>1813</v>
      </c>
      <c r="E114" s="79" t="s">
        <v>1631</v>
      </c>
      <c r="F114" s="79" t="s">
        <v>1814</v>
      </c>
      <c r="G114" s="79" t="s">
        <v>1290</v>
      </c>
      <c r="AU114" s="77" t="s">
        <v>1815</v>
      </c>
    </row>
    <row r="115" spans="1:47" hidden="1" x14ac:dyDescent="0.3">
      <c r="A115" s="79" t="s">
        <v>1816</v>
      </c>
      <c r="B115" s="79" t="s">
        <v>1254</v>
      </c>
      <c r="C115" s="79" t="s">
        <v>1817</v>
      </c>
      <c r="D115" s="79" t="s">
        <v>1817</v>
      </c>
      <c r="E115" s="79" t="s">
        <v>1631</v>
      </c>
      <c r="F115" s="79" t="s">
        <v>1636</v>
      </c>
      <c r="G115" s="79" t="s">
        <v>1232</v>
      </c>
      <c r="AU115" s="77" t="s">
        <v>1818</v>
      </c>
    </row>
    <row r="116" spans="1:47" hidden="1" x14ac:dyDescent="0.3">
      <c r="A116" s="79" t="s">
        <v>1819</v>
      </c>
      <c r="B116" s="79" t="s">
        <v>1255</v>
      </c>
      <c r="C116" s="79" t="s">
        <v>1820</v>
      </c>
      <c r="D116" s="79" t="s">
        <v>1820</v>
      </c>
      <c r="E116" s="79" t="s">
        <v>1631</v>
      </c>
      <c r="F116" s="79" t="s">
        <v>1718</v>
      </c>
      <c r="G116" s="79" t="s">
        <v>1272</v>
      </c>
      <c r="AU116" s="77" t="s">
        <v>1821</v>
      </c>
    </row>
    <row r="117" spans="1:47" hidden="1" x14ac:dyDescent="0.3">
      <c r="A117" s="79" t="s">
        <v>1822</v>
      </c>
      <c r="B117" s="79" t="s">
        <v>1256</v>
      </c>
      <c r="C117" s="79" t="s">
        <v>1823</v>
      </c>
      <c r="D117" s="79" t="s">
        <v>1823</v>
      </c>
      <c r="E117" s="79" t="s">
        <v>1631</v>
      </c>
      <c r="F117" s="79" t="s">
        <v>1632</v>
      </c>
      <c r="G117" s="79" t="s">
        <v>1257</v>
      </c>
      <c r="AU117" s="77" t="s">
        <v>1824</v>
      </c>
    </row>
    <row r="118" spans="1:47" hidden="1" x14ac:dyDescent="0.3">
      <c r="A118" s="79" t="s">
        <v>1632</v>
      </c>
      <c r="B118" s="79" t="s">
        <v>1257</v>
      </c>
      <c r="C118" s="79" t="s">
        <v>1825</v>
      </c>
      <c r="D118" s="79" t="s">
        <v>1825</v>
      </c>
      <c r="E118" s="79" t="s">
        <v>1472</v>
      </c>
      <c r="F118" s="79" t="s">
        <v>1627</v>
      </c>
      <c r="G118" s="79" t="s">
        <v>6</v>
      </c>
      <c r="AU118" s="77" t="s">
        <v>1826</v>
      </c>
    </row>
    <row r="119" spans="1:47" hidden="1" x14ac:dyDescent="0.3">
      <c r="A119" s="79" t="s">
        <v>1827</v>
      </c>
      <c r="B119" s="79" t="s">
        <v>1258</v>
      </c>
      <c r="C119" s="79" t="s">
        <v>1828</v>
      </c>
      <c r="D119" s="79" t="s">
        <v>1828</v>
      </c>
      <c r="E119" s="79" t="s">
        <v>1631</v>
      </c>
      <c r="F119" s="79" t="s">
        <v>1697</v>
      </c>
      <c r="G119" s="79" t="s">
        <v>1264</v>
      </c>
      <c r="AU119" s="77" t="s">
        <v>1829</v>
      </c>
    </row>
    <row r="120" spans="1:47" hidden="1" x14ac:dyDescent="0.3">
      <c r="A120" s="79" t="s">
        <v>1830</v>
      </c>
      <c r="B120" s="79" t="s">
        <v>1259</v>
      </c>
      <c r="C120" s="79" t="s">
        <v>1831</v>
      </c>
      <c r="D120" s="79" t="s">
        <v>1831</v>
      </c>
      <c r="E120" s="79" t="s">
        <v>1472</v>
      </c>
      <c r="F120" s="79" t="s">
        <v>1627</v>
      </c>
      <c r="G120" s="79" t="s">
        <v>6</v>
      </c>
      <c r="AU120" s="77" t="s">
        <v>1832</v>
      </c>
    </row>
    <row r="121" spans="1:47" hidden="1" x14ac:dyDescent="0.3">
      <c r="A121" s="79" t="s">
        <v>1833</v>
      </c>
      <c r="B121" s="79" t="s">
        <v>1260</v>
      </c>
      <c r="C121" s="79" t="s">
        <v>1834</v>
      </c>
      <c r="D121" s="79" t="s">
        <v>1834</v>
      </c>
      <c r="E121" s="79" t="s">
        <v>1631</v>
      </c>
      <c r="F121" s="79" t="s">
        <v>1632</v>
      </c>
      <c r="G121" s="79" t="s">
        <v>1257</v>
      </c>
      <c r="AU121" s="77" t="s">
        <v>1835</v>
      </c>
    </row>
    <row r="122" spans="1:47" hidden="1" x14ac:dyDescent="0.3">
      <c r="A122" s="79" t="s">
        <v>1836</v>
      </c>
      <c r="B122" s="79" t="s">
        <v>1261</v>
      </c>
      <c r="C122" s="79" t="s">
        <v>1837</v>
      </c>
      <c r="D122" s="79" t="s">
        <v>1837</v>
      </c>
      <c r="E122" s="79" t="s">
        <v>1631</v>
      </c>
      <c r="F122" s="79" t="s">
        <v>1830</v>
      </c>
      <c r="G122" s="79" t="s">
        <v>1259</v>
      </c>
      <c r="AU122" s="77" t="s">
        <v>1838</v>
      </c>
    </row>
    <row r="123" spans="1:47" hidden="1" x14ac:dyDescent="0.3">
      <c r="A123" s="79" t="s">
        <v>1839</v>
      </c>
      <c r="B123" s="79" t="s">
        <v>1840</v>
      </c>
      <c r="C123" s="79" t="s">
        <v>1841</v>
      </c>
      <c r="D123" s="79" t="s">
        <v>1841</v>
      </c>
      <c r="E123" s="79" t="s">
        <v>1457</v>
      </c>
      <c r="F123" s="79" t="s">
        <v>1627</v>
      </c>
      <c r="G123" s="79" t="s">
        <v>6</v>
      </c>
      <c r="AU123" s="77" t="s">
        <v>1842</v>
      </c>
    </row>
    <row r="124" spans="1:47" hidden="1" x14ac:dyDescent="0.3">
      <c r="A124" s="79" t="s">
        <v>1843</v>
      </c>
      <c r="B124" s="79" t="s">
        <v>1262</v>
      </c>
      <c r="C124" s="79" t="s">
        <v>1844</v>
      </c>
      <c r="D124" s="79" t="s">
        <v>1844</v>
      </c>
      <c r="E124" s="79" t="s">
        <v>1631</v>
      </c>
      <c r="F124" s="79" t="s">
        <v>1667</v>
      </c>
      <c r="G124" s="79" t="s">
        <v>1297</v>
      </c>
      <c r="AU124" s="77" t="s">
        <v>1845</v>
      </c>
    </row>
    <row r="125" spans="1:47" hidden="1" x14ac:dyDescent="0.3">
      <c r="A125" s="79" t="s">
        <v>1846</v>
      </c>
      <c r="B125" s="79" t="s">
        <v>1263</v>
      </c>
      <c r="C125" s="79" t="s">
        <v>1847</v>
      </c>
      <c r="D125" s="79" t="s">
        <v>1847</v>
      </c>
      <c r="E125" s="79" t="s">
        <v>1472</v>
      </c>
      <c r="F125" s="79" t="s">
        <v>1627</v>
      </c>
      <c r="G125" s="79" t="s">
        <v>6</v>
      </c>
      <c r="AU125" s="77" t="s">
        <v>1848</v>
      </c>
    </row>
    <row r="126" spans="1:47" hidden="1" x14ac:dyDescent="0.3">
      <c r="A126" s="79" t="s">
        <v>1697</v>
      </c>
      <c r="B126" s="79" t="s">
        <v>1264</v>
      </c>
      <c r="C126" s="79" t="s">
        <v>1849</v>
      </c>
      <c r="D126" s="79" t="s">
        <v>1849</v>
      </c>
      <c r="E126" s="79" t="s">
        <v>1472</v>
      </c>
      <c r="F126" s="79" t="s">
        <v>1627</v>
      </c>
      <c r="G126" s="79" t="s">
        <v>6</v>
      </c>
      <c r="AU126" s="77" t="s">
        <v>1850</v>
      </c>
    </row>
    <row r="127" spans="1:47" hidden="1" x14ac:dyDescent="0.3">
      <c r="A127" s="79" t="s">
        <v>1851</v>
      </c>
      <c r="B127" s="79" t="s">
        <v>1265</v>
      </c>
      <c r="C127" s="79" t="s">
        <v>1852</v>
      </c>
      <c r="D127" s="79" t="s">
        <v>1852</v>
      </c>
      <c r="E127" s="79" t="s">
        <v>1472</v>
      </c>
      <c r="F127" s="79" t="s">
        <v>1627</v>
      </c>
      <c r="G127" s="79" t="s">
        <v>6</v>
      </c>
      <c r="AU127" s="77" t="s">
        <v>1853</v>
      </c>
    </row>
    <row r="128" spans="1:47" hidden="1" x14ac:dyDescent="0.3">
      <c r="A128" s="79" t="s">
        <v>1854</v>
      </c>
      <c r="B128" s="79" t="s">
        <v>1304</v>
      </c>
      <c r="C128" s="79" t="s">
        <v>1855</v>
      </c>
      <c r="D128" s="79" t="s">
        <v>1855</v>
      </c>
      <c r="E128" s="79" t="s">
        <v>1631</v>
      </c>
      <c r="F128" s="79" t="s">
        <v>1851</v>
      </c>
      <c r="G128" s="79" t="s">
        <v>1265</v>
      </c>
      <c r="AU128" s="77" t="s">
        <v>1856</v>
      </c>
    </row>
    <row r="129" spans="1:47" hidden="1" x14ac:dyDescent="0.3">
      <c r="A129" s="79" t="s">
        <v>1857</v>
      </c>
      <c r="B129" s="79" t="s">
        <v>1303</v>
      </c>
      <c r="C129" s="79" t="s">
        <v>1858</v>
      </c>
      <c r="D129" s="79" t="s">
        <v>1858</v>
      </c>
      <c r="E129" s="79" t="s">
        <v>1631</v>
      </c>
      <c r="F129" s="79" t="s">
        <v>1851</v>
      </c>
      <c r="G129" s="79" t="s">
        <v>1265</v>
      </c>
      <c r="AU129" s="77" t="s">
        <v>1859</v>
      </c>
    </row>
    <row r="130" spans="1:47" hidden="1" x14ac:dyDescent="0.3">
      <c r="A130" s="79" t="s">
        <v>1860</v>
      </c>
      <c r="B130" s="79" t="s">
        <v>1266</v>
      </c>
      <c r="C130" s="79" t="s">
        <v>1861</v>
      </c>
      <c r="D130" s="79" t="s">
        <v>1861</v>
      </c>
      <c r="E130" s="79" t="s">
        <v>1631</v>
      </c>
      <c r="F130" s="79" t="s">
        <v>1730</v>
      </c>
      <c r="G130" s="79" t="s">
        <v>1237</v>
      </c>
      <c r="AU130" s="77" t="s">
        <v>1862</v>
      </c>
    </row>
    <row r="131" spans="1:47" hidden="1" x14ac:dyDescent="0.3">
      <c r="A131" s="79" t="s">
        <v>1863</v>
      </c>
      <c r="B131" s="79" t="s">
        <v>1267</v>
      </c>
      <c r="C131" s="79" t="s">
        <v>1864</v>
      </c>
      <c r="D131" s="79" t="s">
        <v>1864</v>
      </c>
      <c r="E131" s="79" t="s">
        <v>1631</v>
      </c>
      <c r="F131" s="79" t="s">
        <v>1730</v>
      </c>
      <c r="G131" s="79" t="s">
        <v>1237</v>
      </c>
      <c r="AU131" s="77" t="s">
        <v>1865</v>
      </c>
    </row>
    <row r="132" spans="1:47" hidden="1" x14ac:dyDescent="0.3">
      <c r="A132" s="79" t="s">
        <v>1866</v>
      </c>
      <c r="B132" s="79" t="s">
        <v>1268</v>
      </c>
      <c r="C132" s="79" t="s">
        <v>1867</v>
      </c>
      <c r="D132" s="79" t="s">
        <v>1867</v>
      </c>
      <c r="E132" s="79" t="s">
        <v>1631</v>
      </c>
      <c r="F132" s="79" t="s">
        <v>1730</v>
      </c>
      <c r="G132" s="79" t="s">
        <v>1237</v>
      </c>
      <c r="AU132" s="77" t="s">
        <v>1868</v>
      </c>
    </row>
    <row r="133" spans="1:47" hidden="1" x14ac:dyDescent="0.3">
      <c r="A133" s="79" t="s">
        <v>1869</v>
      </c>
      <c r="B133" s="79" t="s">
        <v>1269</v>
      </c>
      <c r="C133" s="79" t="s">
        <v>1870</v>
      </c>
      <c r="D133" s="79" t="s">
        <v>1870</v>
      </c>
      <c r="E133" s="79" t="s">
        <v>1631</v>
      </c>
      <c r="F133" s="79" t="s">
        <v>1730</v>
      </c>
      <c r="G133" s="79" t="s">
        <v>1237</v>
      </c>
      <c r="AU133" s="77" t="s">
        <v>1871</v>
      </c>
    </row>
    <row r="134" spans="1:47" hidden="1" x14ac:dyDescent="0.3">
      <c r="A134" s="79" t="s">
        <v>1714</v>
      </c>
      <c r="B134" s="79" t="s">
        <v>1270</v>
      </c>
      <c r="C134" s="79" t="s">
        <v>1872</v>
      </c>
      <c r="D134" s="79" t="s">
        <v>1872</v>
      </c>
      <c r="E134" s="79" t="s">
        <v>1472</v>
      </c>
      <c r="F134" s="79" t="s">
        <v>1627</v>
      </c>
      <c r="G134" s="79" t="s">
        <v>6</v>
      </c>
      <c r="AU134" s="77" t="s">
        <v>1873</v>
      </c>
    </row>
    <row r="135" spans="1:47" hidden="1" x14ac:dyDescent="0.3">
      <c r="A135" s="79" t="s">
        <v>1874</v>
      </c>
      <c r="B135" s="79" t="s">
        <v>1271</v>
      </c>
      <c r="C135" s="79" t="s">
        <v>1875</v>
      </c>
      <c r="D135" s="79" t="s">
        <v>1875</v>
      </c>
      <c r="E135" s="79" t="s">
        <v>1631</v>
      </c>
      <c r="F135" s="79" t="s">
        <v>1659</v>
      </c>
      <c r="G135" s="79" t="s">
        <v>1283</v>
      </c>
      <c r="AU135" s="77" t="s">
        <v>1876</v>
      </c>
    </row>
    <row r="136" spans="1:47" hidden="1" x14ac:dyDescent="0.3">
      <c r="A136" s="79" t="s">
        <v>1718</v>
      </c>
      <c r="B136" s="79" t="s">
        <v>1272</v>
      </c>
      <c r="C136" s="79" t="s">
        <v>1877</v>
      </c>
      <c r="D136" s="79" t="s">
        <v>1877</v>
      </c>
      <c r="E136" s="79" t="s">
        <v>1472</v>
      </c>
      <c r="F136" s="79" t="s">
        <v>1627</v>
      </c>
      <c r="G136" s="79" t="s">
        <v>6</v>
      </c>
      <c r="AU136" s="77" t="s">
        <v>1878</v>
      </c>
    </row>
    <row r="137" spans="1:47" hidden="1" x14ac:dyDescent="0.3">
      <c r="A137" s="79" t="s">
        <v>1879</v>
      </c>
      <c r="B137" s="79" t="s">
        <v>1273</v>
      </c>
      <c r="C137" s="79" t="s">
        <v>1880</v>
      </c>
      <c r="D137" s="79" t="s">
        <v>1880</v>
      </c>
      <c r="E137" s="79" t="s">
        <v>1631</v>
      </c>
      <c r="F137" s="79" t="s">
        <v>1830</v>
      </c>
      <c r="G137" s="79" t="s">
        <v>1259</v>
      </c>
      <c r="AU137" s="77" t="s">
        <v>1881</v>
      </c>
    </row>
    <row r="138" spans="1:47" hidden="1" x14ac:dyDescent="0.3">
      <c r="A138" s="79" t="s">
        <v>1882</v>
      </c>
      <c r="B138" s="79" t="s">
        <v>1274</v>
      </c>
      <c r="C138" s="79" t="s">
        <v>1883</v>
      </c>
      <c r="D138" s="79" t="s">
        <v>1883</v>
      </c>
      <c r="E138" s="79" t="s">
        <v>1631</v>
      </c>
      <c r="F138" s="79" t="s">
        <v>1636</v>
      </c>
      <c r="G138" s="79" t="s">
        <v>1232</v>
      </c>
      <c r="AU138" s="77" t="s">
        <v>1884</v>
      </c>
    </row>
    <row r="139" spans="1:47" hidden="1" x14ac:dyDescent="0.3">
      <c r="A139" s="79" t="s">
        <v>1885</v>
      </c>
      <c r="B139" s="79" t="s">
        <v>1275</v>
      </c>
      <c r="C139" s="79" t="s">
        <v>1886</v>
      </c>
      <c r="D139" s="79" t="s">
        <v>1886</v>
      </c>
      <c r="E139" s="79" t="s">
        <v>1631</v>
      </c>
      <c r="F139" s="79" t="s">
        <v>1667</v>
      </c>
      <c r="G139" s="79" t="s">
        <v>1297</v>
      </c>
      <c r="AU139" s="77" t="s">
        <v>1887</v>
      </c>
    </row>
    <row r="140" spans="1:47" hidden="1" x14ac:dyDescent="0.3">
      <c r="A140" s="79" t="s">
        <v>1663</v>
      </c>
      <c r="B140" s="79" t="s">
        <v>1276</v>
      </c>
      <c r="C140" s="79" t="s">
        <v>1888</v>
      </c>
      <c r="D140" s="79" t="s">
        <v>1888</v>
      </c>
      <c r="E140" s="79" t="s">
        <v>1472</v>
      </c>
      <c r="F140" s="79" t="s">
        <v>1627</v>
      </c>
      <c r="G140" s="79" t="s">
        <v>6</v>
      </c>
      <c r="AU140" s="77" t="s">
        <v>1889</v>
      </c>
    </row>
    <row r="141" spans="1:47" hidden="1" x14ac:dyDescent="0.3">
      <c r="A141" s="79" t="s">
        <v>1890</v>
      </c>
      <c r="B141" s="79" t="s">
        <v>1277</v>
      </c>
      <c r="C141" s="79" t="s">
        <v>1891</v>
      </c>
      <c r="D141" s="79" t="s">
        <v>1891</v>
      </c>
      <c r="E141" s="79" t="s">
        <v>1631</v>
      </c>
      <c r="F141" s="79" t="s">
        <v>1722</v>
      </c>
      <c r="G141" s="79" t="s">
        <v>1285</v>
      </c>
      <c r="AU141" s="77" t="s">
        <v>1892</v>
      </c>
    </row>
    <row r="142" spans="1:47" hidden="1" x14ac:dyDescent="0.3">
      <c r="A142" s="79" t="s">
        <v>1893</v>
      </c>
      <c r="B142" s="79" t="s">
        <v>1278</v>
      </c>
      <c r="C142" s="79" t="s">
        <v>1894</v>
      </c>
      <c r="D142" s="79" t="s">
        <v>1894</v>
      </c>
      <c r="E142" s="79" t="s">
        <v>1631</v>
      </c>
      <c r="F142" s="79" t="s">
        <v>1659</v>
      </c>
      <c r="G142" s="79" t="s">
        <v>1283</v>
      </c>
      <c r="AU142" s="77" t="s">
        <v>1895</v>
      </c>
    </row>
    <row r="143" spans="1:47" hidden="1" x14ac:dyDescent="0.3">
      <c r="A143" s="79" t="s">
        <v>1738</v>
      </c>
      <c r="B143" s="79" t="s">
        <v>1279</v>
      </c>
      <c r="C143" s="79" t="s">
        <v>1896</v>
      </c>
      <c r="D143" s="79" t="s">
        <v>1896</v>
      </c>
      <c r="E143" s="79" t="s">
        <v>1472</v>
      </c>
      <c r="F143" s="79" t="s">
        <v>1627</v>
      </c>
      <c r="G143" s="79" t="s">
        <v>6</v>
      </c>
      <c r="AU143" s="77" t="s">
        <v>1897</v>
      </c>
    </row>
    <row r="144" spans="1:47" hidden="1" x14ac:dyDescent="0.3">
      <c r="A144" s="79" t="s">
        <v>1898</v>
      </c>
      <c r="B144" s="79" t="s">
        <v>1280</v>
      </c>
      <c r="C144" s="79" t="s">
        <v>1899</v>
      </c>
      <c r="D144" s="79" t="s">
        <v>1899</v>
      </c>
      <c r="E144" s="79" t="s">
        <v>1631</v>
      </c>
      <c r="F144" s="79" t="s">
        <v>1814</v>
      </c>
      <c r="G144" s="79" t="s">
        <v>1290</v>
      </c>
      <c r="AU144" s="77" t="s">
        <v>1900</v>
      </c>
    </row>
    <row r="145" spans="1:47" hidden="1" x14ac:dyDescent="0.3">
      <c r="A145" s="79" t="s">
        <v>1901</v>
      </c>
      <c r="B145" s="79" t="s">
        <v>1281</v>
      </c>
      <c r="C145" s="79" t="s">
        <v>1902</v>
      </c>
      <c r="D145" s="79" t="s">
        <v>1902</v>
      </c>
      <c r="E145" s="79" t="s">
        <v>1631</v>
      </c>
      <c r="F145" s="79" t="s">
        <v>1659</v>
      </c>
      <c r="G145" s="79" t="s">
        <v>1283</v>
      </c>
      <c r="AU145" s="77" t="s">
        <v>1903</v>
      </c>
    </row>
    <row r="146" spans="1:47" hidden="1" x14ac:dyDescent="0.3">
      <c r="A146" s="79" t="s">
        <v>1904</v>
      </c>
      <c r="B146" s="79" t="s">
        <v>1282</v>
      </c>
      <c r="C146" s="79" t="s">
        <v>1905</v>
      </c>
      <c r="D146" s="79" t="s">
        <v>1905</v>
      </c>
      <c r="E146" s="79" t="s">
        <v>1631</v>
      </c>
      <c r="F146" s="79" t="s">
        <v>1722</v>
      </c>
      <c r="G146" s="79" t="s">
        <v>1285</v>
      </c>
      <c r="AU146" s="77" t="s">
        <v>1906</v>
      </c>
    </row>
    <row r="147" spans="1:47" hidden="1" x14ac:dyDescent="0.3">
      <c r="A147" s="79" t="s">
        <v>1659</v>
      </c>
      <c r="B147" s="79" t="s">
        <v>1283</v>
      </c>
      <c r="C147" s="79" t="s">
        <v>1907</v>
      </c>
      <c r="D147" s="79" t="s">
        <v>1907</v>
      </c>
      <c r="E147" s="79" t="s">
        <v>1472</v>
      </c>
      <c r="F147" s="79" t="s">
        <v>1627</v>
      </c>
      <c r="G147" s="79" t="s">
        <v>6</v>
      </c>
      <c r="AU147" s="77" t="s">
        <v>1908</v>
      </c>
    </row>
    <row r="148" spans="1:47" hidden="1" x14ac:dyDescent="0.3">
      <c r="A148" s="79" t="s">
        <v>1909</v>
      </c>
      <c r="B148" s="79" t="s">
        <v>1284</v>
      </c>
      <c r="C148" s="79" t="s">
        <v>1910</v>
      </c>
      <c r="D148" s="79" t="s">
        <v>1910</v>
      </c>
      <c r="E148" s="79" t="s">
        <v>1631</v>
      </c>
      <c r="F148" s="79" t="s">
        <v>1830</v>
      </c>
      <c r="G148" s="79" t="s">
        <v>1259</v>
      </c>
      <c r="AU148" s="77" t="s">
        <v>1911</v>
      </c>
    </row>
    <row r="149" spans="1:47" hidden="1" x14ac:dyDescent="0.3">
      <c r="A149" s="79" t="s">
        <v>1722</v>
      </c>
      <c r="B149" s="79" t="s">
        <v>1285</v>
      </c>
      <c r="C149" s="79" t="s">
        <v>1912</v>
      </c>
      <c r="D149" s="79" t="s">
        <v>1912</v>
      </c>
      <c r="E149" s="79" t="s">
        <v>1472</v>
      </c>
      <c r="F149" s="79" t="s">
        <v>1627</v>
      </c>
      <c r="G149" s="79" t="s">
        <v>6</v>
      </c>
      <c r="AU149" s="77" t="s">
        <v>1913</v>
      </c>
    </row>
    <row r="150" spans="1:47" hidden="1" x14ac:dyDescent="0.3">
      <c r="A150" s="79" t="s">
        <v>1914</v>
      </c>
      <c r="B150" s="79" t="s">
        <v>1286</v>
      </c>
      <c r="C150" s="79" t="s">
        <v>1915</v>
      </c>
      <c r="D150" s="79" t="s">
        <v>1915</v>
      </c>
      <c r="E150" s="79" t="s">
        <v>1631</v>
      </c>
      <c r="F150" s="79" t="s">
        <v>1722</v>
      </c>
      <c r="G150" s="79" t="s">
        <v>1285</v>
      </c>
      <c r="AU150" s="77" t="s">
        <v>1916</v>
      </c>
    </row>
    <row r="151" spans="1:47" hidden="1" x14ac:dyDescent="0.3">
      <c r="A151" s="79" t="s">
        <v>1917</v>
      </c>
      <c r="B151" s="79" t="s">
        <v>1918</v>
      </c>
      <c r="C151" s="79" t="s">
        <v>1919</v>
      </c>
      <c r="D151" s="79" t="s">
        <v>1919</v>
      </c>
      <c r="E151" s="79" t="s">
        <v>1457</v>
      </c>
      <c r="F151" s="79" t="s">
        <v>1627</v>
      </c>
      <c r="G151" s="79" t="s">
        <v>6</v>
      </c>
      <c r="AU151" s="77" t="s">
        <v>1920</v>
      </c>
    </row>
    <row r="152" spans="1:47" hidden="1" x14ac:dyDescent="0.3">
      <c r="A152" s="79" t="s">
        <v>1921</v>
      </c>
      <c r="B152" s="79" t="s">
        <v>1287</v>
      </c>
      <c r="C152" s="79" t="s">
        <v>1922</v>
      </c>
      <c r="D152" s="79" t="s">
        <v>1922</v>
      </c>
      <c r="E152" s="79" t="s">
        <v>1631</v>
      </c>
      <c r="F152" s="79" t="s">
        <v>1738</v>
      </c>
      <c r="G152" s="79" t="s">
        <v>1279</v>
      </c>
      <c r="AU152" s="77" t="s">
        <v>1923</v>
      </c>
    </row>
    <row r="153" spans="1:47" hidden="1" x14ac:dyDescent="0.3">
      <c r="A153" s="79" t="s">
        <v>1924</v>
      </c>
      <c r="B153" s="79" t="s">
        <v>1288</v>
      </c>
      <c r="C153" s="79" t="s">
        <v>1925</v>
      </c>
      <c r="D153" s="79" t="s">
        <v>1925</v>
      </c>
      <c r="E153" s="79" t="s">
        <v>1631</v>
      </c>
      <c r="F153" s="79" t="s">
        <v>1730</v>
      </c>
      <c r="G153" s="79" t="s">
        <v>1237</v>
      </c>
      <c r="AU153" s="77" t="s">
        <v>1926</v>
      </c>
    </row>
    <row r="154" spans="1:47" hidden="1" x14ac:dyDescent="0.3">
      <c r="A154" s="79" t="s">
        <v>1927</v>
      </c>
      <c r="B154" s="79" t="s">
        <v>1289</v>
      </c>
      <c r="C154" s="79" t="s">
        <v>1928</v>
      </c>
      <c r="D154" s="79" t="s">
        <v>1928</v>
      </c>
      <c r="E154" s="79" t="s">
        <v>1631</v>
      </c>
      <c r="F154" s="79" t="s">
        <v>1722</v>
      </c>
      <c r="G154" s="79" t="s">
        <v>1285</v>
      </c>
      <c r="AU154" s="77" t="s">
        <v>1929</v>
      </c>
    </row>
    <row r="155" spans="1:47" hidden="1" x14ac:dyDescent="0.3">
      <c r="A155" s="79" t="s">
        <v>1930</v>
      </c>
      <c r="B155" s="79" t="s">
        <v>1931</v>
      </c>
      <c r="C155" s="79" t="s">
        <v>1932</v>
      </c>
      <c r="D155" s="79" t="s">
        <v>1932</v>
      </c>
      <c r="E155" s="79" t="s">
        <v>1457</v>
      </c>
      <c r="F155" s="79" t="s">
        <v>1627</v>
      </c>
      <c r="G155" s="79" t="s">
        <v>6</v>
      </c>
      <c r="AU155" s="77" t="s">
        <v>1933</v>
      </c>
    </row>
    <row r="156" spans="1:47" hidden="1" x14ac:dyDescent="0.3">
      <c r="A156" s="79" t="s">
        <v>1814</v>
      </c>
      <c r="B156" s="79" t="s">
        <v>1290</v>
      </c>
      <c r="C156" s="79" t="s">
        <v>1934</v>
      </c>
      <c r="D156" s="79" t="s">
        <v>1934</v>
      </c>
      <c r="E156" s="79" t="s">
        <v>1472</v>
      </c>
      <c r="F156" s="79" t="s">
        <v>1627</v>
      </c>
      <c r="G156" s="79" t="s">
        <v>6</v>
      </c>
      <c r="AU156" s="77" t="s">
        <v>1935</v>
      </c>
    </row>
    <row r="157" spans="1:47" hidden="1" x14ac:dyDescent="0.3">
      <c r="A157" s="79" t="s">
        <v>1936</v>
      </c>
      <c r="B157" s="79" t="s">
        <v>1291</v>
      </c>
      <c r="C157" s="79" t="s">
        <v>1937</v>
      </c>
      <c r="D157" s="79" t="s">
        <v>1937</v>
      </c>
      <c r="E157" s="79" t="s">
        <v>1631</v>
      </c>
      <c r="F157" s="79" t="s">
        <v>1814</v>
      </c>
      <c r="G157" s="79" t="s">
        <v>1290</v>
      </c>
      <c r="AU157" s="77" t="s">
        <v>1938</v>
      </c>
    </row>
    <row r="158" spans="1:47" hidden="1" x14ac:dyDescent="0.3">
      <c r="A158" s="79" t="s">
        <v>1939</v>
      </c>
      <c r="B158" s="79" t="s">
        <v>1293</v>
      </c>
      <c r="C158" s="79" t="s">
        <v>1940</v>
      </c>
      <c r="D158" s="79" t="s">
        <v>1940</v>
      </c>
      <c r="E158" s="79" t="s">
        <v>1631</v>
      </c>
      <c r="F158" s="79" t="s">
        <v>1714</v>
      </c>
      <c r="G158" s="79" t="s">
        <v>1270</v>
      </c>
      <c r="AU158" s="77" t="s">
        <v>1941</v>
      </c>
    </row>
    <row r="159" spans="1:47" hidden="1" x14ac:dyDescent="0.3">
      <c r="A159" s="79" t="s">
        <v>1942</v>
      </c>
      <c r="B159" s="79" t="s">
        <v>1943</v>
      </c>
      <c r="C159" s="79" t="s">
        <v>1944</v>
      </c>
      <c r="D159" s="79" t="s">
        <v>1944</v>
      </c>
      <c r="E159" s="79" t="s">
        <v>1457</v>
      </c>
      <c r="F159" s="79" t="s">
        <v>1627</v>
      </c>
      <c r="G159" s="79" t="s">
        <v>6</v>
      </c>
      <c r="AU159" s="77" t="s">
        <v>1945</v>
      </c>
    </row>
    <row r="160" spans="1:47" hidden="1" x14ac:dyDescent="0.3">
      <c r="A160" s="79" t="s">
        <v>1671</v>
      </c>
      <c r="B160" s="79" t="s">
        <v>1294</v>
      </c>
      <c r="C160" s="79" t="s">
        <v>1946</v>
      </c>
      <c r="D160" s="79" t="s">
        <v>1946</v>
      </c>
      <c r="E160" s="79" t="s">
        <v>1472</v>
      </c>
      <c r="F160" s="79" t="s">
        <v>1627</v>
      </c>
      <c r="G160" s="79" t="s">
        <v>6</v>
      </c>
      <c r="AU160" s="77" t="s">
        <v>1947</v>
      </c>
    </row>
    <row r="161" spans="1:47" hidden="1" x14ac:dyDescent="0.3">
      <c r="A161" s="79" t="s">
        <v>1948</v>
      </c>
      <c r="B161" s="79" t="s">
        <v>1296</v>
      </c>
      <c r="C161" s="79" t="s">
        <v>1949</v>
      </c>
      <c r="D161" s="79" t="s">
        <v>1949</v>
      </c>
      <c r="E161" s="79" t="s">
        <v>1631</v>
      </c>
      <c r="F161" s="79" t="s">
        <v>1738</v>
      </c>
      <c r="G161" s="79" t="s">
        <v>1279</v>
      </c>
      <c r="AU161" s="77" t="s">
        <v>1950</v>
      </c>
    </row>
    <row r="162" spans="1:47" hidden="1" x14ac:dyDescent="0.3">
      <c r="A162" s="79" t="s">
        <v>1667</v>
      </c>
      <c r="B162" s="79" t="s">
        <v>1297</v>
      </c>
      <c r="C162" s="79" t="s">
        <v>1951</v>
      </c>
      <c r="D162" s="79" t="s">
        <v>1951</v>
      </c>
      <c r="E162" s="79" t="s">
        <v>1472</v>
      </c>
      <c r="F162" s="79" t="s">
        <v>1627</v>
      </c>
      <c r="G162" s="79" t="s">
        <v>6</v>
      </c>
      <c r="AU162" s="77" t="s">
        <v>1952</v>
      </c>
    </row>
    <row r="163" spans="1:47" hidden="1" x14ac:dyDescent="0.3">
      <c r="A163" s="79" t="s">
        <v>1953</v>
      </c>
      <c r="B163" s="79" t="s">
        <v>1954</v>
      </c>
      <c r="C163" s="79" t="s">
        <v>1955</v>
      </c>
      <c r="D163" s="79" t="s">
        <v>1955</v>
      </c>
      <c r="E163" s="79" t="s">
        <v>1631</v>
      </c>
      <c r="F163" s="79" t="s">
        <v>1667</v>
      </c>
      <c r="G163" s="79" t="s">
        <v>1297</v>
      </c>
      <c r="AU163" s="77" t="s">
        <v>1956</v>
      </c>
    </row>
    <row r="164" spans="1:47" hidden="1" x14ac:dyDescent="0.3">
      <c r="A164" s="79" t="s">
        <v>1957</v>
      </c>
      <c r="B164" s="79" t="s">
        <v>1298</v>
      </c>
      <c r="C164" s="79" t="s">
        <v>1958</v>
      </c>
      <c r="D164" s="79" t="s">
        <v>1958</v>
      </c>
      <c r="E164" s="79" t="s">
        <v>1631</v>
      </c>
      <c r="F164" s="79" t="s">
        <v>1667</v>
      </c>
      <c r="G164" s="79" t="s">
        <v>1297</v>
      </c>
      <c r="AU164" s="77" t="s">
        <v>1959</v>
      </c>
    </row>
    <row r="165" spans="1:47" hidden="1" x14ac:dyDescent="0.3">
      <c r="A165" s="79" t="s">
        <v>1960</v>
      </c>
      <c r="B165" s="79" t="s">
        <v>1299</v>
      </c>
      <c r="C165" s="79" t="s">
        <v>1961</v>
      </c>
      <c r="D165" s="79" t="s">
        <v>1961</v>
      </c>
      <c r="E165" s="79" t="s">
        <v>1631</v>
      </c>
      <c r="F165" s="79" t="s">
        <v>1636</v>
      </c>
      <c r="G165" s="79" t="s">
        <v>1232</v>
      </c>
      <c r="AU165" s="77" t="s">
        <v>1962</v>
      </c>
    </row>
    <row r="166" spans="1:47" hidden="1" x14ac:dyDescent="0.3">
      <c r="A166" s="79" t="s">
        <v>1963</v>
      </c>
      <c r="B166" s="79" t="s">
        <v>1300</v>
      </c>
      <c r="C166" s="79" t="s">
        <v>1964</v>
      </c>
      <c r="D166" s="79" t="s">
        <v>1964</v>
      </c>
      <c r="E166" s="79" t="s">
        <v>1631</v>
      </c>
      <c r="F166" s="79" t="s">
        <v>1814</v>
      </c>
      <c r="G166" s="79" t="s">
        <v>1290</v>
      </c>
      <c r="AU166" s="77" t="s">
        <v>1965</v>
      </c>
    </row>
    <row r="167" spans="1:47" hidden="1" x14ac:dyDescent="0.3">
      <c r="A167" s="79" t="s">
        <v>1966</v>
      </c>
      <c r="B167" s="79" t="s">
        <v>1301</v>
      </c>
      <c r="C167" s="79" t="s">
        <v>1967</v>
      </c>
      <c r="D167" s="79" t="s">
        <v>1967</v>
      </c>
      <c r="E167" s="79" t="s">
        <v>1631</v>
      </c>
      <c r="F167" s="79" t="s">
        <v>1663</v>
      </c>
      <c r="G167" s="79" t="s">
        <v>1276</v>
      </c>
      <c r="AU167" s="77" t="s">
        <v>1968</v>
      </c>
    </row>
    <row r="168" spans="1:47" hidden="1" x14ac:dyDescent="0.3">
      <c r="A168" s="79" t="s">
        <v>1969</v>
      </c>
      <c r="B168" s="79" t="s">
        <v>1970</v>
      </c>
      <c r="C168" s="79" t="s">
        <v>1971</v>
      </c>
      <c r="D168" s="79" t="s">
        <v>1971</v>
      </c>
      <c r="E168" s="79" t="s">
        <v>1465</v>
      </c>
      <c r="F168" s="79" t="s">
        <v>1627</v>
      </c>
      <c r="G168" s="79" t="s">
        <v>6</v>
      </c>
      <c r="AU168" s="77" t="s">
        <v>1972</v>
      </c>
    </row>
    <row r="169" spans="1:47" hidden="1" x14ac:dyDescent="0.3">
      <c r="A169" s="79" t="s">
        <v>1973</v>
      </c>
      <c r="B169" s="79" t="s">
        <v>1307</v>
      </c>
      <c r="C169" s="79" t="s">
        <v>1974</v>
      </c>
      <c r="D169" s="79" t="s">
        <v>1974</v>
      </c>
      <c r="E169" s="79" t="s">
        <v>1631</v>
      </c>
      <c r="F169" s="79" t="s">
        <v>1846</v>
      </c>
      <c r="G169" s="79" t="s">
        <v>1263</v>
      </c>
      <c r="AU169" s="77" t="s">
        <v>1975</v>
      </c>
    </row>
    <row r="170" spans="1:47" hidden="1" x14ac:dyDescent="0.3">
      <c r="A170" s="79" t="s">
        <v>1976</v>
      </c>
      <c r="B170" s="79" t="s">
        <v>1302</v>
      </c>
      <c r="C170" s="79" t="s">
        <v>1977</v>
      </c>
      <c r="D170" s="79" t="s">
        <v>1977</v>
      </c>
      <c r="E170" s="79" t="s">
        <v>1631</v>
      </c>
      <c r="F170" s="79" t="s">
        <v>1846</v>
      </c>
      <c r="G170" s="79" t="s">
        <v>1263</v>
      </c>
      <c r="AU170" s="77" t="s">
        <v>1978</v>
      </c>
    </row>
    <row r="171" spans="1:47" hidden="1" x14ac:dyDescent="0.3">
      <c r="A171" s="79" t="s">
        <v>1979</v>
      </c>
      <c r="B171" s="79" t="s">
        <v>1215</v>
      </c>
      <c r="C171" s="79" t="s">
        <v>1980</v>
      </c>
      <c r="D171" s="79" t="s">
        <v>1980</v>
      </c>
      <c r="E171" s="79" t="s">
        <v>1631</v>
      </c>
      <c r="F171" s="79" t="s">
        <v>1830</v>
      </c>
      <c r="G171" s="79" t="s">
        <v>1259</v>
      </c>
      <c r="AU171" s="77" t="s">
        <v>1981</v>
      </c>
    </row>
    <row r="172" spans="1:47" hidden="1" x14ac:dyDescent="0.3">
      <c r="A172" s="79" t="s">
        <v>1982</v>
      </c>
      <c r="B172" s="79" t="s">
        <v>780</v>
      </c>
      <c r="C172" s="79" t="s">
        <v>1147</v>
      </c>
      <c r="D172" s="79" t="s">
        <v>1147</v>
      </c>
      <c r="E172" s="79" t="s">
        <v>1621</v>
      </c>
      <c r="F172" s="79" t="s">
        <v>1439</v>
      </c>
      <c r="G172" s="79" t="s">
        <v>1440</v>
      </c>
      <c r="AU172" s="77" t="s">
        <v>1983</v>
      </c>
    </row>
    <row r="173" spans="1:47" hidden="1" x14ac:dyDescent="0.3">
      <c r="A173" s="79" t="s">
        <v>1439</v>
      </c>
      <c r="B173" s="79" t="s">
        <v>1440</v>
      </c>
      <c r="C173" s="79" t="s">
        <v>1984</v>
      </c>
      <c r="D173" s="79" t="s">
        <v>1984</v>
      </c>
      <c r="E173" s="79" t="s">
        <v>1985</v>
      </c>
      <c r="F173" s="79" t="s">
        <v>154</v>
      </c>
      <c r="G173" s="79" t="s">
        <v>154</v>
      </c>
      <c r="AU173" s="77" t="s">
        <v>1986</v>
      </c>
    </row>
    <row r="174" spans="1:47" hidden="1" x14ac:dyDescent="0.3">
      <c r="A174" s="79" t="s">
        <v>1987</v>
      </c>
      <c r="B174" s="79" t="s">
        <v>1988</v>
      </c>
      <c r="C174" s="79" t="s">
        <v>1989</v>
      </c>
      <c r="D174" s="79" t="s">
        <v>1989</v>
      </c>
      <c r="E174" s="79" t="s">
        <v>1457</v>
      </c>
      <c r="F174" s="79" t="s">
        <v>1439</v>
      </c>
      <c r="G174" s="79" t="s">
        <v>1440</v>
      </c>
      <c r="AU174" s="77" t="s">
        <v>1990</v>
      </c>
    </row>
    <row r="175" spans="1:47" hidden="1" x14ac:dyDescent="0.3">
      <c r="A175" s="79" t="s">
        <v>1991</v>
      </c>
      <c r="B175" s="79" t="s">
        <v>1992</v>
      </c>
      <c r="C175" s="79" t="s">
        <v>1993</v>
      </c>
      <c r="D175" s="79" t="s">
        <v>1993</v>
      </c>
      <c r="E175" s="79" t="s">
        <v>1457</v>
      </c>
      <c r="F175" s="79" t="s">
        <v>1439</v>
      </c>
      <c r="G175" s="79" t="s">
        <v>1440</v>
      </c>
      <c r="AU175" s="77" t="s">
        <v>1994</v>
      </c>
    </row>
    <row r="176" spans="1:47" hidden="1" x14ac:dyDescent="0.3">
      <c r="A176" s="79" t="s">
        <v>1995</v>
      </c>
      <c r="B176" s="79" t="s">
        <v>1996</v>
      </c>
      <c r="C176" s="79" t="s">
        <v>1997</v>
      </c>
      <c r="D176" s="79" t="s">
        <v>1997</v>
      </c>
      <c r="E176" s="79" t="s">
        <v>1457</v>
      </c>
      <c r="F176" s="79" t="s">
        <v>1439</v>
      </c>
      <c r="G176" s="79" t="s">
        <v>1440</v>
      </c>
      <c r="AU176" s="77" t="s">
        <v>1998</v>
      </c>
    </row>
    <row r="177" spans="1:47" hidden="1" x14ac:dyDescent="0.3">
      <c r="A177" s="79" t="s">
        <v>1999</v>
      </c>
      <c r="B177" s="79" t="s">
        <v>2000</v>
      </c>
      <c r="C177" s="79" t="s">
        <v>2001</v>
      </c>
      <c r="D177" s="79" t="s">
        <v>2001</v>
      </c>
      <c r="E177" s="79" t="s">
        <v>2002</v>
      </c>
      <c r="F177" s="79" t="s">
        <v>1439</v>
      </c>
      <c r="G177" s="79" t="s">
        <v>1440</v>
      </c>
      <c r="AU177" s="77" t="s">
        <v>2003</v>
      </c>
    </row>
    <row r="178" spans="1:47" hidden="1" x14ac:dyDescent="0.3">
      <c r="A178" s="79" t="s">
        <v>2004</v>
      </c>
      <c r="B178" s="79" t="s">
        <v>2005</v>
      </c>
      <c r="C178" s="79" t="s">
        <v>2006</v>
      </c>
      <c r="D178" s="79" t="s">
        <v>2006</v>
      </c>
      <c r="E178" s="79" t="s">
        <v>1457</v>
      </c>
      <c r="F178" s="79" t="s">
        <v>1439</v>
      </c>
      <c r="G178" s="79" t="s">
        <v>1440</v>
      </c>
      <c r="AU178" s="77" t="s">
        <v>2007</v>
      </c>
    </row>
    <row r="179" spans="1:47" hidden="1" x14ac:dyDescent="0.3">
      <c r="A179" s="79" t="s">
        <v>2008</v>
      </c>
      <c r="B179" s="79" t="s">
        <v>2009</v>
      </c>
      <c r="C179" s="79" t="s">
        <v>2010</v>
      </c>
      <c r="D179" s="79" t="s">
        <v>2010</v>
      </c>
      <c r="E179" s="79" t="s">
        <v>1457</v>
      </c>
      <c r="F179" s="79" t="s">
        <v>1439</v>
      </c>
      <c r="G179" s="79" t="s">
        <v>1440</v>
      </c>
      <c r="AU179" s="77" t="s">
        <v>2011</v>
      </c>
    </row>
    <row r="180" spans="1:47" hidden="1" x14ac:dyDescent="0.3">
      <c r="A180" s="79" t="s">
        <v>2012</v>
      </c>
      <c r="B180" s="79" t="s">
        <v>2013</v>
      </c>
      <c r="C180" s="79" t="s">
        <v>2014</v>
      </c>
      <c r="D180" s="79" t="s">
        <v>2014</v>
      </c>
      <c r="E180" s="79" t="s">
        <v>1457</v>
      </c>
      <c r="F180" s="79" t="s">
        <v>1439</v>
      </c>
      <c r="G180" s="79" t="s">
        <v>1440</v>
      </c>
      <c r="AU180" s="77" t="s">
        <v>2015</v>
      </c>
    </row>
    <row r="181" spans="1:47" hidden="1" x14ac:dyDescent="0.3">
      <c r="A181" s="79" t="s">
        <v>2016</v>
      </c>
      <c r="B181" s="79" t="s">
        <v>2017</v>
      </c>
      <c r="C181" s="79" t="s">
        <v>2018</v>
      </c>
      <c r="D181" s="79" t="s">
        <v>2018</v>
      </c>
      <c r="E181" s="79" t="s">
        <v>1457</v>
      </c>
      <c r="F181" s="79" t="s">
        <v>1439</v>
      </c>
      <c r="G181" s="79" t="s">
        <v>1440</v>
      </c>
      <c r="AU181" s="77" t="s">
        <v>2019</v>
      </c>
    </row>
    <row r="182" spans="1:47" hidden="1" x14ac:dyDescent="0.3">
      <c r="A182" s="79" t="s">
        <v>2020</v>
      </c>
      <c r="B182" s="79" t="s">
        <v>2021</v>
      </c>
      <c r="C182" s="79" t="s">
        <v>2022</v>
      </c>
      <c r="D182" s="79" t="s">
        <v>2022</v>
      </c>
      <c r="E182" s="79" t="s">
        <v>1457</v>
      </c>
      <c r="F182" s="79" t="s">
        <v>2016</v>
      </c>
      <c r="G182" s="79" t="s">
        <v>2017</v>
      </c>
      <c r="AU182" s="77" t="s">
        <v>2023</v>
      </c>
    </row>
    <row r="183" spans="1:47" hidden="1" x14ac:dyDescent="0.3">
      <c r="A183" s="79" t="s">
        <v>2024</v>
      </c>
      <c r="B183" s="79" t="s">
        <v>2025</v>
      </c>
      <c r="C183" s="79" t="s">
        <v>2026</v>
      </c>
      <c r="D183" s="79" t="s">
        <v>2026</v>
      </c>
      <c r="E183" s="79" t="s">
        <v>1457</v>
      </c>
      <c r="F183" s="79" t="s">
        <v>2016</v>
      </c>
      <c r="G183" s="79" t="s">
        <v>2017</v>
      </c>
      <c r="AU183" s="77" t="s">
        <v>2027</v>
      </c>
    </row>
    <row r="184" spans="1:47" hidden="1" x14ac:dyDescent="0.3">
      <c r="A184" s="79" t="s">
        <v>2028</v>
      </c>
      <c r="B184" s="79" t="s">
        <v>2029</v>
      </c>
      <c r="C184" s="79" t="s">
        <v>2030</v>
      </c>
      <c r="D184" s="79" t="s">
        <v>2030</v>
      </c>
      <c r="E184" s="79" t="s">
        <v>1457</v>
      </c>
      <c r="F184" s="79" t="s">
        <v>2016</v>
      </c>
      <c r="G184" s="79" t="s">
        <v>2017</v>
      </c>
      <c r="AU184" s="77" t="s">
        <v>2031</v>
      </c>
    </row>
    <row r="185" spans="1:47" hidden="1" x14ac:dyDescent="0.3">
      <c r="A185" s="79" t="s">
        <v>2032</v>
      </c>
      <c r="B185" s="79" t="s">
        <v>2033</v>
      </c>
      <c r="C185" s="79" t="s">
        <v>2034</v>
      </c>
      <c r="D185" s="79" t="s">
        <v>2034</v>
      </c>
      <c r="E185" s="79" t="s">
        <v>1457</v>
      </c>
      <c r="F185" s="79" t="s">
        <v>2016</v>
      </c>
      <c r="G185" s="79" t="s">
        <v>2017</v>
      </c>
      <c r="AU185" s="77" t="s">
        <v>2035</v>
      </c>
    </row>
    <row r="186" spans="1:47" hidden="1" x14ac:dyDescent="0.3">
      <c r="A186" s="79" t="s">
        <v>2036</v>
      </c>
      <c r="B186" s="79" t="s">
        <v>2037</v>
      </c>
      <c r="C186" s="79" t="s">
        <v>2038</v>
      </c>
      <c r="D186" s="79" t="s">
        <v>2038</v>
      </c>
      <c r="E186" s="79" t="s">
        <v>1457</v>
      </c>
      <c r="F186" s="79" t="s">
        <v>1439</v>
      </c>
      <c r="G186" s="79" t="s">
        <v>1440</v>
      </c>
      <c r="AU186" s="77" t="s">
        <v>2039</v>
      </c>
    </row>
    <row r="187" spans="1:47" hidden="1" x14ac:dyDescent="0.3">
      <c r="A187" s="79" t="s">
        <v>2040</v>
      </c>
      <c r="B187" s="79" t="s">
        <v>2041</v>
      </c>
      <c r="C187" s="79" t="s">
        <v>2042</v>
      </c>
      <c r="D187" s="79" t="s">
        <v>2042</v>
      </c>
      <c r="E187" s="79" t="s">
        <v>1457</v>
      </c>
      <c r="F187" s="79" t="s">
        <v>1439</v>
      </c>
      <c r="G187" s="79" t="s">
        <v>1440</v>
      </c>
      <c r="AU187" s="77" t="s">
        <v>2043</v>
      </c>
    </row>
    <row r="188" spans="1:47" hidden="1" x14ac:dyDescent="0.3">
      <c r="A188" s="79" t="s">
        <v>2044</v>
      </c>
      <c r="B188" s="79" t="s">
        <v>2045</v>
      </c>
      <c r="C188" s="79" t="s">
        <v>2046</v>
      </c>
      <c r="D188" s="79" t="s">
        <v>2046</v>
      </c>
      <c r="E188" s="79" t="s">
        <v>1457</v>
      </c>
      <c r="F188" s="79" t="s">
        <v>1439</v>
      </c>
      <c r="G188" s="79" t="s">
        <v>1440</v>
      </c>
      <c r="AU188" s="77" t="s">
        <v>2047</v>
      </c>
    </row>
    <row r="189" spans="1:47" hidden="1" x14ac:dyDescent="0.3">
      <c r="A189" s="79" t="s">
        <v>2048</v>
      </c>
      <c r="B189" s="79" t="s">
        <v>2049</v>
      </c>
      <c r="C189" s="79" t="s">
        <v>2050</v>
      </c>
      <c r="D189" s="79" t="s">
        <v>2050</v>
      </c>
      <c r="E189" s="79" t="s">
        <v>1457</v>
      </c>
      <c r="F189" s="79" t="s">
        <v>1439</v>
      </c>
      <c r="G189" s="79" t="s">
        <v>1440</v>
      </c>
      <c r="AU189" s="77" t="s">
        <v>2051</v>
      </c>
    </row>
    <row r="190" spans="1:47" hidden="1" x14ac:dyDescent="0.3">
      <c r="A190" s="79" t="s">
        <v>2052</v>
      </c>
      <c r="B190" s="79" t="s">
        <v>2053</v>
      </c>
      <c r="C190" s="79" t="s">
        <v>2054</v>
      </c>
      <c r="D190" s="79" t="s">
        <v>2054</v>
      </c>
      <c r="E190" s="79" t="s">
        <v>1457</v>
      </c>
      <c r="F190" s="79" t="s">
        <v>1439</v>
      </c>
      <c r="G190" s="79" t="s">
        <v>1440</v>
      </c>
      <c r="AU190" s="77" t="s">
        <v>2055</v>
      </c>
    </row>
    <row r="191" spans="1:47" hidden="1" x14ac:dyDescent="0.3">
      <c r="A191" s="79" t="s">
        <v>2056</v>
      </c>
      <c r="B191" s="79" t="s">
        <v>2057</v>
      </c>
      <c r="C191" s="79" t="s">
        <v>2058</v>
      </c>
      <c r="D191" s="79" t="s">
        <v>2058</v>
      </c>
      <c r="E191" s="79" t="s">
        <v>1457</v>
      </c>
      <c r="F191" s="79" t="s">
        <v>1439</v>
      </c>
      <c r="G191" s="79" t="s">
        <v>1440</v>
      </c>
      <c r="AU191" s="77" t="s">
        <v>2059</v>
      </c>
    </row>
    <row r="192" spans="1:47" hidden="1" x14ac:dyDescent="0.3">
      <c r="A192" s="79" t="s">
        <v>2060</v>
      </c>
      <c r="B192" s="79" t="s">
        <v>2061</v>
      </c>
      <c r="C192" s="79" t="s">
        <v>2062</v>
      </c>
      <c r="D192" s="79" t="s">
        <v>2062</v>
      </c>
      <c r="E192" s="79" t="s">
        <v>1457</v>
      </c>
      <c r="F192" s="79" t="s">
        <v>2056</v>
      </c>
      <c r="G192" s="79" t="s">
        <v>2057</v>
      </c>
      <c r="AU192" s="77" t="s">
        <v>2063</v>
      </c>
    </row>
    <row r="193" spans="1:47" hidden="1" x14ac:dyDescent="0.3">
      <c r="A193" s="79" t="s">
        <v>2064</v>
      </c>
      <c r="B193" s="79" t="s">
        <v>2065</v>
      </c>
      <c r="C193" s="79" t="s">
        <v>2066</v>
      </c>
      <c r="D193" s="79" t="s">
        <v>2066</v>
      </c>
      <c r="E193" s="79" t="s">
        <v>1457</v>
      </c>
      <c r="F193" s="79" t="s">
        <v>2056</v>
      </c>
      <c r="G193" s="79" t="s">
        <v>2057</v>
      </c>
      <c r="AU193" s="77" t="s">
        <v>2067</v>
      </c>
    </row>
    <row r="194" spans="1:47" hidden="1" x14ac:dyDescent="0.3">
      <c r="A194" s="79" t="s">
        <v>2068</v>
      </c>
      <c r="B194" s="79" t="s">
        <v>2069</v>
      </c>
      <c r="C194" s="79" t="s">
        <v>2070</v>
      </c>
      <c r="D194" s="79" t="s">
        <v>2070</v>
      </c>
      <c r="E194" s="79" t="s">
        <v>1457</v>
      </c>
      <c r="F194" s="79" t="s">
        <v>1439</v>
      </c>
      <c r="G194" s="79" t="s">
        <v>1440</v>
      </c>
      <c r="AU194" s="77" t="s">
        <v>2071</v>
      </c>
    </row>
    <row r="195" spans="1:47" hidden="1" x14ac:dyDescent="0.3">
      <c r="A195" s="79" t="s">
        <v>2072</v>
      </c>
      <c r="B195" s="79" t="s">
        <v>2073</v>
      </c>
      <c r="C195" s="79" t="s">
        <v>2074</v>
      </c>
      <c r="D195" s="79" t="s">
        <v>2074</v>
      </c>
      <c r="E195" s="79" t="s">
        <v>1457</v>
      </c>
      <c r="F195" s="79" t="s">
        <v>2056</v>
      </c>
      <c r="G195" s="79" t="s">
        <v>2057</v>
      </c>
      <c r="AU195" s="77" t="s">
        <v>2075</v>
      </c>
    </row>
    <row r="196" spans="1:47" hidden="1" x14ac:dyDescent="0.3">
      <c r="A196" s="79" t="s">
        <v>2076</v>
      </c>
      <c r="B196" s="79" t="s">
        <v>2077</v>
      </c>
      <c r="C196" s="79" t="s">
        <v>2078</v>
      </c>
      <c r="D196" s="79" t="s">
        <v>2078</v>
      </c>
      <c r="E196" s="79" t="s">
        <v>1457</v>
      </c>
      <c r="F196" s="79" t="s">
        <v>2056</v>
      </c>
      <c r="G196" s="79" t="s">
        <v>2057</v>
      </c>
      <c r="AU196" s="77" t="s">
        <v>2079</v>
      </c>
    </row>
    <row r="197" spans="1:47" hidden="1" x14ac:dyDescent="0.3">
      <c r="A197" s="79" t="s">
        <v>2080</v>
      </c>
      <c r="B197" s="79" t="s">
        <v>2081</v>
      </c>
      <c r="C197" s="79" t="s">
        <v>2082</v>
      </c>
      <c r="D197" s="79" t="s">
        <v>2082</v>
      </c>
      <c r="E197" s="79" t="s">
        <v>1457</v>
      </c>
      <c r="F197" s="79" t="s">
        <v>2056</v>
      </c>
      <c r="G197" s="79" t="s">
        <v>2057</v>
      </c>
      <c r="AU197" s="77" t="s">
        <v>2083</v>
      </c>
    </row>
    <row r="198" spans="1:47" hidden="1" x14ac:dyDescent="0.3">
      <c r="A198" s="79" t="s">
        <v>2084</v>
      </c>
      <c r="B198" s="79" t="s">
        <v>2085</v>
      </c>
      <c r="C198" s="79" t="s">
        <v>2086</v>
      </c>
      <c r="D198" s="79" t="s">
        <v>2086</v>
      </c>
      <c r="E198" s="79" t="s">
        <v>1457</v>
      </c>
      <c r="F198" s="79" t="s">
        <v>2056</v>
      </c>
      <c r="G198" s="79" t="s">
        <v>2057</v>
      </c>
      <c r="AU198" s="77" t="s">
        <v>2087</v>
      </c>
    </row>
    <row r="199" spans="1:47" hidden="1" x14ac:dyDescent="0.3">
      <c r="A199" s="79" t="s">
        <v>2088</v>
      </c>
      <c r="B199" s="79" t="s">
        <v>2089</v>
      </c>
      <c r="C199" s="79" t="s">
        <v>2090</v>
      </c>
      <c r="D199" s="79" t="s">
        <v>2090</v>
      </c>
      <c r="E199" s="79" t="s">
        <v>1457</v>
      </c>
      <c r="F199" s="79" t="s">
        <v>1439</v>
      </c>
      <c r="G199" s="79" t="s">
        <v>1440</v>
      </c>
      <c r="AU199" s="77" t="s">
        <v>2091</v>
      </c>
    </row>
    <row r="200" spans="1:47" hidden="1" x14ac:dyDescent="0.3">
      <c r="A200" s="79" t="s">
        <v>2092</v>
      </c>
      <c r="B200" s="79" t="s">
        <v>2093</v>
      </c>
      <c r="C200" s="79" t="s">
        <v>2094</v>
      </c>
      <c r="D200" s="79" t="s">
        <v>2094</v>
      </c>
      <c r="E200" s="79" t="s">
        <v>2002</v>
      </c>
      <c r="F200" s="79" t="s">
        <v>1439</v>
      </c>
      <c r="G200" s="79" t="s">
        <v>1440</v>
      </c>
      <c r="AU200" s="77" t="s">
        <v>2095</v>
      </c>
    </row>
    <row r="201" spans="1:47" hidden="1" x14ac:dyDescent="0.3">
      <c r="A201" s="79" t="s">
        <v>2096</v>
      </c>
      <c r="B201" s="79" t="s">
        <v>13</v>
      </c>
      <c r="C201" s="79" t="s">
        <v>2097</v>
      </c>
      <c r="D201" s="79" t="s">
        <v>2097</v>
      </c>
      <c r="E201" s="79" t="s">
        <v>1472</v>
      </c>
      <c r="F201" s="79" t="s">
        <v>1439</v>
      </c>
      <c r="G201" s="79" t="s">
        <v>1440</v>
      </c>
      <c r="AU201" s="77" t="s">
        <v>2098</v>
      </c>
    </row>
    <row r="202" spans="1:47" hidden="1" x14ac:dyDescent="0.3">
      <c r="A202" s="79" t="s">
        <v>2099</v>
      </c>
      <c r="B202" s="79" t="s">
        <v>1309</v>
      </c>
      <c r="C202" s="79" t="s">
        <v>2100</v>
      </c>
      <c r="D202" s="79" t="s">
        <v>2100</v>
      </c>
      <c r="E202" s="79" t="s">
        <v>1631</v>
      </c>
      <c r="F202" s="79" t="s">
        <v>2096</v>
      </c>
      <c r="G202" s="79" t="s">
        <v>13</v>
      </c>
      <c r="AU202" s="77" t="s">
        <v>2101</v>
      </c>
    </row>
    <row r="203" spans="1:47" hidden="1" x14ac:dyDescent="0.3">
      <c r="A203" s="79" t="s">
        <v>2102</v>
      </c>
      <c r="B203" s="79" t="s">
        <v>2103</v>
      </c>
      <c r="C203" s="79" t="s">
        <v>2104</v>
      </c>
      <c r="D203" s="79" t="s">
        <v>2104</v>
      </c>
      <c r="E203" s="79" t="s">
        <v>1457</v>
      </c>
      <c r="F203" s="79" t="s">
        <v>2096</v>
      </c>
      <c r="G203" s="79" t="s">
        <v>13</v>
      </c>
      <c r="AU203" s="77" t="s">
        <v>2105</v>
      </c>
    </row>
    <row r="204" spans="1:47" hidden="1" x14ac:dyDescent="0.3">
      <c r="A204" s="79" t="s">
        <v>2106</v>
      </c>
      <c r="B204" s="79" t="s">
        <v>2107</v>
      </c>
      <c r="C204" s="79" t="s">
        <v>2108</v>
      </c>
      <c r="D204" s="79" t="s">
        <v>2108</v>
      </c>
      <c r="E204" s="79" t="s">
        <v>1457</v>
      </c>
      <c r="F204" s="79" t="s">
        <v>2096</v>
      </c>
      <c r="G204" s="79" t="s">
        <v>13</v>
      </c>
      <c r="AU204" s="77" t="s">
        <v>2109</v>
      </c>
    </row>
    <row r="205" spans="1:47" hidden="1" x14ac:dyDescent="0.3">
      <c r="A205" s="79" t="s">
        <v>2110</v>
      </c>
      <c r="B205" s="79" t="s">
        <v>1310</v>
      </c>
      <c r="C205" s="79" t="s">
        <v>2111</v>
      </c>
      <c r="D205" s="79" t="s">
        <v>2111</v>
      </c>
      <c r="E205" s="79" t="s">
        <v>1631</v>
      </c>
      <c r="F205" s="79" t="s">
        <v>2096</v>
      </c>
      <c r="G205" s="79" t="s">
        <v>13</v>
      </c>
      <c r="AU205" s="77" t="s">
        <v>2112</v>
      </c>
    </row>
    <row r="206" spans="1:47" hidden="1" x14ac:dyDescent="0.3">
      <c r="A206" s="79" t="s">
        <v>2113</v>
      </c>
      <c r="B206" s="79" t="s">
        <v>1311</v>
      </c>
      <c r="C206" s="79" t="s">
        <v>2114</v>
      </c>
      <c r="D206" s="79" t="s">
        <v>2114</v>
      </c>
      <c r="E206" s="79" t="s">
        <v>1631</v>
      </c>
      <c r="F206" s="79" t="s">
        <v>2096</v>
      </c>
      <c r="G206" s="79" t="s">
        <v>13</v>
      </c>
      <c r="AU206" s="77" t="s">
        <v>2115</v>
      </c>
    </row>
    <row r="207" spans="1:47" hidden="1" x14ac:dyDescent="0.3">
      <c r="A207" s="79" t="s">
        <v>2116</v>
      </c>
      <c r="B207" s="79" t="s">
        <v>1312</v>
      </c>
      <c r="C207" s="79" t="s">
        <v>2117</v>
      </c>
      <c r="D207" s="79" t="s">
        <v>2117</v>
      </c>
      <c r="E207" s="79" t="s">
        <v>1631</v>
      </c>
      <c r="F207" s="79" t="s">
        <v>2096</v>
      </c>
      <c r="G207" s="79" t="s">
        <v>13</v>
      </c>
      <c r="AU207" s="77" t="s">
        <v>2118</v>
      </c>
    </row>
    <row r="208" spans="1:47" hidden="1" x14ac:dyDescent="0.3">
      <c r="A208" s="79" t="s">
        <v>2119</v>
      </c>
      <c r="B208" s="79" t="s">
        <v>2120</v>
      </c>
      <c r="C208" s="79" t="s">
        <v>2121</v>
      </c>
      <c r="D208" s="79" t="s">
        <v>2121</v>
      </c>
      <c r="E208" s="79" t="s">
        <v>1457</v>
      </c>
      <c r="F208" s="79" t="s">
        <v>2096</v>
      </c>
      <c r="G208" s="79" t="s">
        <v>13</v>
      </c>
      <c r="AU208" s="77" t="s">
        <v>2122</v>
      </c>
    </row>
    <row r="209" spans="1:47" hidden="1" x14ac:dyDescent="0.3">
      <c r="A209" s="79" t="s">
        <v>2123</v>
      </c>
      <c r="B209" s="79" t="s">
        <v>2124</v>
      </c>
      <c r="C209" s="79" t="s">
        <v>2125</v>
      </c>
      <c r="D209" s="79" t="s">
        <v>2125</v>
      </c>
      <c r="E209" s="79" t="s">
        <v>1457</v>
      </c>
      <c r="F209" s="79" t="s">
        <v>1439</v>
      </c>
      <c r="G209" s="79" t="s">
        <v>1440</v>
      </c>
      <c r="AU209" s="77" t="s">
        <v>2126</v>
      </c>
    </row>
    <row r="210" spans="1:47" hidden="1" x14ac:dyDescent="0.3">
      <c r="A210" s="79" t="s">
        <v>2127</v>
      </c>
      <c r="B210" s="79" t="s">
        <v>2128</v>
      </c>
      <c r="C210" s="79" t="s">
        <v>1122</v>
      </c>
      <c r="D210" s="79" t="s">
        <v>1122</v>
      </c>
      <c r="E210" s="79" t="s">
        <v>1457</v>
      </c>
      <c r="F210" s="79" t="s">
        <v>1439</v>
      </c>
      <c r="G210" s="79" t="s">
        <v>1440</v>
      </c>
      <c r="AU210" s="77" t="s">
        <v>2129</v>
      </c>
    </row>
    <row r="211" spans="1:47" hidden="1" x14ac:dyDescent="0.3">
      <c r="A211" s="79" t="s">
        <v>2130</v>
      </c>
      <c r="B211" s="79" t="s">
        <v>2131</v>
      </c>
      <c r="C211" s="79" t="s">
        <v>2132</v>
      </c>
      <c r="D211" s="79" t="s">
        <v>2132</v>
      </c>
      <c r="E211" s="79" t="s">
        <v>1457</v>
      </c>
      <c r="F211" s="79" t="s">
        <v>1439</v>
      </c>
      <c r="G211" s="79" t="s">
        <v>1440</v>
      </c>
      <c r="AU211" s="77" t="s">
        <v>2133</v>
      </c>
    </row>
    <row r="212" spans="1:47" hidden="1" x14ac:dyDescent="0.3">
      <c r="A212" s="79" t="s">
        <v>2134</v>
      </c>
      <c r="B212" s="79" t="s">
        <v>10</v>
      </c>
      <c r="C212" s="79" t="s">
        <v>801</v>
      </c>
      <c r="D212" s="79" t="s">
        <v>801</v>
      </c>
      <c r="E212" s="79" t="s">
        <v>772</v>
      </c>
      <c r="F212" s="79" t="s">
        <v>1439</v>
      </c>
      <c r="G212" s="79" t="s">
        <v>1440</v>
      </c>
      <c r="AU212" s="77" t="s">
        <v>2135</v>
      </c>
    </row>
    <row r="213" spans="1:47" hidden="1" x14ac:dyDescent="0.3">
      <c r="A213" s="79" t="s">
        <v>2136</v>
      </c>
      <c r="B213" s="79" t="s">
        <v>1313</v>
      </c>
      <c r="C213" s="79" t="s">
        <v>2137</v>
      </c>
      <c r="D213" s="79" t="s">
        <v>2137</v>
      </c>
      <c r="E213" s="79" t="s">
        <v>1444</v>
      </c>
      <c r="F213" s="79" t="s">
        <v>2138</v>
      </c>
      <c r="G213" s="79" t="s">
        <v>1327</v>
      </c>
      <c r="AU213" s="77" t="s">
        <v>2139</v>
      </c>
    </row>
    <row r="214" spans="1:47" hidden="1" x14ac:dyDescent="0.3">
      <c r="A214" s="79" t="s">
        <v>2140</v>
      </c>
      <c r="B214" s="79" t="s">
        <v>1314</v>
      </c>
      <c r="C214" s="79" t="s">
        <v>2141</v>
      </c>
      <c r="D214" s="79" t="s">
        <v>2141</v>
      </c>
      <c r="E214" s="79" t="s">
        <v>1444</v>
      </c>
      <c r="F214" s="79" t="s">
        <v>2142</v>
      </c>
      <c r="G214" s="79" t="s">
        <v>1328</v>
      </c>
      <c r="AU214" s="77" t="s">
        <v>2143</v>
      </c>
    </row>
    <row r="215" spans="1:47" hidden="1" x14ac:dyDescent="0.3">
      <c r="A215" s="79" t="s">
        <v>2144</v>
      </c>
      <c r="B215" s="79" t="s">
        <v>1315</v>
      </c>
      <c r="C215" s="79" t="s">
        <v>2145</v>
      </c>
      <c r="D215" s="79" t="s">
        <v>2145</v>
      </c>
      <c r="E215" s="79" t="s">
        <v>1472</v>
      </c>
      <c r="F215" s="79" t="s">
        <v>2138</v>
      </c>
      <c r="G215" s="79" t="s">
        <v>1327</v>
      </c>
      <c r="AU215" s="77" t="s">
        <v>2146</v>
      </c>
    </row>
    <row r="216" spans="1:47" hidden="1" x14ac:dyDescent="0.3">
      <c r="A216" s="79" t="s">
        <v>2147</v>
      </c>
      <c r="B216" s="79" t="s">
        <v>1316</v>
      </c>
      <c r="C216" s="79" t="s">
        <v>1014</v>
      </c>
      <c r="D216" s="79" t="s">
        <v>1014</v>
      </c>
      <c r="E216" s="79" t="s">
        <v>1457</v>
      </c>
      <c r="F216" s="79" t="s">
        <v>2134</v>
      </c>
      <c r="G216" s="79" t="s">
        <v>10</v>
      </c>
      <c r="AU216" s="77" t="s">
        <v>2148</v>
      </c>
    </row>
    <row r="217" spans="1:47" hidden="1" x14ac:dyDescent="0.3">
      <c r="A217" s="79" t="s">
        <v>2149</v>
      </c>
      <c r="B217" s="79" t="s">
        <v>2150</v>
      </c>
      <c r="C217" s="79" t="s">
        <v>2151</v>
      </c>
      <c r="D217" s="79" t="s">
        <v>2151</v>
      </c>
      <c r="E217" s="79" t="s">
        <v>1457</v>
      </c>
      <c r="F217" s="79" t="s">
        <v>2134</v>
      </c>
      <c r="G217" s="79" t="s">
        <v>10</v>
      </c>
      <c r="AU217" s="77" t="s">
        <v>2152</v>
      </c>
    </row>
    <row r="218" spans="1:47" hidden="1" x14ac:dyDescent="0.3">
      <c r="A218" s="79" t="s">
        <v>2138</v>
      </c>
      <c r="B218" s="79" t="s">
        <v>1327</v>
      </c>
      <c r="C218" s="79" t="s">
        <v>2153</v>
      </c>
      <c r="D218" s="79" t="s">
        <v>2153</v>
      </c>
      <c r="E218" s="79" t="s">
        <v>1472</v>
      </c>
      <c r="F218" s="79" t="s">
        <v>2134</v>
      </c>
      <c r="G218" s="79" t="s">
        <v>10</v>
      </c>
      <c r="AU218" s="77" t="s">
        <v>2154</v>
      </c>
    </row>
    <row r="219" spans="1:47" hidden="1" x14ac:dyDescent="0.3">
      <c r="A219" s="79" t="s">
        <v>2155</v>
      </c>
      <c r="B219" s="79" t="s">
        <v>2156</v>
      </c>
      <c r="C219" s="79" t="s">
        <v>1018</v>
      </c>
      <c r="D219" s="79" t="s">
        <v>1018</v>
      </c>
      <c r="E219" s="79" t="s">
        <v>1457</v>
      </c>
      <c r="F219" s="79" t="s">
        <v>2134</v>
      </c>
      <c r="G219" s="79" t="s">
        <v>10</v>
      </c>
      <c r="AU219" s="77" t="s">
        <v>2157</v>
      </c>
    </row>
    <row r="220" spans="1:47" hidden="1" x14ac:dyDescent="0.3">
      <c r="A220" s="79" t="s">
        <v>2158</v>
      </c>
      <c r="B220" s="79" t="s">
        <v>1317</v>
      </c>
      <c r="C220" s="79" t="s">
        <v>2159</v>
      </c>
      <c r="D220" s="79" t="s">
        <v>2159</v>
      </c>
      <c r="E220" s="79" t="s">
        <v>1745</v>
      </c>
      <c r="F220" s="79" t="s">
        <v>2134</v>
      </c>
      <c r="G220" s="79" t="s">
        <v>10</v>
      </c>
      <c r="AU220" s="77" t="s">
        <v>2160</v>
      </c>
    </row>
    <row r="221" spans="1:47" hidden="1" x14ac:dyDescent="0.3">
      <c r="A221" s="79" t="s">
        <v>2161</v>
      </c>
      <c r="B221" s="79" t="s">
        <v>2162</v>
      </c>
      <c r="C221" s="79" t="s">
        <v>2163</v>
      </c>
      <c r="D221" s="79" t="s">
        <v>2163</v>
      </c>
      <c r="E221" s="79" t="s">
        <v>1472</v>
      </c>
      <c r="F221" s="79" t="s">
        <v>2138</v>
      </c>
      <c r="G221" s="79" t="s">
        <v>1327</v>
      </c>
      <c r="AU221" s="77" t="s">
        <v>2164</v>
      </c>
    </row>
    <row r="222" spans="1:47" hidden="1" x14ac:dyDescent="0.3">
      <c r="A222" s="79" t="s">
        <v>2142</v>
      </c>
      <c r="B222" s="79" t="s">
        <v>1328</v>
      </c>
      <c r="C222" s="79" t="s">
        <v>2165</v>
      </c>
      <c r="D222" s="79" t="s">
        <v>2165</v>
      </c>
      <c r="E222" s="79" t="s">
        <v>1472</v>
      </c>
      <c r="F222" s="79" t="s">
        <v>2134</v>
      </c>
      <c r="G222" s="79" t="s">
        <v>10</v>
      </c>
      <c r="AU222" s="77" t="s">
        <v>2166</v>
      </c>
    </row>
    <row r="223" spans="1:47" hidden="1" x14ac:dyDescent="0.3">
      <c r="A223" s="79" t="s">
        <v>2167</v>
      </c>
      <c r="B223" s="79" t="s">
        <v>1318</v>
      </c>
      <c r="C223" s="79" t="s">
        <v>2168</v>
      </c>
      <c r="D223" s="79" t="s">
        <v>2168</v>
      </c>
      <c r="E223" s="79" t="s">
        <v>1444</v>
      </c>
      <c r="F223" s="79" t="s">
        <v>2142</v>
      </c>
      <c r="G223" s="79" t="s">
        <v>1328</v>
      </c>
      <c r="AU223" s="77" t="s">
        <v>2169</v>
      </c>
    </row>
    <row r="224" spans="1:47" hidden="1" x14ac:dyDescent="0.3">
      <c r="A224" s="79" t="s">
        <v>2170</v>
      </c>
      <c r="B224" s="79" t="s">
        <v>2171</v>
      </c>
      <c r="C224" s="79" t="s">
        <v>2172</v>
      </c>
      <c r="D224" s="79" t="s">
        <v>2172</v>
      </c>
      <c r="E224" s="79" t="s">
        <v>1457</v>
      </c>
      <c r="F224" s="79" t="s">
        <v>2134</v>
      </c>
      <c r="G224" s="79" t="s">
        <v>10</v>
      </c>
      <c r="AU224" s="77" t="s">
        <v>2173</v>
      </c>
    </row>
    <row r="225" spans="1:47" hidden="1" x14ac:dyDescent="0.3">
      <c r="A225" s="79" t="s">
        <v>2174</v>
      </c>
      <c r="B225" s="79" t="s">
        <v>1319</v>
      </c>
      <c r="C225" s="79" t="s">
        <v>2175</v>
      </c>
      <c r="D225" s="79" t="s">
        <v>2175</v>
      </c>
      <c r="E225" s="79" t="s">
        <v>1444</v>
      </c>
      <c r="F225" s="79" t="s">
        <v>2142</v>
      </c>
      <c r="G225" s="79" t="s">
        <v>1328</v>
      </c>
      <c r="AU225" s="77" t="s">
        <v>2176</v>
      </c>
    </row>
    <row r="226" spans="1:47" hidden="1" x14ac:dyDescent="0.3">
      <c r="A226" s="79" t="s">
        <v>2177</v>
      </c>
      <c r="B226" s="79" t="s">
        <v>2178</v>
      </c>
      <c r="C226" s="79" t="s">
        <v>934</v>
      </c>
      <c r="D226" s="79" t="s">
        <v>934</v>
      </c>
      <c r="E226" s="79" t="s">
        <v>1457</v>
      </c>
      <c r="F226" s="79" t="s">
        <v>2134</v>
      </c>
      <c r="G226" s="79" t="s">
        <v>10</v>
      </c>
      <c r="AU226" s="77" t="s">
        <v>2179</v>
      </c>
    </row>
    <row r="227" spans="1:47" hidden="1" x14ac:dyDescent="0.3">
      <c r="A227" s="79" t="s">
        <v>2180</v>
      </c>
      <c r="B227" s="79" t="s">
        <v>1320</v>
      </c>
      <c r="C227" s="79" t="s">
        <v>2181</v>
      </c>
      <c r="D227" s="79" t="s">
        <v>2181</v>
      </c>
      <c r="E227" s="79" t="s">
        <v>1444</v>
      </c>
      <c r="F227" s="79" t="s">
        <v>2142</v>
      </c>
      <c r="G227" s="79" t="s">
        <v>1328</v>
      </c>
      <c r="AU227" s="77" t="s">
        <v>2182</v>
      </c>
    </row>
    <row r="228" spans="1:47" hidden="1" x14ac:dyDescent="0.3">
      <c r="A228" s="79" t="s">
        <v>2183</v>
      </c>
      <c r="B228" s="79" t="s">
        <v>1321</v>
      </c>
      <c r="C228" s="79" t="s">
        <v>2184</v>
      </c>
      <c r="D228" s="79" t="s">
        <v>2184</v>
      </c>
      <c r="E228" s="79" t="s">
        <v>1444</v>
      </c>
      <c r="F228" s="79" t="s">
        <v>2138</v>
      </c>
      <c r="G228" s="79" t="s">
        <v>1327</v>
      </c>
      <c r="AU228" s="77" t="s">
        <v>2185</v>
      </c>
    </row>
    <row r="229" spans="1:47" hidden="1" x14ac:dyDescent="0.3">
      <c r="A229" s="79" t="s">
        <v>2186</v>
      </c>
      <c r="B229" s="79" t="s">
        <v>1322</v>
      </c>
      <c r="C229" s="79" t="s">
        <v>2187</v>
      </c>
      <c r="D229" s="79" t="s">
        <v>2187</v>
      </c>
      <c r="E229" s="79" t="s">
        <v>1444</v>
      </c>
      <c r="F229" s="79" t="s">
        <v>2142</v>
      </c>
      <c r="G229" s="79" t="s">
        <v>1328</v>
      </c>
      <c r="AU229" s="77" t="s">
        <v>2188</v>
      </c>
    </row>
    <row r="230" spans="1:47" hidden="1" x14ac:dyDescent="0.3">
      <c r="A230" s="79" t="s">
        <v>2189</v>
      </c>
      <c r="B230" s="79" t="s">
        <v>1323</v>
      </c>
      <c r="C230" s="79" t="s">
        <v>2190</v>
      </c>
      <c r="D230" s="79" t="s">
        <v>2190</v>
      </c>
      <c r="E230" s="79" t="s">
        <v>1444</v>
      </c>
      <c r="F230" s="79" t="s">
        <v>2142</v>
      </c>
      <c r="G230" s="79" t="s">
        <v>1328</v>
      </c>
      <c r="AU230" s="77" t="s">
        <v>2191</v>
      </c>
    </row>
    <row r="231" spans="1:47" hidden="1" x14ac:dyDescent="0.3">
      <c r="A231" s="79" t="s">
        <v>2192</v>
      </c>
      <c r="B231" s="79" t="s">
        <v>1324</v>
      </c>
      <c r="C231" s="79" t="s">
        <v>2193</v>
      </c>
      <c r="D231" s="79" t="s">
        <v>2193</v>
      </c>
      <c r="E231" s="79" t="s">
        <v>1444</v>
      </c>
      <c r="F231" s="79" t="s">
        <v>2142</v>
      </c>
      <c r="G231" s="79" t="s">
        <v>1328</v>
      </c>
      <c r="AU231" s="77" t="s">
        <v>2194</v>
      </c>
    </row>
    <row r="232" spans="1:47" hidden="1" x14ac:dyDescent="0.3">
      <c r="A232" s="79" t="s">
        <v>2195</v>
      </c>
      <c r="B232" s="79" t="s">
        <v>1325</v>
      </c>
      <c r="C232" s="79" t="s">
        <v>2196</v>
      </c>
      <c r="D232" s="79" t="s">
        <v>2196</v>
      </c>
      <c r="E232" s="79" t="s">
        <v>1472</v>
      </c>
      <c r="F232" s="79" t="s">
        <v>2134</v>
      </c>
      <c r="G232" s="79" t="s">
        <v>10</v>
      </c>
      <c r="AU232" s="77" t="s">
        <v>2197</v>
      </c>
    </row>
    <row r="233" spans="1:47" hidden="1" x14ac:dyDescent="0.3">
      <c r="A233" s="79" t="s">
        <v>2198</v>
      </c>
      <c r="B233" s="79" t="s">
        <v>2199</v>
      </c>
      <c r="C233" s="79" t="s">
        <v>2200</v>
      </c>
      <c r="D233" s="79" t="s">
        <v>2200</v>
      </c>
      <c r="E233" s="79" t="s">
        <v>1465</v>
      </c>
      <c r="F233" s="79" t="s">
        <v>2134</v>
      </c>
      <c r="G233" s="79" t="s">
        <v>10</v>
      </c>
      <c r="AU233" s="77" t="s">
        <v>2201</v>
      </c>
    </row>
    <row r="234" spans="1:47" hidden="1" x14ac:dyDescent="0.3">
      <c r="A234" s="79" t="s">
        <v>2202</v>
      </c>
      <c r="B234" s="79" t="s">
        <v>1326</v>
      </c>
      <c r="C234" s="79" t="s">
        <v>2203</v>
      </c>
      <c r="D234" s="79" t="s">
        <v>2203</v>
      </c>
      <c r="E234" s="79" t="s">
        <v>1472</v>
      </c>
      <c r="F234" s="79" t="s">
        <v>2134</v>
      </c>
      <c r="G234" s="79" t="s">
        <v>10</v>
      </c>
      <c r="AU234" s="77" t="s">
        <v>2204</v>
      </c>
    </row>
    <row r="235" spans="1:47" hidden="1" x14ac:dyDescent="0.3">
      <c r="A235" s="79" t="s">
        <v>2205</v>
      </c>
      <c r="B235" s="79" t="s">
        <v>2206</v>
      </c>
      <c r="C235" s="79" t="s">
        <v>2207</v>
      </c>
      <c r="D235" s="79" t="s">
        <v>2207</v>
      </c>
      <c r="E235" s="79" t="s">
        <v>2208</v>
      </c>
      <c r="F235" s="79" t="s">
        <v>2134</v>
      </c>
      <c r="G235" s="79" t="s">
        <v>10</v>
      </c>
      <c r="AU235" s="77" t="s">
        <v>2209</v>
      </c>
    </row>
    <row r="236" spans="1:47" hidden="1" x14ac:dyDescent="0.3">
      <c r="A236" s="79" t="s">
        <v>2210</v>
      </c>
      <c r="B236" s="79" t="s">
        <v>2211</v>
      </c>
      <c r="C236" s="79" t="s">
        <v>2212</v>
      </c>
      <c r="D236" s="79" t="s">
        <v>2212</v>
      </c>
      <c r="E236" s="79" t="s">
        <v>1457</v>
      </c>
      <c r="F236" s="79" t="s">
        <v>2134</v>
      </c>
      <c r="G236" s="79" t="s">
        <v>10</v>
      </c>
      <c r="AU236" s="77" t="s">
        <v>2213</v>
      </c>
    </row>
    <row r="237" spans="1:47" hidden="1" x14ac:dyDescent="0.3">
      <c r="A237" s="79" t="s">
        <v>2214</v>
      </c>
      <c r="B237" s="79" t="s">
        <v>2215</v>
      </c>
      <c r="C237" s="79" t="s">
        <v>2216</v>
      </c>
      <c r="D237" s="79" t="s">
        <v>2216</v>
      </c>
      <c r="E237" s="79" t="s">
        <v>1621</v>
      </c>
      <c r="F237" s="79" t="s">
        <v>1439</v>
      </c>
      <c r="G237" s="79" t="s">
        <v>1440</v>
      </c>
      <c r="AU237" s="77" t="s">
        <v>2217</v>
      </c>
    </row>
    <row r="238" spans="1:47" hidden="1" x14ac:dyDescent="0.3">
      <c r="A238" s="79" t="s">
        <v>2218</v>
      </c>
      <c r="B238" s="79" t="s">
        <v>2219</v>
      </c>
      <c r="C238" s="79" t="s">
        <v>2220</v>
      </c>
      <c r="D238" s="79" t="s">
        <v>2220</v>
      </c>
      <c r="E238" s="79" t="s">
        <v>2221</v>
      </c>
      <c r="F238" s="79" t="s">
        <v>1439</v>
      </c>
      <c r="G238" s="79" t="s">
        <v>1440</v>
      </c>
      <c r="AU238" s="77" t="s">
        <v>2222</v>
      </c>
    </row>
    <row r="239" spans="1:47" x14ac:dyDescent="0.3">
      <c r="A239" s="79" t="s">
        <v>2223</v>
      </c>
      <c r="B239" s="79" t="s">
        <v>7</v>
      </c>
      <c r="C239" s="79" t="s">
        <v>798</v>
      </c>
      <c r="D239" s="79" t="s">
        <v>798</v>
      </c>
      <c r="E239" s="79" t="s">
        <v>772</v>
      </c>
      <c r="F239" s="79" t="s">
        <v>1439</v>
      </c>
      <c r="G239" s="79" t="s">
        <v>1440</v>
      </c>
      <c r="AU239" s="77" t="s">
        <v>2224</v>
      </c>
    </row>
    <row r="240" spans="1:47" x14ac:dyDescent="0.3">
      <c r="A240" s="79" t="s">
        <v>2225</v>
      </c>
      <c r="B240" s="79" t="s">
        <v>2226</v>
      </c>
      <c r="C240" s="79" t="s">
        <v>2227</v>
      </c>
      <c r="D240" s="79" t="s">
        <v>3003</v>
      </c>
      <c r="E240" s="79" t="s">
        <v>1631</v>
      </c>
      <c r="F240" s="79" t="s">
        <v>2228</v>
      </c>
      <c r="G240" s="79" t="s">
        <v>1337</v>
      </c>
      <c r="AU240" s="77" t="s">
        <v>2229</v>
      </c>
    </row>
    <row r="241" spans="1:47" x14ac:dyDescent="0.3">
      <c r="A241" s="79" t="s">
        <v>2230</v>
      </c>
      <c r="B241" s="79" t="s">
        <v>1330</v>
      </c>
      <c r="C241" s="79" t="s">
        <v>2231</v>
      </c>
      <c r="D241" s="79" t="s">
        <v>106</v>
      </c>
      <c r="E241" s="79" t="s">
        <v>1457</v>
      </c>
      <c r="F241" s="79" t="s">
        <v>2223</v>
      </c>
      <c r="G241" s="79" t="s">
        <v>7</v>
      </c>
      <c r="AU241" s="77" t="s">
        <v>2232</v>
      </c>
    </row>
    <row r="242" spans="1:47" x14ac:dyDescent="0.3">
      <c r="A242" s="79" t="s">
        <v>2233</v>
      </c>
      <c r="B242" s="79" t="s">
        <v>1339</v>
      </c>
      <c r="C242" s="79" t="s">
        <v>2234</v>
      </c>
      <c r="D242" s="79" t="s">
        <v>3004</v>
      </c>
      <c r="E242" s="79" t="s">
        <v>1631</v>
      </c>
      <c r="F242" s="79" t="s">
        <v>2223</v>
      </c>
      <c r="G242" s="79" t="s">
        <v>7</v>
      </c>
      <c r="AU242" s="77" t="s">
        <v>2235</v>
      </c>
    </row>
    <row r="243" spans="1:47" x14ac:dyDescent="0.3">
      <c r="A243" s="79" t="s">
        <v>2236</v>
      </c>
      <c r="B243" s="79" t="s">
        <v>1331</v>
      </c>
      <c r="C243" s="79" t="s">
        <v>2237</v>
      </c>
      <c r="D243" s="79" t="s">
        <v>3005</v>
      </c>
      <c r="E243" s="79" t="s">
        <v>1457</v>
      </c>
      <c r="F243" s="79" t="s">
        <v>2223</v>
      </c>
      <c r="G243" s="79" t="s">
        <v>7</v>
      </c>
      <c r="AU243" s="77" t="s">
        <v>2238</v>
      </c>
    </row>
    <row r="244" spans="1:47" x14ac:dyDescent="0.3">
      <c r="A244" s="79" t="s">
        <v>2239</v>
      </c>
      <c r="B244" s="79" t="s">
        <v>1332</v>
      </c>
      <c r="C244" s="79" t="s">
        <v>2240</v>
      </c>
      <c r="D244" s="79" t="s">
        <v>3006</v>
      </c>
      <c r="E244" s="79" t="s">
        <v>1472</v>
      </c>
      <c r="F244" s="79" t="s">
        <v>2223</v>
      </c>
      <c r="G244" s="79" t="s">
        <v>7</v>
      </c>
      <c r="AU244" s="77" t="s">
        <v>2241</v>
      </c>
    </row>
    <row r="245" spans="1:47" x14ac:dyDescent="0.3">
      <c r="A245" s="79" t="s">
        <v>2242</v>
      </c>
      <c r="B245" s="79" t="s">
        <v>2243</v>
      </c>
      <c r="C245" s="79" t="s">
        <v>2244</v>
      </c>
      <c r="D245" s="79" t="s">
        <v>3007</v>
      </c>
      <c r="E245" s="79" t="s">
        <v>1631</v>
      </c>
      <c r="F245" s="79" t="s">
        <v>2228</v>
      </c>
      <c r="G245" s="79" t="s">
        <v>1337</v>
      </c>
      <c r="AU245" s="77" t="s">
        <v>2245</v>
      </c>
    </row>
    <row r="246" spans="1:47" x14ac:dyDescent="0.3">
      <c r="A246" s="79" t="s">
        <v>2246</v>
      </c>
      <c r="B246" s="79" t="s">
        <v>1333</v>
      </c>
      <c r="C246" s="79" t="s">
        <v>2247</v>
      </c>
      <c r="D246" s="79" t="s">
        <v>3008</v>
      </c>
      <c r="E246" s="79" t="s">
        <v>1472</v>
      </c>
      <c r="F246" s="79" t="s">
        <v>2223</v>
      </c>
      <c r="G246" s="79" t="s">
        <v>7</v>
      </c>
      <c r="AU246" s="77" t="s">
        <v>2248</v>
      </c>
    </row>
    <row r="247" spans="1:47" x14ac:dyDescent="0.3">
      <c r="A247" s="79" t="s">
        <v>2249</v>
      </c>
      <c r="B247" s="79" t="s">
        <v>2250</v>
      </c>
      <c r="C247" s="79" t="s">
        <v>2251</v>
      </c>
      <c r="D247" s="79" t="s">
        <v>3009</v>
      </c>
      <c r="E247" s="79" t="s">
        <v>1631</v>
      </c>
      <c r="F247" s="79" t="s">
        <v>2228</v>
      </c>
      <c r="G247" s="79" t="s">
        <v>1337</v>
      </c>
      <c r="AU247" s="77" t="s">
        <v>2252</v>
      </c>
    </row>
    <row r="248" spans="1:47" x14ac:dyDescent="0.3">
      <c r="A248" s="79" t="s">
        <v>2253</v>
      </c>
      <c r="B248" s="79" t="s">
        <v>2254</v>
      </c>
      <c r="C248" s="79" t="s">
        <v>2255</v>
      </c>
      <c r="D248" s="79" t="s">
        <v>108</v>
      </c>
      <c r="E248" s="79" t="s">
        <v>1457</v>
      </c>
      <c r="F248" s="79" t="s">
        <v>2223</v>
      </c>
      <c r="G248" s="79" t="s">
        <v>7</v>
      </c>
      <c r="AU248" s="77" t="s">
        <v>2256</v>
      </c>
    </row>
    <row r="249" spans="1:47" x14ac:dyDescent="0.3">
      <c r="A249" s="79" t="s">
        <v>2257</v>
      </c>
      <c r="B249" s="79" t="s">
        <v>1334</v>
      </c>
      <c r="C249" s="79" t="s">
        <v>2258</v>
      </c>
      <c r="D249" s="79" t="s">
        <v>3010</v>
      </c>
      <c r="E249" s="79" t="s">
        <v>1472</v>
      </c>
      <c r="F249" s="79" t="s">
        <v>2223</v>
      </c>
      <c r="G249" s="79" t="s">
        <v>7</v>
      </c>
      <c r="AU249" s="77" t="s">
        <v>2259</v>
      </c>
    </row>
    <row r="250" spans="1:47" x14ac:dyDescent="0.3">
      <c r="A250" s="79" t="s">
        <v>2260</v>
      </c>
      <c r="B250" s="79" t="s">
        <v>2261</v>
      </c>
      <c r="C250" s="79" t="s">
        <v>2262</v>
      </c>
      <c r="D250" s="79" t="s">
        <v>3011</v>
      </c>
      <c r="E250" s="79" t="s">
        <v>1631</v>
      </c>
      <c r="F250" s="79" t="s">
        <v>2228</v>
      </c>
      <c r="G250" s="79" t="s">
        <v>1337</v>
      </c>
      <c r="AU250" s="77" t="s">
        <v>2263</v>
      </c>
    </row>
    <row r="251" spans="1:47" x14ac:dyDescent="0.3">
      <c r="A251" s="79" t="s">
        <v>2264</v>
      </c>
      <c r="B251" s="79" t="s">
        <v>2265</v>
      </c>
      <c r="C251" s="79" t="s">
        <v>2266</v>
      </c>
      <c r="D251" s="79" t="s">
        <v>3012</v>
      </c>
      <c r="E251" s="79" t="s">
        <v>1631</v>
      </c>
      <c r="F251" s="79" t="s">
        <v>2228</v>
      </c>
      <c r="G251" s="79" t="s">
        <v>1337</v>
      </c>
      <c r="AU251" s="77" t="s">
        <v>2267</v>
      </c>
    </row>
    <row r="252" spans="1:47" x14ac:dyDescent="0.3">
      <c r="A252" s="79" t="s">
        <v>2268</v>
      </c>
      <c r="B252" s="79" t="s">
        <v>2269</v>
      </c>
      <c r="C252" s="79" t="s">
        <v>2270</v>
      </c>
      <c r="D252" s="79" t="s">
        <v>984</v>
      </c>
      <c r="E252" s="79" t="s">
        <v>1457</v>
      </c>
      <c r="F252" s="79" t="s">
        <v>2223</v>
      </c>
      <c r="G252" s="79" t="s">
        <v>7</v>
      </c>
      <c r="AU252" s="77" t="s">
        <v>2271</v>
      </c>
    </row>
    <row r="253" spans="1:47" x14ac:dyDescent="0.3">
      <c r="A253" s="79" t="s">
        <v>2272</v>
      </c>
      <c r="B253" s="79" t="s">
        <v>1336</v>
      </c>
      <c r="C253" s="79" t="s">
        <v>2273</v>
      </c>
      <c r="D253" s="79" t="s">
        <v>3013</v>
      </c>
      <c r="E253" s="79" t="s">
        <v>1472</v>
      </c>
      <c r="F253" s="79" t="s">
        <v>2223</v>
      </c>
      <c r="G253" s="79" t="s">
        <v>7</v>
      </c>
      <c r="AU253" s="77" t="s">
        <v>2274</v>
      </c>
    </row>
    <row r="254" spans="1:47" x14ac:dyDescent="0.3">
      <c r="A254" s="79" t="s">
        <v>2228</v>
      </c>
      <c r="B254" s="79" t="s">
        <v>1337</v>
      </c>
      <c r="C254" s="79" t="s">
        <v>2275</v>
      </c>
      <c r="D254" s="79" t="s">
        <v>3014</v>
      </c>
      <c r="E254" s="79" t="s">
        <v>1472</v>
      </c>
      <c r="F254" s="79" t="s">
        <v>2223</v>
      </c>
      <c r="G254" s="79" t="s">
        <v>7</v>
      </c>
      <c r="AU254" s="77" t="s">
        <v>2276</v>
      </c>
    </row>
    <row r="255" spans="1:47" x14ac:dyDescent="0.3">
      <c r="A255" s="79" t="s">
        <v>2277</v>
      </c>
      <c r="B255" s="79" t="s">
        <v>2278</v>
      </c>
      <c r="C255" s="79" t="s">
        <v>2279</v>
      </c>
      <c r="D255" s="79" t="s">
        <v>3015</v>
      </c>
      <c r="E255" s="79" t="s">
        <v>1631</v>
      </c>
      <c r="F255" s="79" t="s">
        <v>2228</v>
      </c>
      <c r="G255" s="79" t="s">
        <v>1337</v>
      </c>
      <c r="AU255" s="77" t="s">
        <v>2280</v>
      </c>
    </row>
    <row r="256" spans="1:47" x14ac:dyDescent="0.3">
      <c r="A256" s="79" t="s">
        <v>2281</v>
      </c>
      <c r="B256" s="79" t="s">
        <v>2282</v>
      </c>
      <c r="C256" s="79" t="s">
        <v>2283</v>
      </c>
      <c r="D256" s="79" t="s">
        <v>3016</v>
      </c>
      <c r="E256" s="79" t="s">
        <v>1457</v>
      </c>
      <c r="F256" s="79" t="s">
        <v>2223</v>
      </c>
      <c r="G256" s="79" t="s">
        <v>7</v>
      </c>
      <c r="AU256" s="77" t="s">
        <v>2284</v>
      </c>
    </row>
    <row r="257" spans="1:47" x14ac:dyDescent="0.3">
      <c r="A257" s="79" t="s">
        <v>2285</v>
      </c>
      <c r="B257" s="79" t="s">
        <v>1340</v>
      </c>
      <c r="C257" s="79" t="s">
        <v>2286</v>
      </c>
      <c r="D257" s="79" t="s">
        <v>2997</v>
      </c>
      <c r="E257" s="79" t="s">
        <v>1472</v>
      </c>
      <c r="F257" s="79" t="s">
        <v>2223</v>
      </c>
      <c r="G257" s="79" t="s">
        <v>7</v>
      </c>
      <c r="AU257" s="77" t="s">
        <v>2287</v>
      </c>
    </row>
    <row r="258" spans="1:47" x14ac:dyDescent="0.3">
      <c r="A258" s="79" t="s">
        <v>2288</v>
      </c>
      <c r="B258" s="79" t="s">
        <v>1341</v>
      </c>
      <c r="C258" s="79" t="s">
        <v>2289</v>
      </c>
      <c r="D258" s="79" t="s">
        <v>3000</v>
      </c>
      <c r="E258" s="79" t="s">
        <v>1472</v>
      </c>
      <c r="F258" s="79" t="s">
        <v>2223</v>
      </c>
      <c r="G258" s="79" t="s">
        <v>7</v>
      </c>
      <c r="AU258" s="77" t="s">
        <v>2290</v>
      </c>
    </row>
    <row r="259" spans="1:47" x14ac:dyDescent="0.3">
      <c r="A259" s="79" t="s">
        <v>2291</v>
      </c>
      <c r="B259" s="79" t="s">
        <v>2292</v>
      </c>
      <c r="C259" s="79" t="s">
        <v>2293</v>
      </c>
      <c r="D259" s="79" t="s">
        <v>3017</v>
      </c>
      <c r="E259" s="79" t="s">
        <v>1631</v>
      </c>
      <c r="F259" s="79" t="s">
        <v>2228</v>
      </c>
      <c r="G259" s="79" t="s">
        <v>1337</v>
      </c>
      <c r="AU259" s="77" t="s">
        <v>2294</v>
      </c>
    </row>
    <row r="260" spans="1:47" x14ac:dyDescent="0.3">
      <c r="A260" s="79" t="s">
        <v>2295</v>
      </c>
      <c r="B260" s="79" t="s">
        <v>2296</v>
      </c>
      <c r="C260" s="79" t="s">
        <v>2297</v>
      </c>
      <c r="D260" s="79" t="s">
        <v>3018</v>
      </c>
      <c r="E260" s="79" t="s">
        <v>1631</v>
      </c>
      <c r="F260" s="79" t="s">
        <v>2228</v>
      </c>
      <c r="G260" s="79" t="s">
        <v>1337</v>
      </c>
      <c r="AU260" s="77" t="s">
        <v>2298</v>
      </c>
    </row>
    <row r="261" spans="1:47" x14ac:dyDescent="0.3">
      <c r="A261" s="79" t="s">
        <v>2299</v>
      </c>
      <c r="B261" s="79" t="s">
        <v>1338</v>
      </c>
      <c r="C261" s="79" t="s">
        <v>2300</v>
      </c>
      <c r="D261" s="79" t="s">
        <v>107</v>
      </c>
      <c r="E261" s="79" t="s">
        <v>1457</v>
      </c>
      <c r="F261" s="79" t="s">
        <v>2223</v>
      </c>
      <c r="G261" s="79" t="s">
        <v>7</v>
      </c>
      <c r="AU261" s="77" t="s">
        <v>2301</v>
      </c>
    </row>
    <row r="262" spans="1:47" hidden="1" x14ac:dyDescent="0.3">
      <c r="A262" s="79" t="s">
        <v>2302</v>
      </c>
      <c r="B262" s="79" t="s">
        <v>2303</v>
      </c>
      <c r="C262" s="79" t="s">
        <v>2304</v>
      </c>
      <c r="D262" s="79" t="s">
        <v>2304</v>
      </c>
      <c r="E262" s="79" t="s">
        <v>1457</v>
      </c>
      <c r="F262" s="79" t="s">
        <v>1439</v>
      </c>
      <c r="G262" s="79" t="s">
        <v>1440</v>
      </c>
      <c r="AU262" s="77" t="s">
        <v>2305</v>
      </c>
    </row>
    <row r="263" spans="1:47" hidden="1" x14ac:dyDescent="0.3">
      <c r="A263" s="79" t="s">
        <v>2306</v>
      </c>
      <c r="B263" s="79" t="s">
        <v>2307</v>
      </c>
      <c r="C263" s="79" t="s">
        <v>2308</v>
      </c>
      <c r="D263" s="79" t="s">
        <v>2308</v>
      </c>
      <c r="E263" s="79" t="s">
        <v>1457</v>
      </c>
      <c r="F263" s="79" t="s">
        <v>1439</v>
      </c>
      <c r="G263" s="79" t="s">
        <v>1440</v>
      </c>
      <c r="AU263" s="77" t="s">
        <v>2309</v>
      </c>
    </row>
    <row r="264" spans="1:47" hidden="1" x14ac:dyDescent="0.3">
      <c r="A264" s="79" t="s">
        <v>2310</v>
      </c>
      <c r="B264" s="79" t="s">
        <v>8</v>
      </c>
      <c r="C264" s="79" t="s">
        <v>799</v>
      </c>
      <c r="D264" s="79" t="s">
        <v>799</v>
      </c>
      <c r="E264" s="79" t="s">
        <v>772</v>
      </c>
      <c r="F264" s="79" t="s">
        <v>1439</v>
      </c>
      <c r="G264" s="79" t="s">
        <v>1440</v>
      </c>
      <c r="AU264" s="77" t="s">
        <v>2311</v>
      </c>
    </row>
    <row r="265" spans="1:47" hidden="1" x14ac:dyDescent="0.3">
      <c r="A265" s="79" t="s">
        <v>2312</v>
      </c>
      <c r="B265" s="79" t="s">
        <v>2313</v>
      </c>
      <c r="C265" s="79" t="s">
        <v>2314</v>
      </c>
      <c r="D265" s="79" t="s">
        <v>2314</v>
      </c>
      <c r="E265" s="79" t="s">
        <v>1457</v>
      </c>
      <c r="F265" s="79" t="s">
        <v>2310</v>
      </c>
      <c r="G265" s="79" t="s">
        <v>8</v>
      </c>
      <c r="AU265" s="77" t="s">
        <v>2315</v>
      </c>
    </row>
    <row r="266" spans="1:47" hidden="1" x14ac:dyDescent="0.3">
      <c r="A266" s="79" t="s">
        <v>2316</v>
      </c>
      <c r="B266" s="79" t="s">
        <v>1343</v>
      </c>
      <c r="C266" s="79" t="s">
        <v>2317</v>
      </c>
      <c r="D266" s="79" t="s">
        <v>2317</v>
      </c>
      <c r="E266" s="79" t="s">
        <v>1631</v>
      </c>
      <c r="F266" s="79" t="s">
        <v>2318</v>
      </c>
      <c r="G266" s="79" t="s">
        <v>1358</v>
      </c>
      <c r="AU266" s="77" t="s">
        <v>2319</v>
      </c>
    </row>
    <row r="267" spans="1:47" hidden="1" x14ac:dyDescent="0.3">
      <c r="A267" s="79" t="s">
        <v>2320</v>
      </c>
      <c r="B267" s="79" t="s">
        <v>1344</v>
      </c>
      <c r="C267" s="79" t="s">
        <v>2321</v>
      </c>
      <c r="D267" s="79" t="s">
        <v>2321</v>
      </c>
      <c r="E267" s="79" t="s">
        <v>1631</v>
      </c>
      <c r="F267" s="79" t="s">
        <v>2322</v>
      </c>
      <c r="G267" s="79" t="s">
        <v>2323</v>
      </c>
      <c r="AU267" s="77" t="s">
        <v>2324</v>
      </c>
    </row>
    <row r="268" spans="1:47" hidden="1" x14ac:dyDescent="0.3">
      <c r="A268" s="79" t="s">
        <v>2325</v>
      </c>
      <c r="B268" s="79" t="s">
        <v>2326</v>
      </c>
      <c r="C268" s="79" t="s">
        <v>2327</v>
      </c>
      <c r="D268" s="79" t="s">
        <v>2327</v>
      </c>
      <c r="E268" s="79" t="s">
        <v>1472</v>
      </c>
      <c r="F268" s="79" t="s">
        <v>2310</v>
      </c>
      <c r="G268" s="79" t="s">
        <v>8</v>
      </c>
      <c r="AU268" s="77" t="s">
        <v>2328</v>
      </c>
    </row>
    <row r="269" spans="1:47" hidden="1" x14ac:dyDescent="0.3">
      <c r="A269" s="79" t="s">
        <v>2329</v>
      </c>
      <c r="B269" s="79" t="s">
        <v>1345</v>
      </c>
      <c r="C269" s="79" t="s">
        <v>2330</v>
      </c>
      <c r="D269" s="79" t="s">
        <v>2330</v>
      </c>
      <c r="E269" s="79" t="s">
        <v>1631</v>
      </c>
      <c r="F269" s="79" t="s">
        <v>2331</v>
      </c>
      <c r="G269" s="79" t="s">
        <v>2332</v>
      </c>
      <c r="AU269" s="77" t="s">
        <v>2333</v>
      </c>
    </row>
    <row r="270" spans="1:47" hidden="1" x14ac:dyDescent="0.3">
      <c r="A270" s="79" t="s">
        <v>2334</v>
      </c>
      <c r="B270" s="79" t="s">
        <v>2335</v>
      </c>
      <c r="C270" s="79" t="s">
        <v>2336</v>
      </c>
      <c r="D270" s="79" t="s">
        <v>2336</v>
      </c>
      <c r="E270" s="79" t="s">
        <v>1457</v>
      </c>
      <c r="F270" s="79" t="s">
        <v>2310</v>
      </c>
      <c r="G270" s="79" t="s">
        <v>8</v>
      </c>
      <c r="AU270" s="77" t="s">
        <v>2337</v>
      </c>
    </row>
    <row r="271" spans="1:47" hidden="1" x14ac:dyDescent="0.3">
      <c r="A271" s="79" t="s">
        <v>2338</v>
      </c>
      <c r="B271" s="79" t="s">
        <v>1359</v>
      </c>
      <c r="C271" s="79" t="s">
        <v>2339</v>
      </c>
      <c r="D271" s="79" t="s">
        <v>2339</v>
      </c>
      <c r="E271" s="79" t="s">
        <v>1631</v>
      </c>
      <c r="F271" s="79" t="s">
        <v>2318</v>
      </c>
      <c r="G271" s="79" t="s">
        <v>1358</v>
      </c>
      <c r="AU271" s="77" t="s">
        <v>2340</v>
      </c>
    </row>
    <row r="272" spans="1:47" hidden="1" x14ac:dyDescent="0.3">
      <c r="A272" s="79" t="s">
        <v>2341</v>
      </c>
      <c r="B272" s="79" t="s">
        <v>1346</v>
      </c>
      <c r="C272" s="79" t="s">
        <v>2342</v>
      </c>
      <c r="D272" s="79" t="s">
        <v>2342</v>
      </c>
      <c r="E272" s="79" t="s">
        <v>1631</v>
      </c>
      <c r="F272" s="79" t="s">
        <v>2343</v>
      </c>
      <c r="G272" s="79" t="s">
        <v>2344</v>
      </c>
      <c r="AU272" s="77" t="s">
        <v>2345</v>
      </c>
    </row>
    <row r="273" spans="1:47" hidden="1" x14ac:dyDescent="0.3">
      <c r="A273" s="79" t="s">
        <v>2346</v>
      </c>
      <c r="B273" s="79" t="s">
        <v>1347</v>
      </c>
      <c r="C273" s="79" t="s">
        <v>2347</v>
      </c>
      <c r="D273" s="79" t="s">
        <v>2347</v>
      </c>
      <c r="E273" s="79" t="s">
        <v>1631</v>
      </c>
      <c r="F273" s="79" t="s">
        <v>2318</v>
      </c>
      <c r="G273" s="79" t="s">
        <v>1358</v>
      </c>
      <c r="AU273" s="77" t="s">
        <v>2348</v>
      </c>
    </row>
    <row r="274" spans="1:47" hidden="1" x14ac:dyDescent="0.3">
      <c r="A274" s="79" t="s">
        <v>2318</v>
      </c>
      <c r="B274" s="79" t="s">
        <v>1358</v>
      </c>
      <c r="C274" s="79" t="s">
        <v>2349</v>
      </c>
      <c r="D274" s="79" t="s">
        <v>2349</v>
      </c>
      <c r="E274" s="79" t="s">
        <v>1472</v>
      </c>
      <c r="F274" s="79" t="s">
        <v>2310</v>
      </c>
      <c r="G274" s="79" t="s">
        <v>8</v>
      </c>
      <c r="AU274" s="77" t="s">
        <v>2350</v>
      </c>
    </row>
    <row r="275" spans="1:47" hidden="1" x14ac:dyDescent="0.3">
      <c r="A275" s="79" t="s">
        <v>2351</v>
      </c>
      <c r="B275" s="79" t="s">
        <v>1348</v>
      </c>
      <c r="C275" s="79" t="s">
        <v>2352</v>
      </c>
      <c r="D275" s="79" t="s">
        <v>2352</v>
      </c>
      <c r="E275" s="79" t="s">
        <v>1631</v>
      </c>
      <c r="F275" s="79" t="s">
        <v>2343</v>
      </c>
      <c r="G275" s="79" t="s">
        <v>2344</v>
      </c>
      <c r="AU275" s="77" t="s">
        <v>2353</v>
      </c>
    </row>
    <row r="276" spans="1:47" hidden="1" x14ac:dyDescent="0.3">
      <c r="A276" s="79" t="s">
        <v>2354</v>
      </c>
      <c r="B276" s="79" t="s">
        <v>2355</v>
      </c>
      <c r="C276" s="79" t="s">
        <v>2356</v>
      </c>
      <c r="D276" s="79" t="s">
        <v>2356</v>
      </c>
      <c r="E276" s="79" t="s">
        <v>1457</v>
      </c>
      <c r="F276" s="79" t="s">
        <v>2310</v>
      </c>
      <c r="G276" s="79" t="s">
        <v>8</v>
      </c>
      <c r="AU276" s="77" t="s">
        <v>2357</v>
      </c>
    </row>
    <row r="277" spans="1:47" hidden="1" x14ac:dyDescent="0.3">
      <c r="A277" s="79" t="s">
        <v>2358</v>
      </c>
      <c r="B277" s="79" t="s">
        <v>1349</v>
      </c>
      <c r="C277" s="79" t="s">
        <v>2359</v>
      </c>
      <c r="D277" s="79" t="s">
        <v>2359</v>
      </c>
      <c r="E277" s="79" t="s">
        <v>1631</v>
      </c>
      <c r="F277" s="79" t="s">
        <v>2325</v>
      </c>
      <c r="G277" s="79" t="s">
        <v>2326</v>
      </c>
      <c r="AU277" s="77" t="s">
        <v>2360</v>
      </c>
    </row>
    <row r="278" spans="1:47" hidden="1" x14ac:dyDescent="0.3">
      <c r="A278" s="79" t="s">
        <v>2331</v>
      </c>
      <c r="B278" s="79" t="s">
        <v>2332</v>
      </c>
      <c r="C278" s="79" t="s">
        <v>2361</v>
      </c>
      <c r="D278" s="79" t="s">
        <v>2361</v>
      </c>
      <c r="E278" s="79" t="s">
        <v>1472</v>
      </c>
      <c r="F278" s="79" t="s">
        <v>2310</v>
      </c>
      <c r="G278" s="79" t="s">
        <v>8</v>
      </c>
      <c r="AU278" s="77" t="s">
        <v>2362</v>
      </c>
    </row>
    <row r="279" spans="1:47" hidden="1" x14ac:dyDescent="0.3">
      <c r="A279" s="79" t="s">
        <v>2363</v>
      </c>
      <c r="B279" s="79" t="s">
        <v>1350</v>
      </c>
      <c r="C279" s="79" t="s">
        <v>2364</v>
      </c>
      <c r="D279" s="79" t="s">
        <v>2364</v>
      </c>
      <c r="E279" s="79" t="s">
        <v>1631</v>
      </c>
      <c r="F279" s="79" t="s">
        <v>2331</v>
      </c>
      <c r="G279" s="79" t="s">
        <v>2332</v>
      </c>
      <c r="AU279" s="77" t="s">
        <v>2365</v>
      </c>
    </row>
    <row r="280" spans="1:47" hidden="1" x14ac:dyDescent="0.3">
      <c r="A280" s="79" t="s">
        <v>2366</v>
      </c>
      <c r="B280" s="79" t="s">
        <v>1351</v>
      </c>
      <c r="C280" s="79" t="s">
        <v>2367</v>
      </c>
      <c r="D280" s="79" t="s">
        <v>2367</v>
      </c>
      <c r="E280" s="79" t="s">
        <v>1631</v>
      </c>
      <c r="F280" s="79" t="s">
        <v>2343</v>
      </c>
      <c r="G280" s="79" t="s">
        <v>2344</v>
      </c>
      <c r="AU280" s="77" t="s">
        <v>2368</v>
      </c>
    </row>
    <row r="281" spans="1:47" hidden="1" x14ac:dyDescent="0.3">
      <c r="A281" s="79" t="s">
        <v>2369</v>
      </c>
      <c r="B281" s="79" t="s">
        <v>1352</v>
      </c>
      <c r="C281" s="79" t="s">
        <v>2370</v>
      </c>
      <c r="D281" s="79" t="s">
        <v>2370</v>
      </c>
      <c r="E281" s="79" t="s">
        <v>1631</v>
      </c>
      <c r="F281" s="79" t="s">
        <v>2325</v>
      </c>
      <c r="G281" s="79" t="s">
        <v>2326</v>
      </c>
      <c r="AU281" s="77" t="s">
        <v>2371</v>
      </c>
    </row>
    <row r="282" spans="1:47" hidden="1" x14ac:dyDescent="0.3">
      <c r="A282" s="79" t="s">
        <v>2372</v>
      </c>
      <c r="B282" s="79" t="s">
        <v>1353</v>
      </c>
      <c r="C282" s="79" t="s">
        <v>2373</v>
      </c>
      <c r="D282" s="79" t="s">
        <v>2373</v>
      </c>
      <c r="E282" s="79" t="s">
        <v>1472</v>
      </c>
      <c r="F282" s="79" t="s">
        <v>2310</v>
      </c>
      <c r="G282" s="79" t="s">
        <v>8</v>
      </c>
      <c r="AU282" s="77" t="s">
        <v>2374</v>
      </c>
    </row>
    <row r="283" spans="1:47" hidden="1" x14ac:dyDescent="0.3">
      <c r="A283" s="79" t="s">
        <v>2322</v>
      </c>
      <c r="B283" s="79" t="s">
        <v>2323</v>
      </c>
      <c r="C283" s="79" t="s">
        <v>2375</v>
      </c>
      <c r="D283" s="79" t="s">
        <v>2375</v>
      </c>
      <c r="E283" s="79" t="s">
        <v>1472</v>
      </c>
      <c r="F283" s="79" t="s">
        <v>2310</v>
      </c>
      <c r="G283" s="79" t="s">
        <v>8</v>
      </c>
      <c r="AU283" s="77" t="s">
        <v>2376</v>
      </c>
    </row>
    <row r="284" spans="1:47" hidden="1" x14ac:dyDescent="0.3">
      <c r="A284" s="79" t="s">
        <v>2377</v>
      </c>
      <c r="B284" s="79" t="s">
        <v>1354</v>
      </c>
      <c r="C284" s="79" t="s">
        <v>2378</v>
      </c>
      <c r="D284" s="79" t="s">
        <v>2378</v>
      </c>
      <c r="E284" s="79" t="s">
        <v>1631</v>
      </c>
      <c r="F284" s="79" t="s">
        <v>2372</v>
      </c>
      <c r="G284" s="79" t="s">
        <v>1353</v>
      </c>
      <c r="AU284" s="77" t="s">
        <v>2379</v>
      </c>
    </row>
    <row r="285" spans="1:47" hidden="1" x14ac:dyDescent="0.3">
      <c r="A285" s="79" t="s">
        <v>2380</v>
      </c>
      <c r="B285" s="79" t="s">
        <v>1355</v>
      </c>
      <c r="C285" s="79" t="s">
        <v>2381</v>
      </c>
      <c r="D285" s="79" t="s">
        <v>2381</v>
      </c>
      <c r="E285" s="79" t="s">
        <v>1631</v>
      </c>
      <c r="F285" s="79" t="s">
        <v>2372</v>
      </c>
      <c r="G285" s="79" t="s">
        <v>1353</v>
      </c>
      <c r="AU285" s="77" t="s">
        <v>2382</v>
      </c>
    </row>
    <row r="286" spans="1:47" hidden="1" x14ac:dyDescent="0.3">
      <c r="A286" s="79" t="s">
        <v>2383</v>
      </c>
      <c r="B286" s="79" t="s">
        <v>1356</v>
      </c>
      <c r="C286" s="79" t="s">
        <v>2384</v>
      </c>
      <c r="D286" s="79" t="s">
        <v>2384</v>
      </c>
      <c r="E286" s="79" t="s">
        <v>1631</v>
      </c>
      <c r="F286" s="79" t="s">
        <v>2322</v>
      </c>
      <c r="G286" s="79" t="s">
        <v>2323</v>
      </c>
      <c r="AU286" s="77" t="s">
        <v>2385</v>
      </c>
    </row>
    <row r="287" spans="1:47" hidden="1" x14ac:dyDescent="0.3">
      <c r="A287" s="79" t="s">
        <v>2343</v>
      </c>
      <c r="B287" s="79" t="s">
        <v>2344</v>
      </c>
      <c r="C287" s="79" t="s">
        <v>2386</v>
      </c>
      <c r="D287" s="79" t="s">
        <v>2386</v>
      </c>
      <c r="E287" s="79" t="s">
        <v>1472</v>
      </c>
      <c r="F287" s="79" t="s">
        <v>2310</v>
      </c>
      <c r="G287" s="79" t="s">
        <v>8</v>
      </c>
      <c r="AU287" s="77" t="s">
        <v>2387</v>
      </c>
    </row>
    <row r="288" spans="1:47" hidden="1" x14ac:dyDescent="0.3">
      <c r="A288" s="79" t="s">
        <v>2388</v>
      </c>
      <c r="B288" s="79" t="s">
        <v>2389</v>
      </c>
      <c r="C288" s="79" t="s">
        <v>2390</v>
      </c>
      <c r="D288" s="79" t="s">
        <v>2390</v>
      </c>
      <c r="E288" s="79" t="s">
        <v>1457</v>
      </c>
      <c r="F288" s="79" t="s">
        <v>2310</v>
      </c>
      <c r="G288" s="79" t="s">
        <v>8</v>
      </c>
      <c r="AU288" s="77" t="s">
        <v>2391</v>
      </c>
    </row>
    <row r="289" spans="1:47" hidden="1" x14ac:dyDescent="0.3">
      <c r="A289" s="79" t="s">
        <v>2392</v>
      </c>
      <c r="B289" s="79" t="s">
        <v>2393</v>
      </c>
      <c r="C289" s="79" t="s">
        <v>2394</v>
      </c>
      <c r="D289" s="79" t="s">
        <v>2394</v>
      </c>
      <c r="E289" s="79" t="s">
        <v>1457</v>
      </c>
      <c r="F289" s="79" t="s">
        <v>2310</v>
      </c>
      <c r="G289" s="79" t="s">
        <v>8</v>
      </c>
      <c r="AU289" s="77" t="s">
        <v>2395</v>
      </c>
    </row>
    <row r="290" spans="1:47" hidden="1" x14ac:dyDescent="0.3">
      <c r="A290" s="79" t="s">
        <v>2396</v>
      </c>
      <c r="B290" s="79" t="s">
        <v>1357</v>
      </c>
      <c r="C290" s="79" t="s">
        <v>2397</v>
      </c>
      <c r="D290" s="79" t="s">
        <v>2397</v>
      </c>
      <c r="E290" s="79" t="s">
        <v>1631</v>
      </c>
      <c r="F290" s="79" t="s">
        <v>2322</v>
      </c>
      <c r="G290" s="79" t="s">
        <v>2323</v>
      </c>
      <c r="AU290" s="77" t="s">
        <v>2398</v>
      </c>
    </row>
    <row r="291" spans="1:47" hidden="1" x14ac:dyDescent="0.3">
      <c r="A291" s="79" t="s">
        <v>2399</v>
      </c>
      <c r="B291" s="79" t="s">
        <v>758</v>
      </c>
      <c r="C291" s="79" t="s">
        <v>15</v>
      </c>
      <c r="D291" s="79" t="s">
        <v>15</v>
      </c>
      <c r="E291" s="79" t="s">
        <v>1465</v>
      </c>
      <c r="F291" s="79" t="s">
        <v>1439</v>
      </c>
      <c r="G291" s="79" t="s">
        <v>1440</v>
      </c>
      <c r="AU291" s="77" t="s">
        <v>2400</v>
      </c>
    </row>
    <row r="292" spans="1:47" hidden="1" x14ac:dyDescent="0.3">
      <c r="A292" s="79" t="s">
        <v>2401</v>
      </c>
      <c r="B292" s="79" t="s">
        <v>12</v>
      </c>
      <c r="C292" s="79" t="s">
        <v>803</v>
      </c>
      <c r="D292" s="79" t="s">
        <v>803</v>
      </c>
      <c r="E292" s="79" t="s">
        <v>772</v>
      </c>
      <c r="F292" s="79" t="s">
        <v>1439</v>
      </c>
      <c r="G292" s="79" t="s">
        <v>1440</v>
      </c>
      <c r="AU292" s="77" t="s">
        <v>2402</v>
      </c>
    </row>
    <row r="293" spans="1:47" hidden="1" x14ac:dyDescent="0.3">
      <c r="A293" s="79" t="s">
        <v>2403</v>
      </c>
      <c r="B293" s="79" t="s">
        <v>2404</v>
      </c>
      <c r="C293" s="79" t="s">
        <v>1040</v>
      </c>
      <c r="D293" s="79" t="s">
        <v>1040</v>
      </c>
      <c r="E293" s="79" t="s">
        <v>1457</v>
      </c>
      <c r="F293" s="79" t="s">
        <v>2401</v>
      </c>
      <c r="G293" s="79" t="s">
        <v>12</v>
      </c>
      <c r="AU293" s="77" t="s">
        <v>2405</v>
      </c>
    </row>
    <row r="294" spans="1:47" hidden="1" x14ac:dyDescent="0.3">
      <c r="A294" s="79" t="s">
        <v>2406</v>
      </c>
      <c r="B294" s="79" t="s">
        <v>1361</v>
      </c>
      <c r="C294" s="79" t="s">
        <v>2407</v>
      </c>
      <c r="D294" s="79" t="s">
        <v>2407</v>
      </c>
      <c r="E294" s="79" t="s">
        <v>1444</v>
      </c>
      <c r="F294" s="79" t="s">
        <v>2401</v>
      </c>
      <c r="G294" s="79" t="s">
        <v>12</v>
      </c>
      <c r="AU294" s="77" t="s">
        <v>2408</v>
      </c>
    </row>
    <row r="295" spans="1:47" hidden="1" x14ac:dyDescent="0.3">
      <c r="A295" s="79" t="s">
        <v>2409</v>
      </c>
      <c r="B295" s="79" t="s">
        <v>1362</v>
      </c>
      <c r="C295" s="79" t="s">
        <v>2410</v>
      </c>
      <c r="D295" s="79" t="s">
        <v>2410</v>
      </c>
      <c r="E295" s="79" t="s">
        <v>1444</v>
      </c>
      <c r="F295" s="79" t="s">
        <v>2401</v>
      </c>
      <c r="G295" s="79" t="s">
        <v>12</v>
      </c>
      <c r="AU295" s="77" t="s">
        <v>2411</v>
      </c>
    </row>
    <row r="296" spans="1:47" hidden="1" x14ac:dyDescent="0.3">
      <c r="A296" s="79" t="s">
        <v>2412</v>
      </c>
      <c r="B296" s="79" t="s">
        <v>2413</v>
      </c>
      <c r="C296" s="79" t="s">
        <v>1046</v>
      </c>
      <c r="D296" s="79" t="s">
        <v>1046</v>
      </c>
      <c r="E296" s="79" t="s">
        <v>1457</v>
      </c>
      <c r="F296" s="79" t="s">
        <v>2401</v>
      </c>
      <c r="G296" s="79" t="s">
        <v>12</v>
      </c>
      <c r="AU296" s="77" t="s">
        <v>2414</v>
      </c>
    </row>
    <row r="297" spans="1:47" hidden="1" x14ac:dyDescent="0.3">
      <c r="A297" s="79" t="s">
        <v>2415</v>
      </c>
      <c r="B297" s="79" t="s">
        <v>1363</v>
      </c>
      <c r="C297" s="79" t="s">
        <v>2416</v>
      </c>
      <c r="D297" s="79" t="s">
        <v>2416</v>
      </c>
      <c r="E297" s="79" t="s">
        <v>1444</v>
      </c>
      <c r="F297" s="79" t="s">
        <v>2401</v>
      </c>
      <c r="G297" s="79" t="s">
        <v>12</v>
      </c>
      <c r="AU297" s="77" t="s">
        <v>2417</v>
      </c>
    </row>
    <row r="298" spans="1:47" hidden="1" x14ac:dyDescent="0.3">
      <c r="A298" s="79" t="s">
        <v>2418</v>
      </c>
      <c r="B298" s="79" t="s">
        <v>2419</v>
      </c>
      <c r="C298" s="79" t="s">
        <v>2420</v>
      </c>
      <c r="D298" s="79" t="s">
        <v>2420</v>
      </c>
      <c r="E298" s="79" t="s">
        <v>1457</v>
      </c>
      <c r="F298" s="79" t="s">
        <v>2401</v>
      </c>
      <c r="G298" s="79" t="s">
        <v>12</v>
      </c>
      <c r="AU298" s="77" t="s">
        <v>2421</v>
      </c>
    </row>
    <row r="299" spans="1:47" hidden="1" x14ac:dyDescent="0.3">
      <c r="A299" s="79" t="s">
        <v>2422</v>
      </c>
      <c r="B299" s="79" t="s">
        <v>2423</v>
      </c>
      <c r="C299" s="79" t="s">
        <v>1041</v>
      </c>
      <c r="D299" s="79" t="s">
        <v>1041</v>
      </c>
      <c r="E299" s="79" t="s">
        <v>1457</v>
      </c>
      <c r="F299" s="79" t="s">
        <v>2401</v>
      </c>
      <c r="G299" s="79" t="s">
        <v>12</v>
      </c>
      <c r="AU299" s="77" t="s">
        <v>2424</v>
      </c>
    </row>
    <row r="300" spans="1:47" hidden="1" x14ac:dyDescent="0.3">
      <c r="A300" s="79" t="s">
        <v>2425</v>
      </c>
      <c r="B300" s="79" t="s">
        <v>1364</v>
      </c>
      <c r="C300" s="79" t="s">
        <v>2426</v>
      </c>
      <c r="D300" s="79" t="s">
        <v>2426</v>
      </c>
      <c r="E300" s="79" t="s">
        <v>1444</v>
      </c>
      <c r="F300" s="79" t="s">
        <v>2401</v>
      </c>
      <c r="G300" s="79" t="s">
        <v>12</v>
      </c>
      <c r="AU300" s="77" t="s">
        <v>2427</v>
      </c>
    </row>
    <row r="301" spans="1:47" hidden="1" x14ac:dyDescent="0.3">
      <c r="A301" s="79" t="s">
        <v>2428</v>
      </c>
      <c r="B301" s="79" t="s">
        <v>1365</v>
      </c>
      <c r="C301" s="79" t="s">
        <v>2429</v>
      </c>
      <c r="D301" s="79" t="s">
        <v>2429</v>
      </c>
      <c r="E301" s="79" t="s">
        <v>1444</v>
      </c>
      <c r="F301" s="79" t="s">
        <v>2401</v>
      </c>
      <c r="G301" s="79" t="s">
        <v>12</v>
      </c>
      <c r="AU301" s="77" t="s">
        <v>2430</v>
      </c>
    </row>
    <row r="302" spans="1:47" hidden="1" x14ac:dyDescent="0.3">
      <c r="A302" s="79" t="s">
        <v>2431</v>
      </c>
      <c r="B302" s="79" t="s">
        <v>1366</v>
      </c>
      <c r="C302" s="79" t="s">
        <v>2432</v>
      </c>
      <c r="D302" s="79" t="s">
        <v>2432</v>
      </c>
      <c r="E302" s="79" t="s">
        <v>1444</v>
      </c>
      <c r="F302" s="79" t="s">
        <v>2401</v>
      </c>
      <c r="G302" s="79" t="s">
        <v>12</v>
      </c>
      <c r="AU302" s="77" t="s">
        <v>2433</v>
      </c>
    </row>
    <row r="303" spans="1:47" hidden="1" x14ac:dyDescent="0.3">
      <c r="A303" s="79" t="s">
        <v>2434</v>
      </c>
      <c r="B303" s="79" t="s">
        <v>1367</v>
      </c>
      <c r="C303" s="79" t="s">
        <v>2435</v>
      </c>
      <c r="D303" s="79" t="s">
        <v>2435</v>
      </c>
      <c r="E303" s="79" t="s">
        <v>1444</v>
      </c>
      <c r="F303" s="79" t="s">
        <v>2401</v>
      </c>
      <c r="G303" s="79" t="s">
        <v>12</v>
      </c>
      <c r="AU303" s="77" t="s">
        <v>2436</v>
      </c>
    </row>
    <row r="304" spans="1:47" hidden="1" x14ac:dyDescent="0.3">
      <c r="A304" s="79" t="s">
        <v>2437</v>
      </c>
      <c r="B304" s="79" t="s">
        <v>1368</v>
      </c>
      <c r="C304" s="79" t="s">
        <v>2438</v>
      </c>
      <c r="D304" s="79" t="s">
        <v>2438</v>
      </c>
      <c r="E304" s="79" t="s">
        <v>1444</v>
      </c>
      <c r="F304" s="79" t="s">
        <v>2401</v>
      </c>
      <c r="G304" s="79" t="s">
        <v>12</v>
      </c>
      <c r="AU304" s="77" t="s">
        <v>2439</v>
      </c>
    </row>
    <row r="305" spans="1:47" hidden="1" x14ac:dyDescent="0.3">
      <c r="A305" s="79" t="s">
        <v>2440</v>
      </c>
      <c r="B305" s="79" t="s">
        <v>1369</v>
      </c>
      <c r="C305" s="79" t="s">
        <v>2441</v>
      </c>
      <c r="D305" s="79" t="s">
        <v>2441</v>
      </c>
      <c r="E305" s="79" t="s">
        <v>1444</v>
      </c>
      <c r="F305" s="79" t="s">
        <v>2401</v>
      </c>
      <c r="G305" s="79" t="s">
        <v>12</v>
      </c>
      <c r="AU305" s="77" t="s">
        <v>2442</v>
      </c>
    </row>
    <row r="306" spans="1:47" hidden="1" x14ac:dyDescent="0.3">
      <c r="A306" s="79" t="s">
        <v>2443</v>
      </c>
      <c r="B306" s="79" t="s">
        <v>2444</v>
      </c>
      <c r="C306" s="79" t="s">
        <v>1048</v>
      </c>
      <c r="D306" s="79" t="s">
        <v>1048</v>
      </c>
      <c r="E306" s="79" t="s">
        <v>1457</v>
      </c>
      <c r="F306" s="79" t="s">
        <v>2401</v>
      </c>
      <c r="G306" s="79" t="s">
        <v>12</v>
      </c>
      <c r="AU306" s="77" t="s">
        <v>2445</v>
      </c>
    </row>
    <row r="307" spans="1:47" hidden="1" x14ac:dyDescent="0.3">
      <c r="A307" s="79" t="s">
        <v>2446</v>
      </c>
      <c r="B307" s="79" t="s">
        <v>1370</v>
      </c>
      <c r="C307" s="79" t="s">
        <v>2447</v>
      </c>
      <c r="D307" s="79" t="s">
        <v>2447</v>
      </c>
      <c r="E307" s="79" t="s">
        <v>1444</v>
      </c>
      <c r="F307" s="79" t="s">
        <v>2401</v>
      </c>
      <c r="G307" s="79" t="s">
        <v>12</v>
      </c>
      <c r="AU307" s="77" t="s">
        <v>2448</v>
      </c>
    </row>
    <row r="308" spans="1:47" hidden="1" x14ac:dyDescent="0.3">
      <c r="A308" s="79" t="s">
        <v>2449</v>
      </c>
      <c r="B308" s="79" t="s">
        <v>2450</v>
      </c>
      <c r="C308" s="79" t="s">
        <v>2451</v>
      </c>
      <c r="D308" s="79" t="s">
        <v>2451</v>
      </c>
      <c r="E308" s="79" t="s">
        <v>1457</v>
      </c>
      <c r="F308" s="79" t="s">
        <v>1439</v>
      </c>
      <c r="G308" s="79" t="s">
        <v>1440</v>
      </c>
      <c r="AU308" s="77" t="s">
        <v>2452</v>
      </c>
    </row>
    <row r="309" spans="1:47" hidden="1" x14ac:dyDescent="0.3">
      <c r="A309" s="79" t="s">
        <v>2453</v>
      </c>
      <c r="B309" s="79" t="s">
        <v>9</v>
      </c>
      <c r="C309" s="79" t="s">
        <v>800</v>
      </c>
      <c r="D309" s="79" t="s">
        <v>800</v>
      </c>
      <c r="E309" s="79" t="s">
        <v>772</v>
      </c>
      <c r="F309" s="79" t="s">
        <v>1439</v>
      </c>
      <c r="G309" s="79" t="s">
        <v>1440</v>
      </c>
      <c r="AU309" s="77" t="s">
        <v>2454</v>
      </c>
    </row>
    <row r="310" spans="1:47" hidden="1" x14ac:dyDescent="0.3">
      <c r="A310" s="79" t="s">
        <v>2455</v>
      </c>
      <c r="B310" s="79" t="s">
        <v>1372</v>
      </c>
      <c r="C310" s="79" t="s">
        <v>2456</v>
      </c>
      <c r="D310" s="79" t="s">
        <v>2456</v>
      </c>
      <c r="E310" s="79" t="s">
        <v>1631</v>
      </c>
      <c r="F310" s="79" t="s">
        <v>2457</v>
      </c>
      <c r="G310" s="79" t="s">
        <v>1385</v>
      </c>
      <c r="AU310" s="77" t="s">
        <v>2458</v>
      </c>
    </row>
    <row r="311" spans="1:47" hidden="1" x14ac:dyDescent="0.3">
      <c r="A311" s="79" t="s">
        <v>2459</v>
      </c>
      <c r="B311" s="79" t="s">
        <v>1373</v>
      </c>
      <c r="C311" s="79" t="s">
        <v>2460</v>
      </c>
      <c r="D311" s="79" t="s">
        <v>2460</v>
      </c>
      <c r="E311" s="79" t="s">
        <v>1631</v>
      </c>
      <c r="F311" s="79" t="s">
        <v>2457</v>
      </c>
      <c r="G311" s="79" t="s">
        <v>1385</v>
      </c>
      <c r="AU311" s="77" t="s">
        <v>2461</v>
      </c>
    </row>
    <row r="312" spans="1:47" hidden="1" x14ac:dyDescent="0.3">
      <c r="A312" s="79" t="s">
        <v>2462</v>
      </c>
      <c r="B312" s="79" t="s">
        <v>1374</v>
      </c>
      <c r="C312" s="79" t="s">
        <v>2463</v>
      </c>
      <c r="D312" s="79" t="s">
        <v>2463</v>
      </c>
      <c r="E312" s="79" t="s">
        <v>1631</v>
      </c>
      <c r="F312" s="79" t="s">
        <v>2457</v>
      </c>
      <c r="G312" s="79" t="s">
        <v>1385</v>
      </c>
      <c r="AU312" s="77" t="s">
        <v>2464</v>
      </c>
    </row>
    <row r="313" spans="1:47" hidden="1" x14ac:dyDescent="0.3">
      <c r="A313" s="79" t="s">
        <v>2465</v>
      </c>
      <c r="B313" s="79" t="s">
        <v>1375</v>
      </c>
      <c r="C313" s="79" t="s">
        <v>2466</v>
      </c>
      <c r="D313" s="79" t="s">
        <v>2466</v>
      </c>
      <c r="E313" s="79" t="s">
        <v>1631</v>
      </c>
      <c r="F313" s="79" t="s">
        <v>2457</v>
      </c>
      <c r="G313" s="79" t="s">
        <v>1385</v>
      </c>
      <c r="AU313" s="77" t="s">
        <v>2467</v>
      </c>
    </row>
    <row r="314" spans="1:47" hidden="1" x14ac:dyDescent="0.3">
      <c r="A314" s="79" t="s">
        <v>2468</v>
      </c>
      <c r="B314" s="79" t="s">
        <v>1376</v>
      </c>
      <c r="C314" s="79" t="s">
        <v>2469</v>
      </c>
      <c r="D314" s="79" t="s">
        <v>2469</v>
      </c>
      <c r="E314" s="79" t="s">
        <v>1631</v>
      </c>
      <c r="F314" s="79" t="s">
        <v>2457</v>
      </c>
      <c r="G314" s="79" t="s">
        <v>1385</v>
      </c>
      <c r="AU314" s="77" t="s">
        <v>2470</v>
      </c>
    </row>
    <row r="315" spans="1:47" hidden="1" x14ac:dyDescent="0.3">
      <c r="A315" s="79" t="s">
        <v>2471</v>
      </c>
      <c r="B315" s="79" t="s">
        <v>1377</v>
      </c>
      <c r="C315" s="79" t="s">
        <v>2472</v>
      </c>
      <c r="D315" s="79" t="s">
        <v>2472</v>
      </c>
      <c r="E315" s="79" t="s">
        <v>1745</v>
      </c>
      <c r="F315" s="79" t="s">
        <v>2457</v>
      </c>
      <c r="G315" s="79" t="s">
        <v>1385</v>
      </c>
      <c r="AU315" s="77" t="s">
        <v>2473</v>
      </c>
    </row>
    <row r="316" spans="1:47" hidden="1" x14ac:dyDescent="0.3">
      <c r="A316" s="79" t="s">
        <v>2474</v>
      </c>
      <c r="B316" s="79" t="s">
        <v>1378</v>
      </c>
      <c r="C316" s="79" t="s">
        <v>2475</v>
      </c>
      <c r="D316" s="79" t="s">
        <v>2475</v>
      </c>
      <c r="E316" s="79" t="s">
        <v>1631</v>
      </c>
      <c r="F316" s="79" t="s">
        <v>2457</v>
      </c>
      <c r="G316" s="79" t="s">
        <v>1385</v>
      </c>
      <c r="AU316" s="77" t="s">
        <v>2476</v>
      </c>
    </row>
    <row r="317" spans="1:47" hidden="1" x14ac:dyDescent="0.3">
      <c r="A317" s="79" t="s">
        <v>2477</v>
      </c>
      <c r="B317" s="79" t="s">
        <v>1379</v>
      </c>
      <c r="C317" s="79" t="s">
        <v>2478</v>
      </c>
      <c r="D317" s="79" t="s">
        <v>2478</v>
      </c>
      <c r="E317" s="79" t="s">
        <v>1631</v>
      </c>
      <c r="F317" s="79" t="s">
        <v>2457</v>
      </c>
      <c r="G317" s="79" t="s">
        <v>1385</v>
      </c>
      <c r="AU317" s="77" t="s">
        <v>2479</v>
      </c>
    </row>
    <row r="318" spans="1:47" hidden="1" x14ac:dyDescent="0.3">
      <c r="A318" s="79" t="s">
        <v>2480</v>
      </c>
      <c r="B318" s="79" t="s">
        <v>1380</v>
      </c>
      <c r="C318" s="79" t="s">
        <v>2481</v>
      </c>
      <c r="D318" s="79" t="s">
        <v>2481</v>
      </c>
      <c r="E318" s="79" t="s">
        <v>1631</v>
      </c>
      <c r="F318" s="79" t="s">
        <v>2457</v>
      </c>
      <c r="G318" s="79" t="s">
        <v>1385</v>
      </c>
      <c r="AU318" s="77" t="s">
        <v>2482</v>
      </c>
    </row>
    <row r="319" spans="1:47" hidden="1" x14ac:dyDescent="0.3">
      <c r="A319" s="79" t="s">
        <v>2483</v>
      </c>
      <c r="B319" s="79" t="s">
        <v>1381</v>
      </c>
      <c r="C319" s="79" t="s">
        <v>2484</v>
      </c>
      <c r="D319" s="79" t="s">
        <v>2484</v>
      </c>
      <c r="E319" s="79" t="s">
        <v>1631</v>
      </c>
      <c r="F319" s="79" t="s">
        <v>2457</v>
      </c>
      <c r="G319" s="79" t="s">
        <v>1385</v>
      </c>
      <c r="AU319" s="77" t="s">
        <v>2485</v>
      </c>
    </row>
    <row r="320" spans="1:47" hidden="1" x14ac:dyDescent="0.3">
      <c r="A320" s="79" t="s">
        <v>2486</v>
      </c>
      <c r="B320" s="79" t="s">
        <v>1382</v>
      </c>
      <c r="C320" s="79" t="s">
        <v>2487</v>
      </c>
      <c r="D320" s="79" t="s">
        <v>2487</v>
      </c>
      <c r="E320" s="79" t="s">
        <v>1631</v>
      </c>
      <c r="F320" s="79" t="s">
        <v>2457</v>
      </c>
      <c r="G320" s="79" t="s">
        <v>1385</v>
      </c>
      <c r="AU320" s="77" t="s">
        <v>2488</v>
      </c>
    </row>
    <row r="321" spans="1:47" hidden="1" x14ac:dyDescent="0.3">
      <c r="A321" s="79" t="s">
        <v>2489</v>
      </c>
      <c r="B321" s="79" t="s">
        <v>1383</v>
      </c>
      <c r="C321" s="79" t="s">
        <v>2490</v>
      </c>
      <c r="D321" s="79" t="s">
        <v>2490</v>
      </c>
      <c r="E321" s="79" t="s">
        <v>1631</v>
      </c>
      <c r="F321" s="79" t="s">
        <v>2457</v>
      </c>
      <c r="G321" s="79" t="s">
        <v>1385</v>
      </c>
      <c r="AU321" s="77" t="s">
        <v>2491</v>
      </c>
    </row>
    <row r="322" spans="1:47" hidden="1" x14ac:dyDescent="0.3">
      <c r="A322" s="79" t="s">
        <v>2492</v>
      </c>
      <c r="B322" s="79" t="s">
        <v>1384</v>
      </c>
      <c r="C322" s="79" t="s">
        <v>2493</v>
      </c>
      <c r="D322" s="79" t="s">
        <v>2493</v>
      </c>
      <c r="E322" s="79" t="s">
        <v>1631</v>
      </c>
      <c r="F322" s="79" t="s">
        <v>2457</v>
      </c>
      <c r="G322" s="79" t="s">
        <v>1385</v>
      </c>
      <c r="AU322" s="77" t="s">
        <v>2494</v>
      </c>
    </row>
    <row r="323" spans="1:47" hidden="1" x14ac:dyDescent="0.3">
      <c r="A323" s="79" t="s">
        <v>2457</v>
      </c>
      <c r="B323" s="79" t="s">
        <v>1385</v>
      </c>
      <c r="C323" s="79" t="s">
        <v>2495</v>
      </c>
      <c r="D323" s="79" t="s">
        <v>2495</v>
      </c>
      <c r="E323" s="79" t="s">
        <v>1472</v>
      </c>
      <c r="F323" s="79" t="s">
        <v>2453</v>
      </c>
      <c r="G323" s="79" t="s">
        <v>9</v>
      </c>
      <c r="AU323" s="77" t="s">
        <v>2496</v>
      </c>
    </row>
    <row r="324" spans="1:47" hidden="1" x14ac:dyDescent="0.3">
      <c r="A324" s="79" t="s">
        <v>2497</v>
      </c>
      <c r="B324" s="79" t="s">
        <v>1386</v>
      </c>
      <c r="C324" s="79" t="s">
        <v>2498</v>
      </c>
      <c r="D324" s="79" t="s">
        <v>2498</v>
      </c>
      <c r="E324" s="79" t="s">
        <v>1472</v>
      </c>
      <c r="F324" s="79" t="s">
        <v>2453</v>
      </c>
      <c r="G324" s="79" t="s">
        <v>9</v>
      </c>
      <c r="AU324" s="77" t="s">
        <v>2499</v>
      </c>
    </row>
    <row r="325" spans="1:47" hidden="1" x14ac:dyDescent="0.3">
      <c r="A325" s="79" t="s">
        <v>2500</v>
      </c>
      <c r="B325" s="79" t="s">
        <v>1387</v>
      </c>
      <c r="C325" s="79" t="s">
        <v>2501</v>
      </c>
      <c r="D325" s="79" t="s">
        <v>2501</v>
      </c>
      <c r="E325" s="79" t="s">
        <v>1631</v>
      </c>
      <c r="F325" s="79" t="s">
        <v>2502</v>
      </c>
      <c r="G325" s="79" t="s">
        <v>1391</v>
      </c>
      <c r="AU325" s="77" t="s">
        <v>2503</v>
      </c>
    </row>
    <row r="326" spans="1:47" hidden="1" x14ac:dyDescent="0.3">
      <c r="A326" s="79" t="s">
        <v>2504</v>
      </c>
      <c r="B326" s="79" t="s">
        <v>1388</v>
      </c>
      <c r="C326" s="79" t="s">
        <v>2505</v>
      </c>
      <c r="D326" s="79" t="s">
        <v>2505</v>
      </c>
      <c r="E326" s="79" t="s">
        <v>1444</v>
      </c>
      <c r="F326" s="79" t="s">
        <v>2502</v>
      </c>
      <c r="G326" s="79" t="s">
        <v>1391</v>
      </c>
      <c r="AU326" s="77" t="s">
        <v>2506</v>
      </c>
    </row>
    <row r="327" spans="1:47" hidden="1" x14ac:dyDescent="0.3">
      <c r="A327" s="79" t="s">
        <v>2507</v>
      </c>
      <c r="B327" s="79" t="s">
        <v>1389</v>
      </c>
      <c r="C327" s="79" t="s">
        <v>2508</v>
      </c>
      <c r="D327" s="79" t="s">
        <v>2508</v>
      </c>
      <c r="E327" s="79" t="s">
        <v>1444</v>
      </c>
      <c r="F327" s="79" t="s">
        <v>2502</v>
      </c>
      <c r="G327" s="79" t="s">
        <v>1391</v>
      </c>
      <c r="AU327" s="77" t="s">
        <v>2509</v>
      </c>
    </row>
    <row r="328" spans="1:47" hidden="1" x14ac:dyDescent="0.3">
      <c r="A328" s="79" t="s">
        <v>2510</v>
      </c>
      <c r="B328" s="79" t="s">
        <v>2511</v>
      </c>
      <c r="C328" s="79" t="s">
        <v>2512</v>
      </c>
      <c r="D328" s="79" t="s">
        <v>2512</v>
      </c>
      <c r="E328" s="79" t="s">
        <v>1745</v>
      </c>
      <c r="F328" s="79" t="s">
        <v>2513</v>
      </c>
      <c r="G328" s="79" t="s">
        <v>2514</v>
      </c>
      <c r="AU328" s="77" t="s">
        <v>2515</v>
      </c>
    </row>
    <row r="329" spans="1:47" hidden="1" x14ac:dyDescent="0.3">
      <c r="A329" s="79" t="s">
        <v>2513</v>
      </c>
      <c r="B329" s="79" t="s">
        <v>2514</v>
      </c>
      <c r="C329" s="79" t="s">
        <v>2516</v>
      </c>
      <c r="D329" s="79" t="s">
        <v>2516</v>
      </c>
      <c r="E329" s="79" t="s">
        <v>1465</v>
      </c>
      <c r="F329" s="79" t="s">
        <v>2497</v>
      </c>
      <c r="G329" s="79" t="s">
        <v>1386</v>
      </c>
      <c r="AU329" s="77" t="s">
        <v>2517</v>
      </c>
    </row>
    <row r="330" spans="1:47" hidden="1" x14ac:dyDescent="0.3">
      <c r="A330" s="79" t="s">
        <v>2502</v>
      </c>
      <c r="B330" s="79" t="s">
        <v>1391</v>
      </c>
      <c r="C330" s="79" t="s">
        <v>2518</v>
      </c>
      <c r="D330" s="79" t="s">
        <v>2518</v>
      </c>
      <c r="E330" s="79" t="s">
        <v>1465</v>
      </c>
      <c r="F330" s="79" t="s">
        <v>2497</v>
      </c>
      <c r="G330" s="79" t="s">
        <v>1386</v>
      </c>
      <c r="AU330" s="77" t="s">
        <v>2519</v>
      </c>
    </row>
    <row r="331" spans="1:47" hidden="1" x14ac:dyDescent="0.3">
      <c r="A331" s="79" t="s">
        <v>2520</v>
      </c>
      <c r="B331" s="79" t="s">
        <v>1392</v>
      </c>
      <c r="C331" s="79" t="s">
        <v>2521</v>
      </c>
      <c r="D331" s="79" t="s">
        <v>2521</v>
      </c>
      <c r="E331" s="79" t="s">
        <v>1444</v>
      </c>
      <c r="F331" s="79" t="s">
        <v>2502</v>
      </c>
      <c r="G331" s="79" t="s">
        <v>1391</v>
      </c>
      <c r="AU331" s="77" t="s">
        <v>2522</v>
      </c>
    </row>
    <row r="332" spans="1:47" hidden="1" x14ac:dyDescent="0.3">
      <c r="A332" s="79" t="s">
        <v>2523</v>
      </c>
      <c r="B332" s="79" t="s">
        <v>1393</v>
      </c>
      <c r="C332" s="79" t="s">
        <v>2524</v>
      </c>
      <c r="D332" s="79" t="s">
        <v>2524</v>
      </c>
      <c r="E332" s="79" t="s">
        <v>1444</v>
      </c>
      <c r="F332" s="79" t="s">
        <v>2513</v>
      </c>
      <c r="G332" s="79" t="s">
        <v>2514</v>
      </c>
      <c r="AU332" s="77" t="s">
        <v>2525</v>
      </c>
    </row>
    <row r="333" spans="1:47" hidden="1" x14ac:dyDescent="0.3">
      <c r="A333" s="79" t="s">
        <v>2526</v>
      </c>
      <c r="B333" s="79" t="s">
        <v>1394</v>
      </c>
      <c r="C333" s="79" t="s">
        <v>2527</v>
      </c>
      <c r="D333" s="79" t="s">
        <v>2527</v>
      </c>
      <c r="E333" s="79" t="s">
        <v>1444</v>
      </c>
      <c r="F333" s="79" t="s">
        <v>2502</v>
      </c>
      <c r="G333" s="79" t="s">
        <v>1391</v>
      </c>
      <c r="AU333" s="77" t="s">
        <v>2528</v>
      </c>
    </row>
    <row r="334" spans="1:47" hidden="1" x14ac:dyDescent="0.3">
      <c r="A334" s="79" t="s">
        <v>2529</v>
      </c>
      <c r="B334" s="79" t="s">
        <v>2530</v>
      </c>
      <c r="C334" s="79" t="s">
        <v>2531</v>
      </c>
      <c r="D334" s="79" t="s">
        <v>2531</v>
      </c>
      <c r="E334" s="79" t="s">
        <v>1457</v>
      </c>
      <c r="F334" s="79" t="s">
        <v>2502</v>
      </c>
      <c r="G334" s="79" t="s">
        <v>1391</v>
      </c>
      <c r="AU334" s="77" t="s">
        <v>2532</v>
      </c>
    </row>
    <row r="335" spans="1:47" hidden="1" x14ac:dyDescent="0.3">
      <c r="A335" s="79" t="s">
        <v>2533</v>
      </c>
      <c r="B335" s="79" t="s">
        <v>1395</v>
      </c>
      <c r="C335" s="79" t="s">
        <v>2534</v>
      </c>
      <c r="D335" s="79" t="s">
        <v>2534</v>
      </c>
      <c r="E335" s="79" t="s">
        <v>1444</v>
      </c>
      <c r="F335" s="79" t="s">
        <v>2502</v>
      </c>
      <c r="G335" s="79" t="s">
        <v>1391</v>
      </c>
      <c r="AU335" s="77" t="s">
        <v>2535</v>
      </c>
    </row>
    <row r="336" spans="1:47" hidden="1" x14ac:dyDescent="0.3">
      <c r="A336" s="79" t="s">
        <v>2536</v>
      </c>
      <c r="B336" s="79" t="s">
        <v>2537</v>
      </c>
      <c r="C336" s="79" t="s">
        <v>2538</v>
      </c>
      <c r="D336" s="79" t="s">
        <v>2538</v>
      </c>
      <c r="E336" s="79" t="s">
        <v>2002</v>
      </c>
      <c r="F336" s="79" t="s">
        <v>2502</v>
      </c>
      <c r="G336" s="79" t="s">
        <v>1391</v>
      </c>
      <c r="AU336" s="77" t="s">
        <v>2539</v>
      </c>
    </row>
    <row r="337" spans="1:47" hidden="1" x14ac:dyDescent="0.3">
      <c r="A337" s="79" t="s">
        <v>2540</v>
      </c>
      <c r="B337" s="79" t="s">
        <v>2541</v>
      </c>
      <c r="C337" s="79" t="s">
        <v>2542</v>
      </c>
      <c r="D337" s="79" t="s">
        <v>2542</v>
      </c>
      <c r="E337" s="79" t="s">
        <v>1745</v>
      </c>
      <c r="F337" s="79" t="s">
        <v>2502</v>
      </c>
      <c r="G337" s="79" t="s">
        <v>1391</v>
      </c>
      <c r="AU337" s="77" t="s">
        <v>2543</v>
      </c>
    </row>
    <row r="338" spans="1:47" hidden="1" x14ac:dyDescent="0.3">
      <c r="A338" s="79" t="s">
        <v>2544</v>
      </c>
      <c r="B338" s="79" t="s">
        <v>1396</v>
      </c>
      <c r="C338" s="79" t="s">
        <v>2545</v>
      </c>
      <c r="D338" s="79" t="s">
        <v>2545</v>
      </c>
      <c r="E338" s="79" t="s">
        <v>1444</v>
      </c>
      <c r="F338" s="79" t="s">
        <v>2502</v>
      </c>
      <c r="G338" s="79" t="s">
        <v>1391</v>
      </c>
      <c r="AU338" s="77" t="s">
        <v>2546</v>
      </c>
    </row>
    <row r="339" spans="1:47" hidden="1" x14ac:dyDescent="0.3">
      <c r="A339" s="79" t="s">
        <v>2547</v>
      </c>
      <c r="B339" s="79" t="s">
        <v>1397</v>
      </c>
      <c r="C339" s="79" t="s">
        <v>2548</v>
      </c>
      <c r="D339" s="79" t="s">
        <v>2548</v>
      </c>
      <c r="E339" s="79" t="s">
        <v>1444</v>
      </c>
      <c r="F339" s="79" t="s">
        <v>2513</v>
      </c>
      <c r="G339" s="79" t="s">
        <v>2514</v>
      </c>
      <c r="AU339" s="77" t="s">
        <v>2549</v>
      </c>
    </row>
    <row r="340" spans="1:47" hidden="1" x14ac:dyDescent="0.3">
      <c r="A340" s="79" t="s">
        <v>2550</v>
      </c>
      <c r="B340" s="79" t="s">
        <v>1398</v>
      </c>
      <c r="C340" s="79" t="s">
        <v>2551</v>
      </c>
      <c r="D340" s="79" t="s">
        <v>2551</v>
      </c>
      <c r="E340" s="79" t="s">
        <v>1444</v>
      </c>
      <c r="F340" s="79" t="s">
        <v>2513</v>
      </c>
      <c r="G340" s="79" t="s">
        <v>2514</v>
      </c>
      <c r="AU340" s="77" t="s">
        <v>2552</v>
      </c>
    </row>
    <row r="341" spans="1:47" hidden="1" x14ac:dyDescent="0.3">
      <c r="A341" s="79" t="s">
        <v>2553</v>
      </c>
      <c r="B341" s="79" t="s">
        <v>1399</v>
      </c>
      <c r="C341" s="79" t="s">
        <v>2554</v>
      </c>
      <c r="D341" s="79" t="s">
        <v>2554</v>
      </c>
      <c r="E341" s="79" t="s">
        <v>1444</v>
      </c>
      <c r="F341" s="79" t="s">
        <v>2513</v>
      </c>
      <c r="G341" s="79" t="s">
        <v>2514</v>
      </c>
      <c r="AU341" s="77" t="s">
        <v>2555</v>
      </c>
    </row>
    <row r="342" spans="1:47" hidden="1" x14ac:dyDescent="0.3">
      <c r="A342" s="79" t="s">
        <v>2556</v>
      </c>
      <c r="B342" s="79" t="s">
        <v>1400</v>
      </c>
      <c r="C342" s="79" t="s">
        <v>2557</v>
      </c>
      <c r="D342" s="79" t="s">
        <v>2557</v>
      </c>
      <c r="E342" s="79" t="s">
        <v>2002</v>
      </c>
      <c r="F342" s="79" t="s">
        <v>2502</v>
      </c>
      <c r="G342" s="79" t="s">
        <v>1391</v>
      </c>
      <c r="AU342" s="77" t="s">
        <v>2558</v>
      </c>
    </row>
    <row r="343" spans="1:47" hidden="1" x14ac:dyDescent="0.3">
      <c r="A343" s="79" t="s">
        <v>2559</v>
      </c>
      <c r="B343" s="79" t="s">
        <v>1401</v>
      </c>
      <c r="C343" s="79" t="s">
        <v>2560</v>
      </c>
      <c r="D343" s="79" t="s">
        <v>2560</v>
      </c>
      <c r="E343" s="79" t="s">
        <v>1631</v>
      </c>
      <c r="F343" s="79" t="s">
        <v>2561</v>
      </c>
      <c r="G343" s="79" t="s">
        <v>1406</v>
      </c>
      <c r="AU343" s="77" t="s">
        <v>2562</v>
      </c>
    </row>
    <row r="344" spans="1:47" hidden="1" x14ac:dyDescent="0.3">
      <c r="A344" s="79" t="s">
        <v>2563</v>
      </c>
      <c r="B344" s="79" t="s">
        <v>1402</v>
      </c>
      <c r="C344" s="79" t="s">
        <v>2564</v>
      </c>
      <c r="D344" s="79" t="s">
        <v>2564</v>
      </c>
      <c r="E344" s="79" t="s">
        <v>1631</v>
      </c>
      <c r="F344" s="79" t="s">
        <v>2561</v>
      </c>
      <c r="G344" s="79" t="s">
        <v>1406</v>
      </c>
      <c r="AU344" s="77" t="s">
        <v>2565</v>
      </c>
    </row>
    <row r="345" spans="1:47" hidden="1" x14ac:dyDescent="0.3">
      <c r="A345" s="79" t="s">
        <v>2566</v>
      </c>
      <c r="B345" s="79" t="s">
        <v>1403</v>
      </c>
      <c r="C345" s="79" t="s">
        <v>2567</v>
      </c>
      <c r="D345" s="79" t="s">
        <v>2567</v>
      </c>
      <c r="E345" s="79" t="s">
        <v>1631</v>
      </c>
      <c r="F345" s="79" t="s">
        <v>2561</v>
      </c>
      <c r="G345" s="79" t="s">
        <v>1406</v>
      </c>
      <c r="AU345" s="77" t="s">
        <v>2568</v>
      </c>
    </row>
    <row r="346" spans="1:47" hidden="1" x14ac:dyDescent="0.3">
      <c r="A346" s="79" t="s">
        <v>2569</v>
      </c>
      <c r="B346" s="79" t="s">
        <v>1404</v>
      </c>
      <c r="C346" s="79" t="s">
        <v>2570</v>
      </c>
      <c r="D346" s="79" t="s">
        <v>2570</v>
      </c>
      <c r="E346" s="79" t="s">
        <v>1631</v>
      </c>
      <c r="F346" s="79" t="s">
        <v>2561</v>
      </c>
      <c r="G346" s="79" t="s">
        <v>1406</v>
      </c>
      <c r="AU346" s="77" t="s">
        <v>2571</v>
      </c>
    </row>
    <row r="347" spans="1:47" hidden="1" x14ac:dyDescent="0.3">
      <c r="A347" s="79" t="s">
        <v>2572</v>
      </c>
      <c r="B347" s="79" t="s">
        <v>1405</v>
      </c>
      <c r="C347" s="79" t="s">
        <v>2573</v>
      </c>
      <c r="D347" s="79" t="s">
        <v>2573</v>
      </c>
      <c r="E347" s="79" t="s">
        <v>1631</v>
      </c>
      <c r="F347" s="79" t="s">
        <v>2561</v>
      </c>
      <c r="G347" s="79" t="s">
        <v>1406</v>
      </c>
      <c r="AU347" s="77" t="s">
        <v>2574</v>
      </c>
    </row>
    <row r="348" spans="1:47" hidden="1" x14ac:dyDescent="0.3">
      <c r="A348" s="79" t="s">
        <v>2561</v>
      </c>
      <c r="B348" s="79" t="s">
        <v>1406</v>
      </c>
      <c r="C348" s="79" t="s">
        <v>2575</v>
      </c>
      <c r="D348" s="79" t="s">
        <v>2575</v>
      </c>
      <c r="E348" s="79" t="s">
        <v>1472</v>
      </c>
      <c r="F348" s="79" t="s">
        <v>2453</v>
      </c>
      <c r="G348" s="79" t="s">
        <v>9</v>
      </c>
      <c r="AU348" s="77" t="s">
        <v>2576</v>
      </c>
    </row>
    <row r="349" spans="1:47" hidden="1" x14ac:dyDescent="0.3">
      <c r="A349" s="79" t="s">
        <v>2577</v>
      </c>
      <c r="B349" s="79" t="s">
        <v>2578</v>
      </c>
      <c r="C349" s="79" t="s">
        <v>2579</v>
      </c>
      <c r="D349" s="79" t="s">
        <v>2579</v>
      </c>
      <c r="E349" s="79" t="s">
        <v>1457</v>
      </c>
      <c r="F349" s="79" t="s">
        <v>2453</v>
      </c>
      <c r="G349" s="79" t="s">
        <v>9</v>
      </c>
      <c r="AU349" s="77" t="s">
        <v>2580</v>
      </c>
    </row>
    <row r="350" spans="1:47" hidden="1" x14ac:dyDescent="0.3">
      <c r="A350" s="79" t="s">
        <v>2581</v>
      </c>
      <c r="B350" s="79" t="s">
        <v>2582</v>
      </c>
      <c r="C350" s="79" t="s">
        <v>2583</v>
      </c>
      <c r="D350" s="79" t="s">
        <v>2583</v>
      </c>
      <c r="E350" s="79" t="s">
        <v>1457</v>
      </c>
      <c r="F350" s="79" t="s">
        <v>2453</v>
      </c>
      <c r="G350" s="79" t="s">
        <v>9</v>
      </c>
      <c r="AU350" s="77" t="s">
        <v>2584</v>
      </c>
    </row>
    <row r="351" spans="1:47" hidden="1" x14ac:dyDescent="0.3">
      <c r="A351" s="79" t="s">
        <v>2585</v>
      </c>
      <c r="B351" s="79" t="s">
        <v>2586</v>
      </c>
      <c r="C351" s="79" t="s">
        <v>2587</v>
      </c>
      <c r="D351" s="79" t="s">
        <v>2587</v>
      </c>
      <c r="E351" s="79" t="s">
        <v>1457</v>
      </c>
      <c r="F351" s="79" t="s">
        <v>2453</v>
      </c>
      <c r="G351" s="79" t="s">
        <v>9</v>
      </c>
      <c r="AU351" s="77" t="s">
        <v>2588</v>
      </c>
    </row>
    <row r="352" spans="1:47" hidden="1" x14ac:dyDescent="0.3">
      <c r="A352" s="79" t="s">
        <v>2589</v>
      </c>
      <c r="B352" s="79" t="s">
        <v>1407</v>
      </c>
      <c r="C352" s="79" t="s">
        <v>944</v>
      </c>
      <c r="D352" s="79" t="s">
        <v>944</v>
      </c>
      <c r="E352" s="79" t="s">
        <v>1457</v>
      </c>
      <c r="F352" s="79" t="s">
        <v>2453</v>
      </c>
      <c r="G352" s="79" t="s">
        <v>9</v>
      </c>
      <c r="AU352" s="77" t="s">
        <v>2590</v>
      </c>
    </row>
    <row r="353" spans="1:47" hidden="1" x14ac:dyDescent="0.3">
      <c r="A353" s="79" t="s">
        <v>2591</v>
      </c>
      <c r="B353" s="79" t="s">
        <v>1408</v>
      </c>
      <c r="C353" s="79" t="s">
        <v>2592</v>
      </c>
      <c r="D353" s="79" t="s">
        <v>2592</v>
      </c>
      <c r="E353" s="79" t="s">
        <v>1472</v>
      </c>
      <c r="F353" s="79" t="s">
        <v>2453</v>
      </c>
      <c r="G353" s="79" t="s">
        <v>9</v>
      </c>
      <c r="AU353" s="77" t="s">
        <v>2593</v>
      </c>
    </row>
    <row r="354" spans="1:47" hidden="1" x14ac:dyDescent="0.3">
      <c r="A354" s="79" t="s">
        <v>2594</v>
      </c>
      <c r="B354" s="79" t="s">
        <v>1409</v>
      </c>
      <c r="C354" s="79" t="s">
        <v>2595</v>
      </c>
      <c r="D354" s="79" t="s">
        <v>2595</v>
      </c>
      <c r="E354" s="79" t="s">
        <v>1631</v>
      </c>
      <c r="F354" s="79" t="s">
        <v>2591</v>
      </c>
      <c r="G354" s="79" t="s">
        <v>1408</v>
      </c>
      <c r="AU354" s="77" t="s">
        <v>2596</v>
      </c>
    </row>
    <row r="355" spans="1:47" hidden="1" x14ac:dyDescent="0.3">
      <c r="A355" s="79" t="s">
        <v>2597</v>
      </c>
      <c r="B355" s="79" t="s">
        <v>1410</v>
      </c>
      <c r="C355" s="79" t="s">
        <v>2598</v>
      </c>
      <c r="D355" s="79" t="s">
        <v>2598</v>
      </c>
      <c r="E355" s="79" t="s">
        <v>1631</v>
      </c>
      <c r="F355" s="79" t="s">
        <v>2591</v>
      </c>
      <c r="G355" s="79" t="s">
        <v>1408</v>
      </c>
      <c r="AU355" s="77" t="s">
        <v>2599</v>
      </c>
    </row>
    <row r="356" spans="1:47" hidden="1" x14ac:dyDescent="0.3">
      <c r="A356" s="79" t="s">
        <v>2600</v>
      </c>
      <c r="B356" s="79" t="s">
        <v>1411</v>
      </c>
      <c r="C356" s="79" t="s">
        <v>2601</v>
      </c>
      <c r="D356" s="79" t="s">
        <v>2601</v>
      </c>
      <c r="E356" s="79" t="s">
        <v>1631</v>
      </c>
      <c r="F356" s="79" t="s">
        <v>2591</v>
      </c>
      <c r="G356" s="79" t="s">
        <v>1408</v>
      </c>
      <c r="AU356" s="77" t="s">
        <v>2602</v>
      </c>
    </row>
    <row r="357" spans="1:47" hidden="1" x14ac:dyDescent="0.3">
      <c r="A357" s="79" t="s">
        <v>2603</v>
      </c>
      <c r="B357" s="79" t="s">
        <v>1412</v>
      </c>
      <c r="C357" s="79" t="s">
        <v>2604</v>
      </c>
      <c r="D357" s="79" t="s">
        <v>2604</v>
      </c>
      <c r="E357" s="79" t="s">
        <v>1631</v>
      </c>
      <c r="F357" s="79" t="s">
        <v>2591</v>
      </c>
      <c r="G357" s="79" t="s">
        <v>1408</v>
      </c>
      <c r="AU357" s="77" t="s">
        <v>2605</v>
      </c>
    </row>
    <row r="358" spans="1:47" hidden="1" x14ac:dyDescent="0.3">
      <c r="A358" s="79" t="s">
        <v>2606</v>
      </c>
      <c r="B358" s="79" t="s">
        <v>2607</v>
      </c>
      <c r="C358" s="79" t="s">
        <v>2608</v>
      </c>
      <c r="D358" s="79" t="s">
        <v>2608</v>
      </c>
      <c r="E358" s="79" t="s">
        <v>1457</v>
      </c>
      <c r="F358" s="79" t="s">
        <v>2453</v>
      </c>
      <c r="G358" s="79" t="s">
        <v>9</v>
      </c>
      <c r="AU358" s="77" t="s">
        <v>2609</v>
      </c>
    </row>
    <row r="359" spans="1:47" hidden="1" x14ac:dyDescent="0.3">
      <c r="A359" s="79" t="s">
        <v>2610</v>
      </c>
      <c r="B359" s="79" t="s">
        <v>1413</v>
      </c>
      <c r="C359" s="79" t="s">
        <v>2611</v>
      </c>
      <c r="D359" s="79" t="s">
        <v>2611</v>
      </c>
      <c r="E359" s="79" t="s">
        <v>1745</v>
      </c>
      <c r="F359" s="79" t="s">
        <v>2453</v>
      </c>
      <c r="G359" s="79" t="s">
        <v>9</v>
      </c>
      <c r="AU359" s="77" t="s">
        <v>2612</v>
      </c>
    </row>
    <row r="360" spans="1:47" hidden="1" x14ac:dyDescent="0.3">
      <c r="A360" s="79" t="s">
        <v>2613</v>
      </c>
      <c r="B360" s="79" t="s">
        <v>1414</v>
      </c>
      <c r="C360" s="79" t="s">
        <v>2614</v>
      </c>
      <c r="D360" s="79" t="s">
        <v>2614</v>
      </c>
      <c r="E360" s="79" t="s">
        <v>1472</v>
      </c>
      <c r="F360" s="79" t="s">
        <v>2453</v>
      </c>
      <c r="G360" s="79" t="s">
        <v>9</v>
      </c>
      <c r="AU360" s="77" t="s">
        <v>2615</v>
      </c>
    </row>
    <row r="361" spans="1:47" hidden="1" x14ac:dyDescent="0.3">
      <c r="A361" s="79" t="s">
        <v>2616</v>
      </c>
      <c r="B361" s="79" t="s">
        <v>1415</v>
      </c>
      <c r="C361" s="79" t="s">
        <v>2617</v>
      </c>
      <c r="D361" s="79" t="s">
        <v>2617</v>
      </c>
      <c r="E361" s="79" t="s">
        <v>1631</v>
      </c>
      <c r="F361" s="79" t="s">
        <v>2613</v>
      </c>
      <c r="G361" s="79" t="s">
        <v>1414</v>
      </c>
      <c r="AU361" s="77" t="s">
        <v>2618</v>
      </c>
    </row>
    <row r="362" spans="1:47" hidden="1" x14ac:dyDescent="0.3">
      <c r="A362" s="79" t="s">
        <v>2619</v>
      </c>
      <c r="B362" s="79" t="s">
        <v>1416</v>
      </c>
      <c r="C362" s="79" t="s">
        <v>2620</v>
      </c>
      <c r="D362" s="79" t="s">
        <v>2620</v>
      </c>
      <c r="E362" s="79" t="s">
        <v>1631</v>
      </c>
      <c r="F362" s="79" t="s">
        <v>2613</v>
      </c>
      <c r="G362" s="79" t="s">
        <v>1414</v>
      </c>
      <c r="AU362" s="77" t="s">
        <v>2621</v>
      </c>
    </row>
    <row r="363" spans="1:47" hidden="1" x14ac:dyDescent="0.3">
      <c r="A363" s="79" t="s">
        <v>2622</v>
      </c>
      <c r="B363" s="79" t="s">
        <v>1417</v>
      </c>
      <c r="C363" s="79" t="s">
        <v>2623</v>
      </c>
      <c r="D363" s="79" t="s">
        <v>2623</v>
      </c>
      <c r="E363" s="79" t="s">
        <v>1631</v>
      </c>
      <c r="F363" s="79" t="s">
        <v>2613</v>
      </c>
      <c r="G363" s="79" t="s">
        <v>1414</v>
      </c>
      <c r="AU363" s="77" t="s">
        <v>2624</v>
      </c>
    </row>
    <row r="364" spans="1:47" hidden="1" x14ac:dyDescent="0.3">
      <c r="A364" s="79" t="s">
        <v>2625</v>
      </c>
      <c r="B364" s="79" t="s">
        <v>1418</v>
      </c>
      <c r="C364" s="79" t="s">
        <v>2626</v>
      </c>
      <c r="D364" s="79" t="s">
        <v>2626</v>
      </c>
      <c r="E364" s="79" t="s">
        <v>1631</v>
      </c>
      <c r="F364" s="79" t="s">
        <v>2613</v>
      </c>
      <c r="G364" s="79" t="s">
        <v>1414</v>
      </c>
      <c r="AU364" s="77" t="s">
        <v>2627</v>
      </c>
    </row>
    <row r="365" spans="1:47" hidden="1" x14ac:dyDescent="0.3">
      <c r="A365" s="79" t="s">
        <v>2628</v>
      </c>
      <c r="B365" s="79" t="s">
        <v>1419</v>
      </c>
      <c r="C365" s="79" t="s">
        <v>2629</v>
      </c>
      <c r="D365" s="79" t="s">
        <v>2629</v>
      </c>
      <c r="E365" s="79" t="s">
        <v>1745</v>
      </c>
      <c r="F365" s="79" t="s">
        <v>2613</v>
      </c>
      <c r="G365" s="79" t="s">
        <v>1414</v>
      </c>
      <c r="AU365" s="77" t="s">
        <v>2630</v>
      </c>
    </row>
    <row r="366" spans="1:47" hidden="1" x14ac:dyDescent="0.3">
      <c r="A366" s="79" t="s">
        <v>2631</v>
      </c>
      <c r="B366" s="79" t="s">
        <v>1420</v>
      </c>
      <c r="C366" s="79" t="s">
        <v>2632</v>
      </c>
      <c r="D366" s="79" t="s">
        <v>2632</v>
      </c>
      <c r="E366" s="79" t="s">
        <v>1631</v>
      </c>
      <c r="F366" s="79" t="s">
        <v>2613</v>
      </c>
      <c r="G366" s="79" t="s">
        <v>1414</v>
      </c>
      <c r="AU366" s="77" t="s">
        <v>2633</v>
      </c>
    </row>
    <row r="367" spans="1:47" hidden="1" x14ac:dyDescent="0.3">
      <c r="A367" s="79" t="s">
        <v>2634</v>
      </c>
      <c r="B367" s="79" t="s">
        <v>1421</v>
      </c>
      <c r="C367" s="79" t="s">
        <v>2635</v>
      </c>
      <c r="D367" s="79" t="s">
        <v>2635</v>
      </c>
      <c r="E367" s="79" t="s">
        <v>1631</v>
      </c>
      <c r="F367" s="79" t="s">
        <v>2613</v>
      </c>
      <c r="G367" s="79" t="s">
        <v>1414</v>
      </c>
      <c r="AU367" s="77" t="s">
        <v>2636</v>
      </c>
    </row>
    <row r="368" spans="1:47" hidden="1" x14ac:dyDescent="0.3">
      <c r="A368" s="79" t="s">
        <v>2637</v>
      </c>
      <c r="B368" s="79" t="s">
        <v>1422</v>
      </c>
      <c r="C368" s="79" t="s">
        <v>2638</v>
      </c>
      <c r="D368" s="79" t="s">
        <v>2638</v>
      </c>
      <c r="E368" s="79" t="s">
        <v>1631</v>
      </c>
      <c r="F368" s="79" t="s">
        <v>2613</v>
      </c>
      <c r="G368" s="79" t="s">
        <v>1414</v>
      </c>
      <c r="AU368" s="77" t="s">
        <v>2639</v>
      </c>
    </row>
    <row r="369" spans="1:47" hidden="1" x14ac:dyDescent="0.3">
      <c r="A369" s="79" t="s">
        <v>2640</v>
      </c>
      <c r="B369" s="79" t="s">
        <v>2641</v>
      </c>
      <c r="C369" s="79" t="s">
        <v>2642</v>
      </c>
      <c r="D369" s="79" t="s">
        <v>2642</v>
      </c>
      <c r="E369" s="79" t="s">
        <v>1457</v>
      </c>
      <c r="F369" s="79" t="s">
        <v>2613</v>
      </c>
      <c r="G369" s="79" t="s">
        <v>1414</v>
      </c>
      <c r="AU369" s="77" t="s">
        <v>2643</v>
      </c>
    </row>
    <row r="370" spans="1:47" hidden="1" x14ac:dyDescent="0.3">
      <c r="A370" s="79" t="s">
        <v>2644</v>
      </c>
      <c r="B370" s="79" t="s">
        <v>1423</v>
      </c>
      <c r="C370" s="79" t="s">
        <v>2645</v>
      </c>
      <c r="D370" s="79" t="s">
        <v>2645</v>
      </c>
      <c r="E370" s="79" t="s">
        <v>1457</v>
      </c>
      <c r="F370" s="79" t="s">
        <v>2453</v>
      </c>
      <c r="G370" s="79" t="s">
        <v>9</v>
      </c>
      <c r="AU370" s="77" t="s">
        <v>2646</v>
      </c>
    </row>
    <row r="371" spans="1:47" hidden="1" x14ac:dyDescent="0.3">
      <c r="A371" s="79" t="s">
        <v>2647</v>
      </c>
      <c r="B371" s="79" t="s">
        <v>2648</v>
      </c>
      <c r="C371" s="79" t="s">
        <v>2649</v>
      </c>
      <c r="D371" s="79" t="s">
        <v>2649</v>
      </c>
      <c r="E371" s="79" t="s">
        <v>1621</v>
      </c>
      <c r="F371" s="79" t="s">
        <v>1439</v>
      </c>
      <c r="G371" s="79" t="s">
        <v>1440</v>
      </c>
      <c r="AU371" s="77" t="s">
        <v>2650</v>
      </c>
    </row>
  </sheetData>
  <autoFilter ref="A1:G371">
    <filterColumn colId="1">
      <filters>
        <filter val="PPK"/>
        <filter val="PPK-APITSZ"/>
        <filter val="PPK-DÉKÁNI"/>
        <filter val="PPK-EKTI"/>
        <filter val="PPK-ÉLETVEZTAN"/>
        <filter val="PPK-ESI"/>
        <filter val="PPK-FEJLPSZITSZ"/>
        <filter val="PPK-FTI"/>
        <filter val="PPK-GAZDPSZITSZ"/>
        <filter val="PPK-GH"/>
        <filter val="PPK-IPPI"/>
        <filter val="PPK-KLINPSZITSZ"/>
        <filter val="PPK-KOGPSZITSZ"/>
        <filter val="PPK-KÖNYVTÁR"/>
        <filter val="PPK-NI"/>
        <filter val="PPK-PI"/>
        <filter val="PPK-PI-TANISKTSZ"/>
        <filter val="PPK-PSZIKÖNYVTÁR"/>
        <filter val="PPK-SEK-PPI"/>
        <filter val="PPK-SEK-SI"/>
        <filter val="PPK-SZEMEGPSZITSZ"/>
        <filter val="PPK-SZOCPSZITSZ"/>
        <filter val="PPK-TH"/>
      </filters>
    </filterColumn>
  </autoFilter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B123"/>
  <sheetViews>
    <sheetView workbookViewId="0"/>
  </sheetViews>
  <sheetFormatPr defaultRowHeight="15.6" x14ac:dyDescent="0.3"/>
  <cols>
    <col min="1" max="1" width="15.109375" customWidth="1"/>
    <col min="2" max="2" width="16.33203125" bestFit="1" customWidth="1"/>
    <col min="3" max="3" width="28.109375" bestFit="1" customWidth="1"/>
    <col min="4" max="4" width="33.109375" bestFit="1" customWidth="1"/>
    <col min="5" max="5" width="30.77734375" bestFit="1" customWidth="1"/>
    <col min="6" max="6" width="14.21875" customWidth="1"/>
    <col min="7" max="7" width="12.33203125" bestFit="1" customWidth="1"/>
  </cols>
  <sheetData>
    <row r="1" spans="1:2" x14ac:dyDescent="0.3">
      <c r="A1" s="4" t="s">
        <v>81</v>
      </c>
      <c r="B1" s="4" t="s">
        <v>78</v>
      </c>
    </row>
    <row r="2" spans="1:2" x14ac:dyDescent="0.3">
      <c r="A2" t="s">
        <v>83</v>
      </c>
      <c r="B2">
        <v>14</v>
      </c>
    </row>
    <row r="3" spans="1:2" x14ac:dyDescent="0.3">
      <c r="A3" t="s">
        <v>83</v>
      </c>
      <c r="B3">
        <v>15</v>
      </c>
    </row>
    <row r="4" spans="1:2" x14ac:dyDescent="0.3">
      <c r="A4" t="s">
        <v>83</v>
      </c>
      <c r="B4">
        <v>16</v>
      </c>
    </row>
    <row r="5" spans="1:2" x14ac:dyDescent="0.3">
      <c r="A5" t="s">
        <v>83</v>
      </c>
      <c r="B5">
        <v>17</v>
      </c>
    </row>
    <row r="6" spans="1:2" x14ac:dyDescent="0.3">
      <c r="A6" t="s">
        <v>83</v>
      </c>
      <c r="B6">
        <v>18</v>
      </c>
    </row>
    <row r="7" spans="1:2" x14ac:dyDescent="0.3">
      <c r="A7" t="s">
        <v>83</v>
      </c>
      <c r="B7">
        <v>19</v>
      </c>
    </row>
    <row r="8" spans="1:2" x14ac:dyDescent="0.3">
      <c r="A8" t="s">
        <v>83</v>
      </c>
      <c r="B8">
        <v>20</v>
      </c>
    </row>
    <row r="9" spans="1:2" x14ac:dyDescent="0.3">
      <c r="A9" t="s">
        <v>83</v>
      </c>
      <c r="B9">
        <v>21</v>
      </c>
    </row>
    <row r="10" spans="1:2" x14ac:dyDescent="0.3">
      <c r="A10" t="s">
        <v>83</v>
      </c>
      <c r="B10">
        <v>22</v>
      </c>
    </row>
    <row r="11" spans="1:2" x14ac:dyDescent="0.3">
      <c r="A11" t="s">
        <v>83</v>
      </c>
      <c r="B11">
        <v>23</v>
      </c>
    </row>
    <row r="12" spans="1:2" x14ac:dyDescent="0.3">
      <c r="A12" t="s">
        <v>83</v>
      </c>
      <c r="B12">
        <v>24</v>
      </c>
    </row>
    <row r="13" spans="1:2" x14ac:dyDescent="0.3">
      <c r="A13" t="s">
        <v>83</v>
      </c>
      <c r="B13">
        <v>25</v>
      </c>
    </row>
    <row r="14" spans="1:2" x14ac:dyDescent="0.3">
      <c r="A14" t="s">
        <v>83</v>
      </c>
      <c r="B14">
        <v>26</v>
      </c>
    </row>
    <row r="15" spans="1:2" x14ac:dyDescent="0.3">
      <c r="A15" t="s">
        <v>83</v>
      </c>
      <c r="B15">
        <v>27</v>
      </c>
    </row>
    <row r="16" spans="1:2" x14ac:dyDescent="0.3">
      <c r="A16" t="s">
        <v>83</v>
      </c>
      <c r="B16">
        <v>28</v>
      </c>
    </row>
    <row r="17" spans="1:2" x14ac:dyDescent="0.3">
      <c r="A17" t="s">
        <v>83</v>
      </c>
      <c r="B17">
        <v>29</v>
      </c>
    </row>
    <row r="18" spans="1:2" x14ac:dyDescent="0.3">
      <c r="A18" t="s">
        <v>83</v>
      </c>
      <c r="B18">
        <v>30</v>
      </c>
    </row>
    <row r="19" spans="1:2" x14ac:dyDescent="0.3">
      <c r="A19" t="s">
        <v>83</v>
      </c>
      <c r="B19">
        <v>31</v>
      </c>
    </row>
    <row r="20" spans="1:2" x14ac:dyDescent="0.3">
      <c r="A20" t="s">
        <v>83</v>
      </c>
      <c r="B20">
        <v>32</v>
      </c>
    </row>
    <row r="21" spans="1:2" x14ac:dyDescent="0.3">
      <c r="A21" t="s">
        <v>83</v>
      </c>
      <c r="B21">
        <v>33</v>
      </c>
    </row>
    <row r="22" spans="1:2" x14ac:dyDescent="0.3">
      <c r="A22" t="s">
        <v>83</v>
      </c>
      <c r="B22">
        <v>34</v>
      </c>
    </row>
    <row r="23" spans="1:2" x14ac:dyDescent="0.3">
      <c r="A23" t="s">
        <v>83</v>
      </c>
      <c r="B23">
        <v>35</v>
      </c>
    </row>
    <row r="24" spans="1:2" x14ac:dyDescent="0.3">
      <c r="A24" t="s">
        <v>83</v>
      </c>
      <c r="B24">
        <v>36</v>
      </c>
    </row>
    <row r="25" spans="1:2" x14ac:dyDescent="0.3">
      <c r="A25" t="s">
        <v>83</v>
      </c>
      <c r="B25">
        <v>37</v>
      </c>
    </row>
    <row r="26" spans="1:2" x14ac:dyDescent="0.3">
      <c r="A26" t="s">
        <v>83</v>
      </c>
      <c r="B26">
        <v>38</v>
      </c>
    </row>
    <row r="27" spans="1:2" x14ac:dyDescent="0.3">
      <c r="A27" t="s">
        <v>83</v>
      </c>
      <c r="B27">
        <v>39</v>
      </c>
    </row>
    <row r="28" spans="1:2" x14ac:dyDescent="0.3">
      <c r="A28" t="s">
        <v>83</v>
      </c>
      <c r="B28">
        <v>40</v>
      </c>
    </row>
    <row r="29" spans="1:2" x14ac:dyDescent="0.3">
      <c r="A29" t="s">
        <v>83</v>
      </c>
      <c r="B29">
        <v>41</v>
      </c>
    </row>
    <row r="30" spans="1:2" x14ac:dyDescent="0.3">
      <c r="A30" t="s">
        <v>83</v>
      </c>
      <c r="B30">
        <v>42</v>
      </c>
    </row>
    <row r="31" spans="1:2" x14ac:dyDescent="0.3">
      <c r="A31" t="s">
        <v>83</v>
      </c>
      <c r="B31">
        <v>43</v>
      </c>
    </row>
    <row r="32" spans="1:2" x14ac:dyDescent="0.3">
      <c r="A32" t="s">
        <v>83</v>
      </c>
      <c r="B32">
        <v>44</v>
      </c>
    </row>
    <row r="33" spans="1:2" x14ac:dyDescent="0.3">
      <c r="A33" t="s">
        <v>83</v>
      </c>
      <c r="B33">
        <v>45</v>
      </c>
    </row>
    <row r="34" spans="1:2" x14ac:dyDescent="0.3">
      <c r="A34" t="s">
        <v>83</v>
      </c>
      <c r="B34">
        <v>46</v>
      </c>
    </row>
    <row r="35" spans="1:2" x14ac:dyDescent="0.3">
      <c r="A35" t="s">
        <v>83</v>
      </c>
      <c r="B35">
        <v>47</v>
      </c>
    </row>
    <row r="36" spans="1:2" x14ac:dyDescent="0.3">
      <c r="A36" t="s">
        <v>83</v>
      </c>
      <c r="B36">
        <v>48</v>
      </c>
    </row>
    <row r="37" spans="1:2" x14ac:dyDescent="0.3">
      <c r="A37" t="s">
        <v>83</v>
      </c>
      <c r="B37">
        <v>49</v>
      </c>
    </row>
    <row r="38" spans="1:2" x14ac:dyDescent="0.3">
      <c r="A38" t="s">
        <v>83</v>
      </c>
      <c r="B38">
        <v>50</v>
      </c>
    </row>
    <row r="39" spans="1:2" x14ac:dyDescent="0.3">
      <c r="A39" t="s">
        <v>83</v>
      </c>
      <c r="B39">
        <v>51</v>
      </c>
    </row>
    <row r="40" spans="1:2" x14ac:dyDescent="0.3">
      <c r="A40" t="s">
        <v>83</v>
      </c>
      <c r="B40">
        <v>52</v>
      </c>
    </row>
    <row r="41" spans="1:2" x14ac:dyDescent="0.3">
      <c r="A41" t="s">
        <v>83</v>
      </c>
      <c r="B41">
        <v>53</v>
      </c>
    </row>
    <row r="42" spans="1:2" x14ac:dyDescent="0.3">
      <c r="A42" t="s">
        <v>83</v>
      </c>
      <c r="B42">
        <v>54</v>
      </c>
    </row>
    <row r="43" spans="1:2" x14ac:dyDescent="0.3">
      <c r="A43" t="s">
        <v>83</v>
      </c>
      <c r="B43">
        <v>55</v>
      </c>
    </row>
    <row r="44" spans="1:2" x14ac:dyDescent="0.3">
      <c r="A44" t="s">
        <v>83</v>
      </c>
      <c r="B44">
        <v>56</v>
      </c>
    </row>
    <row r="45" spans="1:2" x14ac:dyDescent="0.3">
      <c r="A45" t="s">
        <v>83</v>
      </c>
      <c r="B45">
        <v>57</v>
      </c>
    </row>
    <row r="46" spans="1:2" x14ac:dyDescent="0.3">
      <c r="A46" t="s">
        <v>83</v>
      </c>
      <c r="B46">
        <v>58</v>
      </c>
    </row>
    <row r="47" spans="1:2" x14ac:dyDescent="0.3">
      <c r="A47" t="s">
        <v>83</v>
      </c>
      <c r="B47">
        <v>59</v>
      </c>
    </row>
    <row r="48" spans="1:2" x14ac:dyDescent="0.3">
      <c r="A48" t="s">
        <v>83</v>
      </c>
      <c r="B48">
        <v>60</v>
      </c>
    </row>
    <row r="49" spans="1:2" x14ac:dyDescent="0.3">
      <c r="A49" t="s">
        <v>83</v>
      </c>
      <c r="B49">
        <v>61</v>
      </c>
    </row>
    <row r="50" spans="1:2" x14ac:dyDescent="0.3">
      <c r="A50" t="s">
        <v>83</v>
      </c>
      <c r="B50">
        <v>62</v>
      </c>
    </row>
    <row r="51" spans="1:2" x14ac:dyDescent="0.3">
      <c r="A51" t="s">
        <v>83</v>
      </c>
      <c r="B51">
        <v>63</v>
      </c>
    </row>
    <row r="52" spans="1:2" x14ac:dyDescent="0.3">
      <c r="A52" t="s">
        <v>83</v>
      </c>
      <c r="B52">
        <v>64</v>
      </c>
    </row>
    <row r="53" spans="1:2" x14ac:dyDescent="0.3">
      <c r="A53" t="s">
        <v>83</v>
      </c>
      <c r="B53">
        <v>65</v>
      </c>
    </row>
    <row r="54" spans="1:2" x14ac:dyDescent="0.3">
      <c r="A54" t="s">
        <v>83</v>
      </c>
      <c r="B54">
        <v>66</v>
      </c>
    </row>
    <row r="55" spans="1:2" x14ac:dyDescent="0.3">
      <c r="A55" t="s">
        <v>135</v>
      </c>
    </row>
    <row r="56" spans="1:2" x14ac:dyDescent="0.3">
      <c r="A56" t="s">
        <v>82</v>
      </c>
      <c r="B56">
        <v>233</v>
      </c>
    </row>
    <row r="57" spans="1:2" x14ac:dyDescent="0.3">
      <c r="A57" t="s">
        <v>82</v>
      </c>
      <c r="B57">
        <v>234</v>
      </c>
    </row>
    <row r="58" spans="1:2" x14ac:dyDescent="0.3">
      <c r="A58" t="s">
        <v>82</v>
      </c>
      <c r="B58">
        <v>235</v>
      </c>
    </row>
    <row r="59" spans="1:2" x14ac:dyDescent="0.3">
      <c r="A59" t="s">
        <v>82</v>
      </c>
      <c r="B59">
        <v>236</v>
      </c>
    </row>
    <row r="60" spans="1:2" x14ac:dyDescent="0.3">
      <c r="A60" t="s">
        <v>82</v>
      </c>
      <c r="B60">
        <v>237</v>
      </c>
    </row>
    <row r="61" spans="1:2" x14ac:dyDescent="0.3">
      <c r="A61" t="s">
        <v>82</v>
      </c>
      <c r="B61">
        <v>238</v>
      </c>
    </row>
    <row r="62" spans="1:2" x14ac:dyDescent="0.3">
      <c r="A62" t="s">
        <v>82</v>
      </c>
      <c r="B62">
        <v>239</v>
      </c>
    </row>
    <row r="63" spans="1:2" x14ac:dyDescent="0.3">
      <c r="A63" t="s">
        <v>82</v>
      </c>
      <c r="B63">
        <v>240</v>
      </c>
    </row>
    <row r="64" spans="1:2" x14ac:dyDescent="0.3">
      <c r="A64" t="s">
        <v>82</v>
      </c>
      <c r="B64">
        <v>241</v>
      </c>
    </row>
    <row r="65" spans="1:2" x14ac:dyDescent="0.3">
      <c r="A65" t="s">
        <v>82</v>
      </c>
      <c r="B65">
        <v>242</v>
      </c>
    </row>
    <row r="66" spans="1:2" x14ac:dyDescent="0.3">
      <c r="A66" t="s">
        <v>82</v>
      </c>
      <c r="B66">
        <v>243</v>
      </c>
    </row>
    <row r="67" spans="1:2" x14ac:dyDescent="0.3">
      <c r="A67" t="s">
        <v>82</v>
      </c>
      <c r="B67">
        <v>244</v>
      </c>
    </row>
    <row r="68" spans="1:2" x14ac:dyDescent="0.3">
      <c r="A68" t="s">
        <v>82</v>
      </c>
      <c r="B68">
        <v>245</v>
      </c>
    </row>
    <row r="69" spans="1:2" x14ac:dyDescent="0.3">
      <c r="A69" t="s">
        <v>82</v>
      </c>
      <c r="B69">
        <v>246</v>
      </c>
    </row>
    <row r="70" spans="1:2" x14ac:dyDescent="0.3">
      <c r="A70" t="s">
        <v>82</v>
      </c>
      <c r="B70">
        <v>247</v>
      </c>
    </row>
    <row r="71" spans="1:2" x14ac:dyDescent="0.3">
      <c r="A71" t="s">
        <v>82</v>
      </c>
      <c r="B71">
        <v>248</v>
      </c>
    </row>
    <row r="72" spans="1:2" x14ac:dyDescent="0.3">
      <c r="A72" t="s">
        <v>82</v>
      </c>
      <c r="B72">
        <v>249</v>
      </c>
    </row>
    <row r="73" spans="1:2" x14ac:dyDescent="0.3">
      <c r="A73" t="s">
        <v>82</v>
      </c>
      <c r="B73">
        <v>250</v>
      </c>
    </row>
    <row r="74" spans="1:2" x14ac:dyDescent="0.3">
      <c r="A74" t="s">
        <v>82</v>
      </c>
      <c r="B74">
        <v>251</v>
      </c>
    </row>
    <row r="75" spans="1:2" x14ac:dyDescent="0.3">
      <c r="A75" t="s">
        <v>82</v>
      </c>
      <c r="B75">
        <v>252</v>
      </c>
    </row>
    <row r="76" spans="1:2" x14ac:dyDescent="0.3">
      <c r="A76" t="s">
        <v>82</v>
      </c>
      <c r="B76">
        <v>253</v>
      </c>
    </row>
    <row r="77" spans="1:2" x14ac:dyDescent="0.3">
      <c r="A77" t="s">
        <v>82</v>
      </c>
      <c r="B77">
        <v>254</v>
      </c>
    </row>
    <row r="78" spans="1:2" x14ac:dyDescent="0.3">
      <c r="A78" t="s">
        <v>82</v>
      </c>
      <c r="B78">
        <v>255</v>
      </c>
    </row>
    <row r="79" spans="1:2" x14ac:dyDescent="0.3">
      <c r="A79" t="s">
        <v>82</v>
      </c>
      <c r="B79">
        <v>256</v>
      </c>
    </row>
    <row r="80" spans="1:2" x14ac:dyDescent="0.3">
      <c r="A80" t="s">
        <v>82</v>
      </c>
      <c r="B80">
        <v>257</v>
      </c>
    </row>
    <row r="81" spans="1:2" x14ac:dyDescent="0.3">
      <c r="A81" t="s">
        <v>82</v>
      </c>
      <c r="B81">
        <v>258</v>
      </c>
    </row>
    <row r="82" spans="1:2" x14ac:dyDescent="0.3">
      <c r="A82" t="s">
        <v>82</v>
      </c>
      <c r="B82">
        <v>259</v>
      </c>
    </row>
    <row r="83" spans="1:2" x14ac:dyDescent="0.3">
      <c r="A83" t="s">
        <v>82</v>
      </c>
      <c r="B83">
        <v>260</v>
      </c>
    </row>
    <row r="84" spans="1:2" x14ac:dyDescent="0.3">
      <c r="A84" t="s">
        <v>82</v>
      </c>
      <c r="B84">
        <v>261</v>
      </c>
    </row>
    <row r="85" spans="1:2" x14ac:dyDescent="0.3">
      <c r="A85" t="s">
        <v>82</v>
      </c>
      <c r="B85">
        <v>262</v>
      </c>
    </row>
    <row r="86" spans="1:2" x14ac:dyDescent="0.3">
      <c r="A86" t="s">
        <v>82</v>
      </c>
      <c r="B86">
        <v>263</v>
      </c>
    </row>
    <row r="87" spans="1:2" x14ac:dyDescent="0.3">
      <c r="A87" t="s">
        <v>82</v>
      </c>
      <c r="B87">
        <v>264</v>
      </c>
    </row>
    <row r="88" spans="1:2" x14ac:dyDescent="0.3">
      <c r="A88" t="s">
        <v>82</v>
      </c>
      <c r="B88">
        <v>265</v>
      </c>
    </row>
    <row r="89" spans="1:2" x14ac:dyDescent="0.3">
      <c r="A89" t="s">
        <v>82</v>
      </c>
      <c r="B89">
        <v>266</v>
      </c>
    </row>
    <row r="90" spans="1:2" x14ac:dyDescent="0.3">
      <c r="A90" t="s">
        <v>82</v>
      </c>
      <c r="B90">
        <v>267</v>
      </c>
    </row>
    <row r="91" spans="1:2" x14ac:dyDescent="0.3">
      <c r="A91" t="s">
        <v>82</v>
      </c>
      <c r="B91">
        <v>268</v>
      </c>
    </row>
    <row r="92" spans="1:2" x14ac:dyDescent="0.3">
      <c r="A92" t="s">
        <v>82</v>
      </c>
      <c r="B92">
        <v>269</v>
      </c>
    </row>
    <row r="93" spans="1:2" x14ac:dyDescent="0.3">
      <c r="A93" t="s">
        <v>82</v>
      </c>
      <c r="B93">
        <v>270</v>
      </c>
    </row>
    <row r="94" spans="1:2" x14ac:dyDescent="0.3">
      <c r="A94" t="s">
        <v>82</v>
      </c>
      <c r="B94">
        <v>271</v>
      </c>
    </row>
    <row r="95" spans="1:2" x14ac:dyDescent="0.3">
      <c r="A95" t="s">
        <v>82</v>
      </c>
      <c r="B95">
        <v>272</v>
      </c>
    </row>
    <row r="96" spans="1:2" x14ac:dyDescent="0.3">
      <c r="A96" t="s">
        <v>82</v>
      </c>
      <c r="B96">
        <v>273</v>
      </c>
    </row>
    <row r="97" spans="1:2" x14ac:dyDescent="0.3">
      <c r="A97" t="s">
        <v>82</v>
      </c>
      <c r="B97">
        <v>274</v>
      </c>
    </row>
    <row r="98" spans="1:2" x14ac:dyDescent="0.3">
      <c r="A98" t="s">
        <v>82</v>
      </c>
      <c r="B98">
        <v>275</v>
      </c>
    </row>
    <row r="99" spans="1:2" x14ac:dyDescent="0.3">
      <c r="A99" t="s">
        <v>82</v>
      </c>
      <c r="B99">
        <v>276</v>
      </c>
    </row>
    <row r="100" spans="1:2" x14ac:dyDescent="0.3">
      <c r="A100" t="s">
        <v>82</v>
      </c>
      <c r="B100">
        <v>277</v>
      </c>
    </row>
    <row r="101" spans="1:2" x14ac:dyDescent="0.3">
      <c r="A101" t="s">
        <v>82</v>
      </c>
      <c r="B101">
        <v>278</v>
      </c>
    </row>
    <row r="102" spans="1:2" x14ac:dyDescent="0.3">
      <c r="A102" t="s">
        <v>82</v>
      </c>
      <c r="B102">
        <v>279</v>
      </c>
    </row>
    <row r="103" spans="1:2" x14ac:dyDescent="0.3">
      <c r="A103" t="s">
        <v>82</v>
      </c>
      <c r="B103">
        <v>280</v>
      </c>
    </row>
    <row r="104" spans="1:2" x14ac:dyDescent="0.3">
      <c r="A104" t="s">
        <v>82</v>
      </c>
      <c r="B104">
        <v>281</v>
      </c>
    </row>
    <row r="105" spans="1:2" x14ac:dyDescent="0.3">
      <c r="A105" t="s">
        <v>82</v>
      </c>
      <c r="B105">
        <v>282</v>
      </c>
    </row>
    <row r="106" spans="1:2" x14ac:dyDescent="0.3">
      <c r="A106" t="s">
        <v>82</v>
      </c>
      <c r="B106">
        <v>283</v>
      </c>
    </row>
    <row r="107" spans="1:2" x14ac:dyDescent="0.3">
      <c r="A107" t="s">
        <v>82</v>
      </c>
      <c r="B107">
        <v>284</v>
      </c>
    </row>
    <row r="108" spans="1:2" x14ac:dyDescent="0.3">
      <c r="A108" t="s">
        <v>82</v>
      </c>
      <c r="B108">
        <v>285</v>
      </c>
    </row>
    <row r="109" spans="1:2" x14ac:dyDescent="0.3">
      <c r="A109" t="s">
        <v>82</v>
      </c>
      <c r="B109">
        <v>286</v>
      </c>
    </row>
    <row r="110" spans="1:2" x14ac:dyDescent="0.3">
      <c r="A110" t="s">
        <v>82</v>
      </c>
      <c r="B110">
        <v>288</v>
      </c>
    </row>
    <row r="111" spans="1:2" x14ac:dyDescent="0.3">
      <c r="A111" t="s">
        <v>82</v>
      </c>
      <c r="B111">
        <v>297</v>
      </c>
    </row>
    <row r="112" spans="1:2" x14ac:dyDescent="0.3">
      <c r="A112" t="s">
        <v>82</v>
      </c>
      <c r="B112">
        <v>298</v>
      </c>
    </row>
    <row r="113" spans="1:2" x14ac:dyDescent="0.3">
      <c r="A113" t="s">
        <v>82</v>
      </c>
      <c r="B113">
        <v>299</v>
      </c>
    </row>
    <row r="114" spans="1:2" x14ac:dyDescent="0.3">
      <c r="A114" t="s">
        <v>82</v>
      </c>
      <c r="B114">
        <v>301</v>
      </c>
    </row>
    <row r="115" spans="1:2" x14ac:dyDescent="0.3">
      <c r="A115" t="s">
        <v>82</v>
      </c>
      <c r="B115">
        <v>322</v>
      </c>
    </row>
    <row r="116" spans="1:2" x14ac:dyDescent="0.3">
      <c r="A116" t="s">
        <v>82</v>
      </c>
      <c r="B116">
        <v>332</v>
      </c>
    </row>
    <row r="117" spans="1:2" x14ac:dyDescent="0.3">
      <c r="A117" t="s">
        <v>82</v>
      </c>
      <c r="B117">
        <v>333</v>
      </c>
    </row>
    <row r="118" spans="1:2" x14ac:dyDescent="0.3">
      <c r="A118" t="s">
        <v>82</v>
      </c>
      <c r="B118">
        <v>341</v>
      </c>
    </row>
    <row r="119" spans="1:2" x14ac:dyDescent="0.3">
      <c r="A119" t="s">
        <v>82</v>
      </c>
      <c r="B119">
        <v>342</v>
      </c>
    </row>
    <row r="120" spans="1:2" x14ac:dyDescent="0.3">
      <c r="A120" t="s">
        <v>82</v>
      </c>
      <c r="B120">
        <v>344</v>
      </c>
    </row>
    <row r="121" spans="1:2" x14ac:dyDescent="0.3">
      <c r="A121" t="s">
        <v>82</v>
      </c>
      <c r="B121">
        <v>349</v>
      </c>
    </row>
    <row r="122" spans="1:2" x14ac:dyDescent="0.3">
      <c r="A122" t="s">
        <v>82</v>
      </c>
      <c r="B122">
        <v>350</v>
      </c>
    </row>
    <row r="123" spans="1:2" x14ac:dyDescent="0.3">
      <c r="A123" t="s">
        <v>136</v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P143"/>
  <sheetViews>
    <sheetView topLeftCell="E1" workbookViewId="0">
      <selection activeCell="O18" sqref="O18"/>
    </sheetView>
  </sheetViews>
  <sheetFormatPr defaultColWidth="12.6640625" defaultRowHeight="15.6" x14ac:dyDescent="0.3"/>
  <cols>
    <col min="1" max="1" width="12.6640625" style="74"/>
    <col min="2" max="2" width="18.77734375" style="74" customWidth="1"/>
    <col min="3" max="3" width="10.21875" style="74" customWidth="1"/>
    <col min="4" max="4" width="32" style="74" customWidth="1"/>
    <col min="5" max="5" width="18.6640625" style="74" bestFit="1" customWidth="1"/>
    <col min="6" max="6" width="19.44140625" style="74" bestFit="1" customWidth="1"/>
    <col min="7" max="8" width="18.6640625" style="74" bestFit="1" customWidth="1"/>
    <col min="9" max="9" width="19.44140625" style="74" bestFit="1" customWidth="1"/>
    <col min="10" max="10" width="18.6640625" style="74" bestFit="1" customWidth="1"/>
    <col min="11" max="11" width="14.44140625" style="74" customWidth="1"/>
    <col min="12" max="13" width="17.21875" style="74" customWidth="1"/>
    <col min="14" max="14" width="15.77734375" style="74" customWidth="1"/>
    <col min="15" max="15" width="17.109375" style="74" bestFit="1" customWidth="1"/>
    <col min="16" max="16384" width="12.6640625" style="74"/>
  </cols>
  <sheetData>
    <row r="1" spans="1:16" ht="18" x14ac:dyDescent="0.35">
      <c r="B1" s="111" t="s">
        <v>3749</v>
      </c>
    </row>
    <row r="2" spans="1:16" x14ac:dyDescent="0.3">
      <c r="B2"/>
    </row>
    <row r="3" spans="1:16" ht="62.4" x14ac:dyDescent="0.3">
      <c r="A3" s="74" t="s">
        <v>3750</v>
      </c>
      <c r="B3" s="570" t="s">
        <v>2677</v>
      </c>
      <c r="C3" s="570" t="s">
        <v>3751</v>
      </c>
      <c r="D3" s="570" t="s">
        <v>2717</v>
      </c>
      <c r="E3" s="570" t="s">
        <v>3752</v>
      </c>
      <c r="F3" s="570" t="s">
        <v>3753</v>
      </c>
      <c r="G3" s="570" t="s">
        <v>3754</v>
      </c>
      <c r="H3" s="570" t="s">
        <v>3755</v>
      </c>
      <c r="I3" s="570" t="s">
        <v>3756</v>
      </c>
      <c r="J3" s="570" t="s">
        <v>3757</v>
      </c>
      <c r="K3" s="570" t="s">
        <v>3758</v>
      </c>
      <c r="L3" s="579" t="s">
        <v>3759</v>
      </c>
      <c r="M3" s="579" t="s">
        <v>3760</v>
      </c>
      <c r="N3" s="579" t="s">
        <v>3761</v>
      </c>
      <c r="O3" s="579" t="s">
        <v>3762</v>
      </c>
    </row>
    <row r="4" spans="1:16" ht="44.4" hidden="1" customHeight="1" x14ac:dyDescent="0.3">
      <c r="B4" s="112" t="s">
        <v>2985</v>
      </c>
      <c r="C4" s="112" t="s">
        <v>873</v>
      </c>
      <c r="D4" s="112" t="s">
        <v>872</v>
      </c>
      <c r="E4" s="580">
        <v>21671546.811237268</v>
      </c>
      <c r="F4" s="580">
        <v>2195226.7599999998</v>
      </c>
      <c r="G4" s="580">
        <v>7596905.8612836739</v>
      </c>
      <c r="H4" s="580">
        <v>167168</v>
      </c>
      <c r="I4" s="580">
        <v>-2881803</v>
      </c>
      <c r="J4" s="580">
        <v>-2714635</v>
      </c>
      <c r="K4" s="580"/>
      <c r="L4" s="577">
        <f>SUM(E4:G4)</f>
        <v>31463679.432520941</v>
      </c>
      <c r="M4" s="577"/>
      <c r="N4" s="577">
        <f>J4+L4</f>
        <v>28749044.432520941</v>
      </c>
    </row>
    <row r="5" spans="1:16" hidden="1" x14ac:dyDescent="0.3">
      <c r="B5" s="74" t="s">
        <v>2985</v>
      </c>
      <c r="C5" s="74" t="s">
        <v>2986</v>
      </c>
      <c r="D5" s="74" t="s">
        <v>2990</v>
      </c>
      <c r="E5" s="573">
        <v>66803198.265483826</v>
      </c>
      <c r="F5" s="573">
        <v>2921106.4</v>
      </c>
      <c r="G5" s="573">
        <v>23735231.873725835</v>
      </c>
      <c r="H5" s="573">
        <v>437726</v>
      </c>
      <c r="I5" s="573">
        <v>26584642</v>
      </c>
      <c r="J5" s="573">
        <v>27022368</v>
      </c>
      <c r="K5" s="573"/>
      <c r="L5" s="577">
        <f t="shared" ref="L5:L68" si="0">SUM(E5:G5)</f>
        <v>93459536.539209664</v>
      </c>
      <c r="M5" s="577"/>
      <c r="N5" s="577">
        <f t="shared" ref="N5:N68" si="1">J5+L5</f>
        <v>120481904.53920966</v>
      </c>
    </row>
    <row r="6" spans="1:16" hidden="1" x14ac:dyDescent="0.3">
      <c r="B6" s="74" t="s">
        <v>3763</v>
      </c>
      <c r="E6" s="573">
        <v>88474745.076721102</v>
      </c>
      <c r="F6" s="573">
        <v>5116333.16</v>
      </c>
      <c r="G6" s="573">
        <v>31332137.73500951</v>
      </c>
      <c r="H6" s="573">
        <v>604894</v>
      </c>
      <c r="I6" s="573">
        <v>23702839</v>
      </c>
      <c r="J6" s="573">
        <v>24307733</v>
      </c>
      <c r="K6" s="573"/>
      <c r="L6" s="577">
        <f t="shared" si="0"/>
        <v>124923215.9717306</v>
      </c>
      <c r="M6" s="577"/>
      <c r="N6" s="577">
        <f t="shared" si="1"/>
        <v>149230948.97173059</v>
      </c>
    </row>
    <row r="7" spans="1:16" hidden="1" x14ac:dyDescent="0.3">
      <c r="A7" s="74" t="s">
        <v>5</v>
      </c>
      <c r="B7" s="74" t="s">
        <v>2718</v>
      </c>
      <c r="C7" s="74" t="s">
        <v>110</v>
      </c>
      <c r="D7" s="74" t="s">
        <v>3764</v>
      </c>
      <c r="E7" s="573">
        <v>180517927.07677177</v>
      </c>
      <c r="F7" s="573">
        <v>8318134.1900000004</v>
      </c>
      <c r="G7" s="573">
        <v>50104109.665520728</v>
      </c>
      <c r="H7" s="573">
        <v>-303616</v>
      </c>
      <c r="I7" s="573">
        <v>7007271</v>
      </c>
      <c r="J7" s="573">
        <v>6703655</v>
      </c>
      <c r="K7" s="573"/>
      <c r="L7" s="577">
        <f t="shared" si="0"/>
        <v>238940170.93229249</v>
      </c>
      <c r="M7" s="577">
        <f>J7+K7</f>
        <v>6703655</v>
      </c>
      <c r="N7" s="577">
        <f>M7+L7</f>
        <v>245643825.93229249</v>
      </c>
      <c r="O7" s="573">
        <v>245643825.93229249</v>
      </c>
      <c r="P7" s="573">
        <f>N7-O7</f>
        <v>0</v>
      </c>
    </row>
    <row r="8" spans="1:16" hidden="1" x14ac:dyDescent="0.3">
      <c r="A8" s="74" t="s">
        <v>7</v>
      </c>
      <c r="B8" s="74" t="s">
        <v>2718</v>
      </c>
      <c r="C8" s="74" t="s">
        <v>2719</v>
      </c>
      <c r="D8" s="74" t="s">
        <v>3765</v>
      </c>
      <c r="E8" s="573">
        <v>92677604.157812357</v>
      </c>
      <c r="F8" s="573">
        <v>8280302.0049999999</v>
      </c>
      <c r="G8" s="573">
        <v>51725756.704624549</v>
      </c>
      <c r="H8" s="573">
        <v>456737</v>
      </c>
      <c r="I8" s="573">
        <v>33582320</v>
      </c>
      <c r="J8" s="573">
        <v>34039057</v>
      </c>
      <c r="K8" s="573"/>
      <c r="L8" s="577">
        <f t="shared" si="0"/>
        <v>152683662.86743689</v>
      </c>
      <c r="M8" s="577">
        <f t="shared" ref="M8:M15" si="2">J8+K8</f>
        <v>34039057</v>
      </c>
      <c r="N8" s="577">
        <f t="shared" ref="N8:N15" si="3">M8+L8</f>
        <v>186722719.86743689</v>
      </c>
      <c r="O8" s="573">
        <v>186722720</v>
      </c>
      <c r="P8" s="573">
        <f t="shared" ref="P8:P15" si="4">N8-O8</f>
        <v>-0.13256311416625977</v>
      </c>
    </row>
    <row r="9" spans="1:16" hidden="1" x14ac:dyDescent="0.3">
      <c r="A9" s="74" t="s">
        <v>6</v>
      </c>
      <c r="B9" s="74" t="s">
        <v>2718</v>
      </c>
      <c r="C9" s="74" t="s">
        <v>2720</v>
      </c>
      <c r="D9" s="74" t="s">
        <v>3766</v>
      </c>
      <c r="E9" s="573">
        <v>626489821.27080262</v>
      </c>
      <c r="F9" s="573">
        <v>9352045.5</v>
      </c>
      <c r="G9" s="573">
        <v>200191678.33618647</v>
      </c>
      <c r="H9" s="573">
        <v>2343994</v>
      </c>
      <c r="I9" s="573">
        <v>-815606</v>
      </c>
      <c r="J9" s="573">
        <v>1528388</v>
      </c>
      <c r="K9" s="573"/>
      <c r="L9" s="577">
        <f t="shared" si="0"/>
        <v>836033545.10698915</v>
      </c>
      <c r="M9" s="577">
        <f t="shared" si="2"/>
        <v>1528388</v>
      </c>
      <c r="N9" s="577">
        <f t="shared" si="3"/>
        <v>837561933.10698915</v>
      </c>
      <c r="O9" s="573">
        <v>837561933</v>
      </c>
      <c r="P9" s="573">
        <f t="shared" si="4"/>
        <v>0.10698914527893066</v>
      </c>
    </row>
    <row r="10" spans="1:16" hidden="1" x14ac:dyDescent="0.3">
      <c r="A10" s="74" t="s">
        <v>9</v>
      </c>
      <c r="B10" s="74" t="s">
        <v>2718</v>
      </c>
      <c r="C10" s="74" t="s">
        <v>2721</v>
      </c>
      <c r="D10" s="74" t="s">
        <v>3767</v>
      </c>
      <c r="E10" s="573">
        <v>623737387.95290816</v>
      </c>
      <c r="F10" s="573">
        <v>16352446.470000001</v>
      </c>
      <c r="G10" s="573">
        <v>518457792.74785727</v>
      </c>
      <c r="H10" s="573">
        <v>-3506173</v>
      </c>
      <c r="I10" s="573">
        <v>8131522</v>
      </c>
      <c r="J10" s="573">
        <v>4625349</v>
      </c>
      <c r="K10" s="573"/>
      <c r="L10" s="577">
        <f t="shared" si="0"/>
        <v>1158547627.1707654</v>
      </c>
      <c r="M10" s="577">
        <f t="shared" si="2"/>
        <v>4625349</v>
      </c>
      <c r="N10" s="577">
        <f t="shared" si="3"/>
        <v>1163172976.1707654</v>
      </c>
      <c r="O10" s="573">
        <v>1163172976.1707654</v>
      </c>
      <c r="P10" s="573">
        <f t="shared" si="4"/>
        <v>0</v>
      </c>
    </row>
    <row r="11" spans="1:16" hidden="1" x14ac:dyDescent="0.3">
      <c r="A11" s="74" t="s">
        <v>10</v>
      </c>
      <c r="B11" s="74" t="s">
        <v>2718</v>
      </c>
      <c r="C11" s="74" t="s">
        <v>2722</v>
      </c>
      <c r="D11" s="74" t="s">
        <v>3768</v>
      </c>
      <c r="E11" s="573">
        <v>140054622.49675179</v>
      </c>
      <c r="F11" s="573">
        <v>2598752.355</v>
      </c>
      <c r="G11" s="573">
        <v>115660249.52993639</v>
      </c>
      <c r="H11" s="573">
        <v>-425441</v>
      </c>
      <c r="I11" s="573">
        <v>1209602</v>
      </c>
      <c r="J11" s="573">
        <v>784161</v>
      </c>
      <c r="K11" s="573"/>
      <c r="L11" s="577">
        <f t="shared" si="0"/>
        <v>258313624.38168818</v>
      </c>
      <c r="M11" s="577">
        <f t="shared" si="2"/>
        <v>784161</v>
      </c>
      <c r="N11" s="577">
        <f t="shared" si="3"/>
        <v>259097785.38168818</v>
      </c>
      <c r="O11" s="573">
        <v>259097785</v>
      </c>
      <c r="P11" s="573">
        <f t="shared" si="4"/>
        <v>0.38168817758560181</v>
      </c>
    </row>
    <row r="12" spans="1:16" hidden="1" x14ac:dyDescent="0.3">
      <c r="A12" s="74" t="s">
        <v>8</v>
      </c>
      <c r="B12" s="74" t="s">
        <v>2718</v>
      </c>
      <c r="C12" s="74" t="s">
        <v>2723</v>
      </c>
      <c r="D12" s="74" t="s">
        <v>3769</v>
      </c>
      <c r="E12" s="573">
        <v>49398094.188752346</v>
      </c>
      <c r="F12" s="573">
        <v>1875103.4249999998</v>
      </c>
      <c r="G12" s="573">
        <v>39679537.968905635</v>
      </c>
      <c r="H12" s="573">
        <v>-550564</v>
      </c>
      <c r="I12" s="573">
        <v>-1038774</v>
      </c>
      <c r="J12" s="573">
        <v>-1589338</v>
      </c>
      <c r="K12" s="573"/>
      <c r="L12" s="577">
        <f t="shared" si="0"/>
        <v>90952735.582657978</v>
      </c>
      <c r="M12" s="577">
        <f t="shared" si="2"/>
        <v>-1589338</v>
      </c>
      <c r="N12" s="577">
        <f t="shared" si="3"/>
        <v>89363397.582657978</v>
      </c>
      <c r="O12" s="573">
        <v>89363397.582657978</v>
      </c>
      <c r="P12" s="573">
        <f t="shared" si="4"/>
        <v>0</v>
      </c>
    </row>
    <row r="13" spans="1:16" hidden="1" x14ac:dyDescent="0.3">
      <c r="A13" s="74" t="s">
        <v>11</v>
      </c>
      <c r="B13" s="74" t="s">
        <v>2718</v>
      </c>
      <c r="C13" s="74" t="s">
        <v>2724</v>
      </c>
      <c r="D13" s="74" t="s">
        <v>3770</v>
      </c>
      <c r="E13" s="573">
        <v>59459802.234125994</v>
      </c>
      <c r="F13" s="573">
        <v>7953419.8449999997</v>
      </c>
      <c r="G13" s="573">
        <v>31359986.584139541</v>
      </c>
      <c r="H13" s="573">
        <v>-604895</v>
      </c>
      <c r="I13" s="573">
        <v>19043653</v>
      </c>
      <c r="J13" s="573">
        <v>18438758</v>
      </c>
      <c r="K13" s="573"/>
      <c r="L13" s="577">
        <f t="shared" si="0"/>
        <v>98773208.663265541</v>
      </c>
      <c r="M13" s="577">
        <f t="shared" si="2"/>
        <v>18438758</v>
      </c>
      <c r="N13" s="577">
        <f t="shared" si="3"/>
        <v>117211966.66326554</v>
      </c>
      <c r="O13" s="573">
        <v>117211966.66326553</v>
      </c>
      <c r="P13" s="573">
        <f t="shared" si="4"/>
        <v>0</v>
      </c>
    </row>
    <row r="14" spans="1:16" hidden="1" x14ac:dyDescent="0.3">
      <c r="A14" s="74" t="s">
        <v>12</v>
      </c>
      <c r="B14" s="74" t="s">
        <v>2718</v>
      </c>
      <c r="C14" s="74" t="s">
        <v>2725</v>
      </c>
      <c r="D14" s="74" t="s">
        <v>3771</v>
      </c>
      <c r="E14" s="573">
        <v>77870737</v>
      </c>
      <c r="F14" s="573">
        <v>4814223.8849999998</v>
      </c>
      <c r="G14" s="573">
        <v>23281032.666914053</v>
      </c>
      <c r="H14" s="573">
        <v>72255</v>
      </c>
      <c r="I14" s="573">
        <v>-836916</v>
      </c>
      <c r="J14" s="573">
        <v>-764661</v>
      </c>
      <c r="K14" s="573"/>
      <c r="L14" s="577">
        <f t="shared" si="0"/>
        <v>105965993.55191407</v>
      </c>
      <c r="M14" s="577">
        <f t="shared" si="2"/>
        <v>-764661</v>
      </c>
      <c r="N14" s="577">
        <f t="shared" si="3"/>
        <v>105201332.55191407</v>
      </c>
      <c r="O14" s="573">
        <v>105201332.55191405</v>
      </c>
      <c r="P14" s="573">
        <f t="shared" si="4"/>
        <v>0</v>
      </c>
    </row>
    <row r="15" spans="1:16" hidden="1" x14ac:dyDescent="0.3">
      <c r="A15" s="74" t="s">
        <v>3451</v>
      </c>
      <c r="B15" s="74" t="s">
        <v>2718</v>
      </c>
      <c r="C15" s="74" t="s">
        <v>914</v>
      </c>
      <c r="D15" s="74" t="s">
        <v>3653</v>
      </c>
      <c r="E15" s="573">
        <v>12096296.400083767</v>
      </c>
      <c r="F15" s="573">
        <v>0</v>
      </c>
      <c r="G15" s="573">
        <v>0</v>
      </c>
      <c r="H15" s="573">
        <v>-60210</v>
      </c>
      <c r="I15" s="573">
        <v>14065730</v>
      </c>
      <c r="J15" s="573">
        <v>14005520</v>
      </c>
      <c r="K15" s="573">
        <v>-5443437.4479730483</v>
      </c>
      <c r="L15" s="577">
        <f>SUM(E15:G15)</f>
        <v>12096296.400083767</v>
      </c>
      <c r="M15" s="577">
        <f t="shared" si="2"/>
        <v>8562082.5520269517</v>
      </c>
      <c r="N15" s="577">
        <f t="shared" si="3"/>
        <v>20658378.952110719</v>
      </c>
      <c r="O15" s="573">
        <v>20658379</v>
      </c>
      <c r="P15" s="573">
        <f t="shared" si="4"/>
        <v>-4.7889281064271927E-2</v>
      </c>
    </row>
    <row r="16" spans="1:16" hidden="1" x14ac:dyDescent="0.3">
      <c r="B16" s="74" t="s">
        <v>3772</v>
      </c>
      <c r="E16" s="573">
        <v>1862302292.7780089</v>
      </c>
      <c r="F16" s="573">
        <v>59544427.67499999</v>
      </c>
      <c r="G16" s="573">
        <v>1030460144.2040849</v>
      </c>
      <c r="H16" s="573">
        <v>-2577913</v>
      </c>
      <c r="I16" s="573">
        <v>80348802</v>
      </c>
      <c r="J16" s="573">
        <v>77770889</v>
      </c>
      <c r="K16" s="573">
        <v>-5443437.4479730483</v>
      </c>
      <c r="L16" s="577">
        <f t="shared" si="0"/>
        <v>2952306864.657094</v>
      </c>
      <c r="M16" s="577"/>
      <c r="N16" s="577">
        <f t="shared" si="1"/>
        <v>3030077753.657094</v>
      </c>
      <c r="O16" s="573"/>
      <c r="P16" s="573"/>
    </row>
    <row r="17" spans="1:16" hidden="1" x14ac:dyDescent="0.3">
      <c r="A17" s="74" t="s">
        <v>2779</v>
      </c>
      <c r="B17" s="74" t="s">
        <v>2726</v>
      </c>
      <c r="C17" s="74" t="s">
        <v>2729</v>
      </c>
      <c r="D17" s="74" t="s">
        <v>3773</v>
      </c>
      <c r="E17" s="573">
        <v>5422227.4225139739</v>
      </c>
      <c r="F17" s="573">
        <v>630421.16</v>
      </c>
      <c r="G17" s="573">
        <v>2044642.8768188076</v>
      </c>
      <c r="H17" s="573">
        <v>-300063</v>
      </c>
      <c r="I17" s="573">
        <v>-365127</v>
      </c>
      <c r="J17" s="573">
        <v>-665190</v>
      </c>
      <c r="K17" s="573"/>
      <c r="L17" s="577">
        <f t="shared" si="0"/>
        <v>8097291.4593327818</v>
      </c>
      <c r="M17" s="577">
        <f>J17+K17</f>
        <v>-665190</v>
      </c>
      <c r="N17" s="577">
        <f>M17+L17</f>
        <v>7432101.4593327818</v>
      </c>
      <c r="O17" s="573">
        <v>7432101</v>
      </c>
      <c r="P17" s="573">
        <f>N17-O17</f>
        <v>0.45933278184384108</v>
      </c>
    </row>
    <row r="18" spans="1:16" x14ac:dyDescent="0.3">
      <c r="A18" s="74" t="s">
        <v>804</v>
      </c>
      <c r="B18" s="74" t="s">
        <v>2726</v>
      </c>
      <c r="C18" s="74" t="s">
        <v>2730</v>
      </c>
      <c r="D18" s="74" t="s">
        <v>3774</v>
      </c>
      <c r="E18" s="573">
        <v>73912921</v>
      </c>
      <c r="F18" s="573">
        <v>8180485</v>
      </c>
      <c r="G18" s="573">
        <v>35856045.557914212</v>
      </c>
      <c r="H18" s="573">
        <v>-2804652</v>
      </c>
      <c r="I18" s="573">
        <v>1347959</v>
      </c>
      <c r="J18" s="573">
        <f>+H18+I18</f>
        <v>-1456693</v>
      </c>
      <c r="K18" s="573"/>
      <c r="L18" s="577">
        <v>117949452</v>
      </c>
      <c r="M18" s="577">
        <v>-1456693</v>
      </c>
      <c r="N18" s="577">
        <f>M18+L18</f>
        <v>116492759</v>
      </c>
      <c r="O18" s="573">
        <v>116492759</v>
      </c>
      <c r="P18" s="573">
        <f>N18-O18</f>
        <v>0</v>
      </c>
    </row>
    <row r="19" spans="1:16" hidden="1" x14ac:dyDescent="0.3">
      <c r="A19" s="74" t="s">
        <v>2778</v>
      </c>
      <c r="B19" t="s">
        <v>2726</v>
      </c>
      <c r="C19" t="s">
        <v>3023</v>
      </c>
      <c r="D19" t="s">
        <v>3775</v>
      </c>
      <c r="E19" s="352">
        <v>43949426.70520477</v>
      </c>
      <c r="F19" s="352">
        <v>2407532.1150000002</v>
      </c>
      <c r="G19" s="352">
        <v>22602704.445752744</v>
      </c>
      <c r="H19" s="352">
        <v>2931708</v>
      </c>
      <c r="I19" s="352">
        <v>11954784</v>
      </c>
      <c r="J19" s="352">
        <v>14886492</v>
      </c>
      <c r="K19" s="352"/>
      <c r="L19" s="577">
        <f t="shared" si="0"/>
        <v>68959663.265957519</v>
      </c>
      <c r="M19" s="577">
        <f>J19+K19</f>
        <v>14886492</v>
      </c>
      <c r="N19" s="577">
        <f>M19+L19</f>
        <v>83846155.265957519</v>
      </c>
      <c r="O19" s="573">
        <v>83846155</v>
      </c>
      <c r="P19" s="573">
        <f>N19-O19</f>
        <v>0.26595751941204071</v>
      </c>
    </row>
    <row r="20" spans="1:16" hidden="1" x14ac:dyDescent="0.3">
      <c r="A20" s="74" t="s">
        <v>2777</v>
      </c>
      <c r="B20" t="s">
        <v>2726</v>
      </c>
      <c r="C20" t="s">
        <v>2728</v>
      </c>
      <c r="D20" t="s">
        <v>3776</v>
      </c>
      <c r="E20" s="352">
        <v>21273585.250013523</v>
      </c>
      <c r="F20" s="352">
        <v>1480955.44</v>
      </c>
      <c r="G20" s="352">
        <v>10387725.879930034</v>
      </c>
      <c r="H20" s="352">
        <v>-201127</v>
      </c>
      <c r="I20" s="352">
        <v>4418810</v>
      </c>
      <c r="J20" s="352">
        <v>4217683</v>
      </c>
      <c r="K20" s="352"/>
      <c r="L20" s="577">
        <f t="shared" si="0"/>
        <v>33142266.569943558</v>
      </c>
      <c r="M20" s="577">
        <f>J20+K20</f>
        <v>4217683</v>
      </c>
      <c r="N20" s="577">
        <f>M20+L20</f>
        <v>37359949.569943562</v>
      </c>
      <c r="O20" s="573">
        <v>37359950</v>
      </c>
      <c r="P20" s="573">
        <f>N20-O20</f>
        <v>-0.43005643784999847</v>
      </c>
    </row>
    <row r="21" spans="1:16" hidden="1" x14ac:dyDescent="0.3">
      <c r="B21" t="s">
        <v>3777</v>
      </c>
      <c r="C21"/>
      <c r="D21"/>
      <c r="E21" s="352">
        <v>137928154.81448856</v>
      </c>
      <c r="F21" s="352">
        <v>12495559.959999999</v>
      </c>
      <c r="G21" s="352">
        <v>70891118.760415792</v>
      </c>
      <c r="H21" s="352">
        <v>-170300</v>
      </c>
      <c r="I21" s="352">
        <v>23986432</v>
      </c>
      <c r="J21" s="352">
        <v>23816132</v>
      </c>
      <c r="K21" s="352"/>
      <c r="L21" s="577">
        <f t="shared" si="0"/>
        <v>221314833.53490436</v>
      </c>
      <c r="M21" s="577"/>
      <c r="N21" s="577">
        <f t="shared" si="1"/>
        <v>245130965.53490436</v>
      </c>
    </row>
    <row r="22" spans="1:16" hidden="1" x14ac:dyDescent="0.3">
      <c r="B22" t="s">
        <v>1621</v>
      </c>
      <c r="C22" t="s">
        <v>904</v>
      </c>
      <c r="D22" t="s">
        <v>903</v>
      </c>
      <c r="E22" s="352">
        <v>160622155.9350062</v>
      </c>
      <c r="F22" s="352">
        <v>5550199.1845349455</v>
      </c>
      <c r="G22" s="352">
        <v>101887147.11661759</v>
      </c>
      <c r="H22" s="352">
        <v>180000</v>
      </c>
      <c r="I22" s="352">
        <v>5195706</v>
      </c>
      <c r="J22" s="352">
        <v>5375706</v>
      </c>
      <c r="K22" s="352"/>
      <c r="L22" s="577">
        <f t="shared" si="0"/>
        <v>268059502.23615873</v>
      </c>
      <c r="M22" s="577"/>
      <c r="N22" s="577">
        <f t="shared" si="1"/>
        <v>273435208.23615873</v>
      </c>
    </row>
    <row r="23" spans="1:16" hidden="1" x14ac:dyDescent="0.3">
      <c r="B23" t="s">
        <v>1621</v>
      </c>
      <c r="C23" t="s">
        <v>3251</v>
      </c>
      <c r="D23" t="s">
        <v>3778</v>
      </c>
      <c r="E23" s="352">
        <v>91243349.944000006</v>
      </c>
      <c r="F23" s="352">
        <v>351010.6</v>
      </c>
      <c r="G23" s="352">
        <v>61518385.678911813</v>
      </c>
      <c r="H23" s="352">
        <v>65852</v>
      </c>
      <c r="I23" s="352">
        <v>9276184</v>
      </c>
      <c r="J23" s="352">
        <v>9342036</v>
      </c>
      <c r="K23" s="352"/>
      <c r="L23" s="577">
        <f t="shared" si="0"/>
        <v>153112746.2229118</v>
      </c>
      <c r="M23" s="577"/>
      <c r="N23" s="577">
        <f t="shared" si="1"/>
        <v>162454782.2229118</v>
      </c>
    </row>
    <row r="24" spans="1:16" hidden="1" x14ac:dyDescent="0.3">
      <c r="B24" t="s">
        <v>1621</v>
      </c>
      <c r="C24" t="s">
        <v>3252</v>
      </c>
      <c r="D24" t="s">
        <v>1079</v>
      </c>
      <c r="E24" s="352">
        <v>42380875.283550486</v>
      </c>
      <c r="F24" s="352">
        <v>3677417.0700000003</v>
      </c>
      <c r="G24" s="352">
        <v>11315578.60909031</v>
      </c>
      <c r="H24" s="352">
        <v>338564</v>
      </c>
      <c r="I24" s="352">
        <v>-405138</v>
      </c>
      <c r="J24" s="352">
        <v>-66574</v>
      </c>
      <c r="K24" s="352"/>
      <c r="L24" s="577">
        <f t="shared" si="0"/>
        <v>57373870.962640792</v>
      </c>
      <c r="M24" s="577"/>
      <c r="N24" s="577">
        <f t="shared" si="1"/>
        <v>57307296.962640792</v>
      </c>
    </row>
    <row r="25" spans="1:16" hidden="1" x14ac:dyDescent="0.3">
      <c r="B25" t="s">
        <v>1621</v>
      </c>
      <c r="C25" t="s">
        <v>3247</v>
      </c>
      <c r="D25" t="s">
        <v>1081</v>
      </c>
      <c r="E25" s="352">
        <v>62773058.035799995</v>
      </c>
      <c r="F25" s="352">
        <v>8231540.7699999996</v>
      </c>
      <c r="G25" s="352">
        <v>22925371.71411109</v>
      </c>
      <c r="H25" s="352">
        <v>-643678</v>
      </c>
      <c r="I25" s="352">
        <v>458401</v>
      </c>
      <c r="J25" s="352">
        <v>-185277</v>
      </c>
      <c r="K25" s="352"/>
      <c r="L25" s="577">
        <f t="shared" si="0"/>
        <v>93929970.519911081</v>
      </c>
      <c r="M25" s="577"/>
      <c r="N25" s="577">
        <f t="shared" si="1"/>
        <v>93744693.519911081</v>
      </c>
    </row>
    <row r="26" spans="1:16" hidden="1" x14ac:dyDescent="0.3">
      <c r="B26" t="s">
        <v>1621</v>
      </c>
      <c r="C26" t="s">
        <v>3245</v>
      </c>
      <c r="D26" t="s">
        <v>1083</v>
      </c>
      <c r="E26" s="352">
        <v>66995563.358099997</v>
      </c>
      <c r="F26" s="352">
        <v>2069294</v>
      </c>
      <c r="G26" s="352">
        <v>17487837.779356223</v>
      </c>
      <c r="H26" s="352">
        <v>779981</v>
      </c>
      <c r="I26" s="352">
        <v>-1499259</v>
      </c>
      <c r="J26" s="352">
        <v>-719278</v>
      </c>
      <c r="K26" s="352"/>
      <c r="L26" s="577">
        <f t="shared" si="0"/>
        <v>86552695.137456223</v>
      </c>
      <c r="M26" s="577"/>
      <c r="N26" s="577">
        <f t="shared" si="1"/>
        <v>85833417.137456223</v>
      </c>
    </row>
    <row r="27" spans="1:16" hidden="1" x14ac:dyDescent="0.3">
      <c r="B27" t="s">
        <v>1621</v>
      </c>
      <c r="C27" t="s">
        <v>3261</v>
      </c>
      <c r="D27" t="s">
        <v>3779</v>
      </c>
      <c r="E27" s="352">
        <v>0</v>
      </c>
      <c r="F27" s="352">
        <v>0</v>
      </c>
      <c r="G27" s="352">
        <v>0</v>
      </c>
      <c r="H27" s="352">
        <v>0</v>
      </c>
      <c r="I27" s="352">
        <v>0</v>
      </c>
      <c r="J27" s="352">
        <v>0</v>
      </c>
      <c r="K27" s="352"/>
      <c r="L27" s="577">
        <f t="shared" si="0"/>
        <v>0</v>
      </c>
      <c r="M27" s="577"/>
      <c r="N27" s="577">
        <f t="shared" si="1"/>
        <v>0</v>
      </c>
    </row>
    <row r="28" spans="1:16" hidden="1" x14ac:dyDescent="0.3">
      <c r="B28" t="s">
        <v>1621</v>
      </c>
      <c r="C28" t="s">
        <v>3262</v>
      </c>
      <c r="D28" t="s">
        <v>1085</v>
      </c>
      <c r="E28" s="352">
        <v>27352449.778165594</v>
      </c>
      <c r="F28" s="352">
        <v>3369010.3400000003</v>
      </c>
      <c r="G28" s="352">
        <v>11938427.564285431</v>
      </c>
      <c r="H28" s="352">
        <v>-65405</v>
      </c>
      <c r="I28" s="352">
        <v>2024117</v>
      </c>
      <c r="J28" s="352">
        <v>1958712</v>
      </c>
      <c r="K28" s="352"/>
      <c r="L28" s="577">
        <f t="shared" si="0"/>
        <v>42659887.682451025</v>
      </c>
      <c r="M28" s="577"/>
      <c r="N28" s="577">
        <f t="shared" si="1"/>
        <v>44618599.682451025</v>
      </c>
    </row>
    <row r="29" spans="1:16" hidden="1" x14ac:dyDescent="0.3">
      <c r="B29" t="s">
        <v>1621</v>
      </c>
      <c r="C29" t="s">
        <v>899</v>
      </c>
      <c r="D29" t="s">
        <v>898</v>
      </c>
      <c r="E29" s="352">
        <v>49160041</v>
      </c>
      <c r="F29" s="352">
        <v>4710274.8849999998</v>
      </c>
      <c r="G29" s="352">
        <v>38927327.748125322</v>
      </c>
      <c r="H29" s="352">
        <v>1094319</v>
      </c>
      <c r="I29" s="352">
        <v>4599349</v>
      </c>
      <c r="J29" s="352">
        <v>5693668</v>
      </c>
      <c r="K29" s="352"/>
      <c r="L29" s="577">
        <f t="shared" si="0"/>
        <v>92797643.63312532</v>
      </c>
      <c r="M29" s="577"/>
      <c r="N29" s="577">
        <f t="shared" si="1"/>
        <v>98491311.63312532</v>
      </c>
    </row>
    <row r="30" spans="1:16" hidden="1" x14ac:dyDescent="0.3">
      <c r="B30" t="s">
        <v>1621</v>
      </c>
      <c r="C30" t="s">
        <v>3256</v>
      </c>
      <c r="D30" t="s">
        <v>3780</v>
      </c>
      <c r="E30" s="352">
        <v>11926258.52</v>
      </c>
      <c r="F30" s="352">
        <v>3854706.83</v>
      </c>
      <c r="G30" s="352">
        <v>12147872.35</v>
      </c>
      <c r="H30" s="352">
        <v>-8815</v>
      </c>
      <c r="I30" s="352">
        <v>2774502</v>
      </c>
      <c r="J30" s="352">
        <v>2765687</v>
      </c>
      <c r="K30" s="352"/>
      <c r="L30" s="577">
        <f t="shared" si="0"/>
        <v>27928837.699999999</v>
      </c>
      <c r="M30" s="577"/>
      <c r="N30" s="577">
        <f t="shared" si="1"/>
        <v>30694524.699999999</v>
      </c>
    </row>
    <row r="31" spans="1:16" hidden="1" x14ac:dyDescent="0.3">
      <c r="B31" t="s">
        <v>1621</v>
      </c>
      <c r="C31" t="s">
        <v>3257</v>
      </c>
      <c r="D31" t="s">
        <v>3781</v>
      </c>
      <c r="E31" s="352">
        <v>6103771.7599999998</v>
      </c>
      <c r="F31" s="352">
        <v>3775966.8850000002</v>
      </c>
      <c r="G31" s="352">
        <v>9928840.3081083726</v>
      </c>
      <c r="H31" s="352">
        <v>200427</v>
      </c>
      <c r="I31" s="352">
        <v>4376406</v>
      </c>
      <c r="J31" s="352">
        <v>4576833</v>
      </c>
      <c r="K31" s="352"/>
      <c r="L31" s="577">
        <f t="shared" si="0"/>
        <v>19808578.95310837</v>
      </c>
      <c r="M31" s="577"/>
      <c r="N31" s="577">
        <f t="shared" si="1"/>
        <v>24385411.95310837</v>
      </c>
    </row>
    <row r="32" spans="1:16" hidden="1" x14ac:dyDescent="0.3">
      <c r="B32" t="s">
        <v>1621</v>
      </c>
      <c r="C32" t="s">
        <v>3258</v>
      </c>
      <c r="D32" t="s">
        <v>3782</v>
      </c>
      <c r="E32" s="352">
        <v>12823127.120000001</v>
      </c>
      <c r="F32" s="352">
        <v>4103811.8849999998</v>
      </c>
      <c r="G32" s="352">
        <v>14578504.847249461</v>
      </c>
      <c r="H32" s="352">
        <v>170022</v>
      </c>
      <c r="I32" s="352">
        <v>1616033</v>
      </c>
      <c r="J32" s="352">
        <v>1786055</v>
      </c>
      <c r="K32" s="352"/>
      <c r="L32" s="577">
        <f t="shared" si="0"/>
        <v>31505443.852249466</v>
      </c>
      <c r="M32" s="577"/>
      <c r="N32" s="577">
        <f t="shared" si="1"/>
        <v>33291498.852249466</v>
      </c>
    </row>
    <row r="33" spans="2:14" hidden="1" x14ac:dyDescent="0.3">
      <c r="B33" t="s">
        <v>1621</v>
      </c>
      <c r="C33" t="s">
        <v>3269</v>
      </c>
      <c r="D33" t="s">
        <v>3783</v>
      </c>
      <c r="E33" s="352">
        <v>164393414.01412493</v>
      </c>
      <c r="F33" s="352">
        <v>0</v>
      </c>
      <c r="G33" s="352">
        <v>51656305.746572502</v>
      </c>
      <c r="H33" s="352">
        <v>0</v>
      </c>
      <c r="I33" s="352">
        <v>-1880922</v>
      </c>
      <c r="J33" s="352">
        <v>-1880922</v>
      </c>
      <c r="K33" s="352"/>
      <c r="L33" s="577">
        <f t="shared" si="0"/>
        <v>216049719.76069742</v>
      </c>
      <c r="M33" s="577"/>
      <c r="N33" s="577">
        <f t="shared" si="1"/>
        <v>214168797.76069742</v>
      </c>
    </row>
    <row r="34" spans="2:14" hidden="1" x14ac:dyDescent="0.3">
      <c r="B34" t="s">
        <v>1621</v>
      </c>
      <c r="C34" t="s">
        <v>3784</v>
      </c>
      <c r="D34" t="s">
        <v>134</v>
      </c>
      <c r="E34" s="352">
        <v>49508528.810000002</v>
      </c>
      <c r="F34" s="352">
        <v>4181543.8850000002</v>
      </c>
      <c r="G34" s="352">
        <v>21887831.64830922</v>
      </c>
      <c r="H34" s="352">
        <v>0</v>
      </c>
      <c r="I34" s="352">
        <v>4750010</v>
      </c>
      <c r="J34" s="352">
        <v>4750010</v>
      </c>
      <c r="K34" s="352"/>
      <c r="L34" s="577">
        <f t="shared" si="0"/>
        <v>75577904.343309224</v>
      </c>
      <c r="M34" s="577"/>
      <c r="N34" s="577">
        <f t="shared" si="1"/>
        <v>80327914.343309224</v>
      </c>
    </row>
    <row r="35" spans="2:14" hidden="1" x14ac:dyDescent="0.3">
      <c r="B35" t="s">
        <v>1621</v>
      </c>
      <c r="C35" t="s">
        <v>3253</v>
      </c>
      <c r="D35" t="s">
        <v>3785</v>
      </c>
      <c r="E35" s="352">
        <v>3766328.9430386005</v>
      </c>
      <c r="F35" s="352">
        <v>0</v>
      </c>
      <c r="G35" s="352">
        <v>1145658.2703907634</v>
      </c>
      <c r="H35" s="352">
        <v>0</v>
      </c>
      <c r="I35" s="352">
        <v>483551</v>
      </c>
      <c r="J35" s="352">
        <v>483551</v>
      </c>
      <c r="K35" s="352"/>
      <c r="L35" s="577">
        <f t="shared" si="0"/>
        <v>4911987.2134293634</v>
      </c>
      <c r="M35" s="577"/>
      <c r="N35" s="577">
        <f t="shared" si="1"/>
        <v>5395538.2134293634</v>
      </c>
    </row>
    <row r="36" spans="2:14" hidden="1" x14ac:dyDescent="0.3">
      <c r="B36" t="s">
        <v>1621</v>
      </c>
      <c r="C36" t="s">
        <v>3250</v>
      </c>
      <c r="D36" t="s">
        <v>1147</v>
      </c>
      <c r="E36" s="352">
        <v>15816385.068540268</v>
      </c>
      <c r="F36" s="352">
        <v>3388648.4049999998</v>
      </c>
      <c r="G36" s="352">
        <v>14461684.214536535</v>
      </c>
      <c r="H36" s="352">
        <v>153249</v>
      </c>
      <c r="I36" s="352">
        <v>43629069</v>
      </c>
      <c r="J36" s="352">
        <v>43782318</v>
      </c>
      <c r="K36" s="352"/>
      <c r="L36" s="577">
        <f t="shared" si="0"/>
        <v>33666717.688076802</v>
      </c>
      <c r="M36" s="577"/>
      <c r="N36" s="577">
        <f t="shared" si="1"/>
        <v>77449035.688076794</v>
      </c>
    </row>
    <row r="37" spans="2:14" hidden="1" x14ac:dyDescent="0.3">
      <c r="B37" t="s">
        <v>1621</v>
      </c>
      <c r="C37" t="s">
        <v>3248</v>
      </c>
      <c r="D37" t="s">
        <v>1620</v>
      </c>
      <c r="E37" s="352">
        <v>56535382.518000007</v>
      </c>
      <c r="F37" s="352">
        <v>1773851.28</v>
      </c>
      <c r="G37" s="352">
        <v>8574994.2593470477</v>
      </c>
      <c r="H37" s="352">
        <v>52792</v>
      </c>
      <c r="I37" s="352">
        <v>16799042</v>
      </c>
      <c r="J37" s="352">
        <v>16851834</v>
      </c>
      <c r="K37" s="352"/>
      <c r="L37" s="577">
        <f t="shared" si="0"/>
        <v>66884228.057347059</v>
      </c>
      <c r="M37" s="577"/>
      <c r="N37" s="577">
        <f t="shared" si="1"/>
        <v>83736062.057347059</v>
      </c>
    </row>
    <row r="38" spans="2:14" hidden="1" x14ac:dyDescent="0.3">
      <c r="B38" t="s">
        <v>1621</v>
      </c>
      <c r="C38" t="s">
        <v>3254</v>
      </c>
      <c r="D38" t="s">
        <v>1144</v>
      </c>
      <c r="E38" s="352">
        <v>8594326.3430401217</v>
      </c>
      <c r="F38" s="352">
        <v>2193788.3149999999</v>
      </c>
      <c r="G38" s="352">
        <v>3930489.1430329271</v>
      </c>
      <c r="H38" s="352">
        <v>102524</v>
      </c>
      <c r="I38" s="352">
        <v>5986031</v>
      </c>
      <c r="J38" s="352">
        <v>6088555</v>
      </c>
      <c r="K38" s="352"/>
      <c r="L38" s="577">
        <f t="shared" si="0"/>
        <v>14718603.801073048</v>
      </c>
      <c r="M38" s="577"/>
      <c r="N38" s="577">
        <f t="shared" si="1"/>
        <v>20807158.801073048</v>
      </c>
    </row>
    <row r="39" spans="2:14" hidden="1" x14ac:dyDescent="0.3">
      <c r="B39" t="s">
        <v>1621</v>
      </c>
      <c r="C39" t="s">
        <v>3255</v>
      </c>
      <c r="D39" t="s">
        <v>3786</v>
      </c>
      <c r="E39" s="352">
        <v>1993501.784810801</v>
      </c>
      <c r="F39" s="352">
        <v>0</v>
      </c>
      <c r="G39" s="352">
        <v>1233785.8296515916</v>
      </c>
      <c r="H39" s="352">
        <v>0</v>
      </c>
      <c r="I39" s="352">
        <v>2583292</v>
      </c>
      <c r="J39" s="352">
        <v>2583292</v>
      </c>
      <c r="K39" s="352"/>
      <c r="L39" s="577">
        <f t="shared" si="0"/>
        <v>3227287.6144623924</v>
      </c>
      <c r="M39" s="577"/>
      <c r="N39" s="577">
        <f t="shared" si="1"/>
        <v>5810579.6144623924</v>
      </c>
    </row>
    <row r="40" spans="2:14" hidden="1" x14ac:dyDescent="0.3">
      <c r="B40" t="s">
        <v>1621</v>
      </c>
      <c r="C40" t="s">
        <v>3787</v>
      </c>
      <c r="D40" t="s">
        <v>3788</v>
      </c>
      <c r="E40" s="352">
        <v>2192100.045993764</v>
      </c>
      <c r="F40" s="352">
        <v>75752.815465054926</v>
      </c>
      <c r="G40" s="352">
        <v>1346940.6569001209</v>
      </c>
      <c r="H40" s="352">
        <v>0</v>
      </c>
      <c r="I40" s="352">
        <v>0</v>
      </c>
      <c r="J40" s="352">
        <v>0</v>
      </c>
      <c r="K40" s="352"/>
      <c r="L40" s="577">
        <f t="shared" si="0"/>
        <v>3614793.5183589398</v>
      </c>
      <c r="M40" s="577"/>
      <c r="N40" s="577">
        <f t="shared" si="1"/>
        <v>3614793.5183589398</v>
      </c>
    </row>
    <row r="41" spans="2:14" hidden="1" x14ac:dyDescent="0.3">
      <c r="B41" t="s">
        <v>3789</v>
      </c>
      <c r="C41"/>
      <c r="D41"/>
      <c r="E41" s="352">
        <v>834180618.26217055</v>
      </c>
      <c r="F41" s="352">
        <v>51306817.149999991</v>
      </c>
      <c r="G41" s="352">
        <v>406892983.48459625</v>
      </c>
      <c r="H41" s="352">
        <v>2419832</v>
      </c>
      <c r="I41" s="352">
        <v>100766374</v>
      </c>
      <c r="J41" s="352">
        <v>103186206</v>
      </c>
      <c r="K41" s="352"/>
      <c r="L41" s="577">
        <f t="shared" si="0"/>
        <v>1292380418.8967667</v>
      </c>
      <c r="M41" s="577"/>
      <c r="N41" s="577">
        <f t="shared" si="1"/>
        <v>1395566624.8967667</v>
      </c>
    </row>
    <row r="42" spans="2:14" hidden="1" x14ac:dyDescent="0.3">
      <c r="B42" t="s">
        <v>3790</v>
      </c>
      <c r="C42" t="s">
        <v>3241</v>
      </c>
      <c r="D42" t="s">
        <v>1098</v>
      </c>
      <c r="E42" s="352">
        <v>4060894</v>
      </c>
      <c r="F42" s="352">
        <v>50036889</v>
      </c>
      <c r="G42" s="352">
        <v>28503811.93895546</v>
      </c>
      <c r="H42" s="352">
        <v>1168593</v>
      </c>
      <c r="I42" s="352">
        <v>485704</v>
      </c>
      <c r="J42" s="352">
        <v>1654297</v>
      </c>
      <c r="K42" s="352"/>
      <c r="L42" s="577">
        <f t="shared" si="0"/>
        <v>82601594.938955456</v>
      </c>
      <c r="M42" s="577"/>
      <c r="N42" s="577">
        <f t="shared" si="1"/>
        <v>84255891.938955456</v>
      </c>
    </row>
    <row r="43" spans="2:14" hidden="1" x14ac:dyDescent="0.3">
      <c r="B43" t="s">
        <v>3790</v>
      </c>
      <c r="C43" t="s">
        <v>3246</v>
      </c>
      <c r="D43" t="s">
        <v>1105</v>
      </c>
      <c r="E43" s="352">
        <v>4809070</v>
      </c>
      <c r="F43" s="352">
        <v>28253769</v>
      </c>
      <c r="G43" s="352">
        <v>21295165.625082161</v>
      </c>
      <c r="H43" s="352">
        <v>3946301</v>
      </c>
      <c r="I43" s="352">
        <v>550780</v>
      </c>
      <c r="J43" s="352">
        <v>4497081</v>
      </c>
      <c r="K43" s="352"/>
      <c r="L43" s="577">
        <f t="shared" si="0"/>
        <v>54358004.625082165</v>
      </c>
      <c r="M43" s="577"/>
      <c r="N43" s="577">
        <f t="shared" si="1"/>
        <v>58855085.625082165</v>
      </c>
    </row>
    <row r="44" spans="2:14" hidden="1" x14ac:dyDescent="0.3">
      <c r="B44" t="s">
        <v>3790</v>
      </c>
      <c r="C44" t="s">
        <v>3244</v>
      </c>
      <c r="D44" t="s">
        <v>3791</v>
      </c>
      <c r="E44" s="352">
        <v>3336689</v>
      </c>
      <c r="F44" s="352">
        <v>33292396</v>
      </c>
      <c r="G44" s="352">
        <v>15617329.992512371</v>
      </c>
      <c r="H44" s="352">
        <v>-1422348</v>
      </c>
      <c r="I44" s="352">
        <v>-18239</v>
      </c>
      <c r="J44" s="352">
        <v>-1440587</v>
      </c>
      <c r="K44" s="352"/>
      <c r="L44" s="577">
        <f t="shared" si="0"/>
        <v>52246414.992512375</v>
      </c>
      <c r="M44" s="577"/>
      <c r="N44" s="577">
        <f t="shared" si="1"/>
        <v>50805827.992512375</v>
      </c>
    </row>
    <row r="45" spans="2:14" hidden="1" x14ac:dyDescent="0.3">
      <c r="B45" t="s">
        <v>3790</v>
      </c>
      <c r="C45" t="s">
        <v>3266</v>
      </c>
      <c r="D45" t="s">
        <v>1116</v>
      </c>
      <c r="E45" s="352">
        <v>5855168</v>
      </c>
      <c r="F45" s="352">
        <v>46607315</v>
      </c>
      <c r="G45" s="352">
        <v>25543022.117510766</v>
      </c>
      <c r="H45" s="352">
        <v>1140145</v>
      </c>
      <c r="I45" s="352">
        <v>-1786268</v>
      </c>
      <c r="J45" s="352">
        <v>-646123</v>
      </c>
      <c r="K45" s="352"/>
      <c r="L45" s="577">
        <f t="shared" si="0"/>
        <v>78005505.117510766</v>
      </c>
      <c r="M45" s="577"/>
      <c r="N45" s="577">
        <f t="shared" si="1"/>
        <v>77359382.117510766</v>
      </c>
    </row>
    <row r="46" spans="2:14" hidden="1" x14ac:dyDescent="0.3">
      <c r="B46" t="s">
        <v>3790</v>
      </c>
      <c r="C46" t="s">
        <v>3267</v>
      </c>
      <c r="D46" t="s">
        <v>1122</v>
      </c>
      <c r="E46" s="352">
        <v>5512866</v>
      </c>
      <c r="F46" s="352">
        <v>1312650</v>
      </c>
      <c r="G46" s="352">
        <v>3365662.1503256415</v>
      </c>
      <c r="H46" s="352">
        <v>-90000</v>
      </c>
      <c r="I46" s="352">
        <v>2972534</v>
      </c>
      <c r="J46" s="352">
        <v>2882534</v>
      </c>
      <c r="K46" s="352"/>
      <c r="L46" s="577">
        <f t="shared" si="0"/>
        <v>10191178.150325641</v>
      </c>
      <c r="M46" s="577"/>
      <c r="N46" s="577">
        <f t="shared" si="1"/>
        <v>13073712.150325641</v>
      </c>
    </row>
    <row r="47" spans="2:14" hidden="1" x14ac:dyDescent="0.3">
      <c r="B47" t="s">
        <v>3790</v>
      </c>
      <c r="C47" t="s">
        <v>3263</v>
      </c>
      <c r="D47" t="s">
        <v>1127</v>
      </c>
      <c r="E47" s="352">
        <v>23803248.579725195</v>
      </c>
      <c r="F47" s="352">
        <v>3131438.6500000004</v>
      </c>
      <c r="G47" s="352">
        <v>11085682.738265045</v>
      </c>
      <c r="H47" s="352">
        <v>-161866</v>
      </c>
      <c r="I47" s="352">
        <v>3474992</v>
      </c>
      <c r="J47" s="352">
        <v>3313126</v>
      </c>
      <c r="K47" s="352"/>
      <c r="L47" s="577">
        <f t="shared" si="0"/>
        <v>38020369.967990242</v>
      </c>
      <c r="M47" s="577"/>
      <c r="N47" s="577">
        <f t="shared" si="1"/>
        <v>41333495.967990242</v>
      </c>
    </row>
    <row r="48" spans="2:14" hidden="1" x14ac:dyDescent="0.3">
      <c r="B48" t="s">
        <v>3790</v>
      </c>
      <c r="C48" t="s">
        <v>3264</v>
      </c>
      <c r="D48" t="s">
        <v>1132</v>
      </c>
      <c r="E48" s="352">
        <v>8863042.934972398</v>
      </c>
      <c r="F48" s="352">
        <v>1173719.5249999999</v>
      </c>
      <c r="G48" s="352">
        <v>4110010.4704759475</v>
      </c>
      <c r="H48" s="352">
        <v>-73337</v>
      </c>
      <c r="I48" s="352">
        <v>1250349</v>
      </c>
      <c r="J48" s="352">
        <v>1177012</v>
      </c>
      <c r="K48" s="352"/>
      <c r="L48" s="577">
        <f t="shared" si="0"/>
        <v>14146772.930448346</v>
      </c>
      <c r="M48" s="577"/>
      <c r="N48" s="577">
        <f t="shared" si="1"/>
        <v>15323784.930448346</v>
      </c>
    </row>
    <row r="49" spans="2:14" hidden="1" x14ac:dyDescent="0.3">
      <c r="B49" t="s">
        <v>3790</v>
      </c>
      <c r="C49" t="s">
        <v>3265</v>
      </c>
      <c r="D49" t="s">
        <v>3792</v>
      </c>
      <c r="E49" s="352">
        <v>3388761.1009107991</v>
      </c>
      <c r="F49" s="352">
        <v>461596.435</v>
      </c>
      <c r="G49" s="352">
        <v>1613993.4260729232</v>
      </c>
      <c r="H49" s="352">
        <v>-28894</v>
      </c>
      <c r="I49" s="352">
        <v>582749</v>
      </c>
      <c r="J49" s="352">
        <v>553855</v>
      </c>
      <c r="K49" s="352"/>
      <c r="L49" s="577">
        <f t="shared" si="0"/>
        <v>5464350.9619837226</v>
      </c>
      <c r="M49" s="577"/>
      <c r="N49" s="577">
        <f t="shared" si="1"/>
        <v>6018205.9619837226</v>
      </c>
    </row>
    <row r="50" spans="2:14" hidden="1" x14ac:dyDescent="0.3">
      <c r="B50" t="s">
        <v>3790</v>
      </c>
      <c r="C50" t="s">
        <v>3268</v>
      </c>
      <c r="D50" t="s">
        <v>3793</v>
      </c>
      <c r="E50" s="352">
        <v>4529979</v>
      </c>
      <c r="F50" s="352">
        <v>46889409</v>
      </c>
      <c r="G50" s="352">
        <v>29240290.242013406</v>
      </c>
      <c r="H50" s="352">
        <v>3953687</v>
      </c>
      <c r="I50" s="352">
        <v>-4355231</v>
      </c>
      <c r="J50" s="352">
        <v>-401544</v>
      </c>
      <c r="K50" s="352"/>
      <c r="L50" s="577">
        <f t="shared" si="0"/>
        <v>80659678.24201341</v>
      </c>
      <c r="M50" s="577"/>
      <c r="N50" s="577">
        <f t="shared" si="1"/>
        <v>80258134.24201341</v>
      </c>
    </row>
    <row r="51" spans="2:14" hidden="1" x14ac:dyDescent="0.3">
      <c r="B51" t="s">
        <v>3790</v>
      </c>
      <c r="C51" t="s">
        <v>2988</v>
      </c>
      <c r="D51" t="s">
        <v>2989</v>
      </c>
      <c r="E51" s="352">
        <v>2144805.9109474947</v>
      </c>
      <c r="F51" s="352">
        <v>685779.79</v>
      </c>
      <c r="G51" s="352">
        <v>821947.46387535799</v>
      </c>
      <c r="H51" s="352">
        <v>-221075</v>
      </c>
      <c r="I51" s="352">
        <v>-111849</v>
      </c>
      <c r="J51" s="352">
        <v>-332924</v>
      </c>
      <c r="K51" s="352"/>
      <c r="L51" s="577">
        <f t="shared" si="0"/>
        <v>3652533.1648228527</v>
      </c>
      <c r="M51" s="577"/>
      <c r="N51" s="577">
        <f t="shared" si="1"/>
        <v>3319609.1648228527</v>
      </c>
    </row>
    <row r="52" spans="2:14" hidden="1" x14ac:dyDescent="0.3">
      <c r="B52" t="s">
        <v>3794</v>
      </c>
      <c r="C52"/>
      <c r="D52"/>
      <c r="E52" s="352">
        <v>66304524.526555881</v>
      </c>
      <c r="F52" s="352">
        <v>211844962.40000001</v>
      </c>
      <c r="G52" s="352">
        <v>141196916.16508907</v>
      </c>
      <c r="H52" s="352">
        <v>8211206</v>
      </c>
      <c r="I52" s="352">
        <v>3045521</v>
      </c>
      <c r="J52" s="352">
        <v>11256727</v>
      </c>
      <c r="K52" s="352"/>
      <c r="L52" s="577">
        <f t="shared" si="0"/>
        <v>419346403.09164494</v>
      </c>
      <c r="M52" s="577"/>
      <c r="N52" s="577">
        <f t="shared" si="1"/>
        <v>430603130.09164494</v>
      </c>
    </row>
    <row r="53" spans="2:14" hidden="1" x14ac:dyDescent="0.3">
      <c r="B53" t="s">
        <v>3795</v>
      </c>
      <c r="C53" t="s">
        <v>914</v>
      </c>
      <c r="D53" t="s">
        <v>3653</v>
      </c>
      <c r="E53" s="352">
        <v>966042</v>
      </c>
      <c r="F53" s="352">
        <v>0</v>
      </c>
      <c r="G53" s="352">
        <v>2680867.0612001675</v>
      </c>
      <c r="H53" s="352">
        <v>0</v>
      </c>
      <c r="I53" s="352">
        <v>65206918</v>
      </c>
      <c r="J53" s="352">
        <v>65206918</v>
      </c>
      <c r="K53" s="352">
        <v>-46483877.979234993</v>
      </c>
      <c r="L53" s="577">
        <f t="shared" si="0"/>
        <v>3646909.0612001675</v>
      </c>
      <c r="M53" s="577"/>
      <c r="N53" s="577">
        <f t="shared" si="1"/>
        <v>68853827.061200172</v>
      </c>
    </row>
    <row r="54" spans="2:14" hidden="1" x14ac:dyDescent="0.3">
      <c r="B54" t="s">
        <v>3796</v>
      </c>
      <c r="C54"/>
      <c r="D54"/>
      <c r="E54" s="352">
        <v>966042</v>
      </c>
      <c r="F54" s="352">
        <v>0</v>
      </c>
      <c r="G54" s="352">
        <v>2680867.0612001675</v>
      </c>
      <c r="H54" s="352">
        <v>0</v>
      </c>
      <c r="I54" s="352">
        <v>65206918</v>
      </c>
      <c r="J54" s="352">
        <v>65206918</v>
      </c>
      <c r="K54" s="352">
        <v>-46483877.979234993</v>
      </c>
      <c r="L54" s="577">
        <f t="shared" si="0"/>
        <v>3646909.0612001675</v>
      </c>
      <c r="M54" s="577"/>
      <c r="N54" s="577">
        <f t="shared" si="1"/>
        <v>68853827.061200172</v>
      </c>
    </row>
    <row r="55" spans="2:14" hidden="1" x14ac:dyDescent="0.3">
      <c r="B55" t="s">
        <v>3797</v>
      </c>
      <c r="C55" t="s">
        <v>3270</v>
      </c>
      <c r="D55" t="s">
        <v>3798</v>
      </c>
      <c r="E55" s="352">
        <v>157347456</v>
      </c>
      <c r="F55" s="352"/>
      <c r="G55" s="352">
        <v>0</v>
      </c>
      <c r="H55" s="352">
        <v>8008021</v>
      </c>
      <c r="I55" s="352">
        <v>-7683477</v>
      </c>
      <c r="J55" s="352">
        <v>324544</v>
      </c>
      <c r="K55" s="352"/>
      <c r="L55" s="577">
        <f t="shared" si="0"/>
        <v>157347456</v>
      </c>
      <c r="M55" s="577"/>
      <c r="N55" s="577">
        <f t="shared" si="1"/>
        <v>157672000</v>
      </c>
    </row>
    <row r="56" spans="2:14" hidden="1" x14ac:dyDescent="0.3">
      <c r="B56" t="s">
        <v>3797</v>
      </c>
      <c r="C56" t="s">
        <v>3235</v>
      </c>
      <c r="D56" t="s">
        <v>3799</v>
      </c>
      <c r="E56" s="352">
        <v>179198957.67390019</v>
      </c>
      <c r="F56" s="352">
        <v>1965790.7070182557</v>
      </c>
      <c r="G56" s="352">
        <v>107637101.23084909</v>
      </c>
      <c r="H56" s="352">
        <v>2809754</v>
      </c>
      <c r="I56" s="352">
        <v>84991237</v>
      </c>
      <c r="J56" s="352">
        <v>87800991</v>
      </c>
      <c r="K56" s="352">
        <v>-7318911.489073093</v>
      </c>
      <c r="L56" s="577">
        <f t="shared" si="0"/>
        <v>288801849.61176753</v>
      </c>
      <c r="M56" s="577"/>
      <c r="N56" s="577">
        <f t="shared" si="1"/>
        <v>376602840.61176753</v>
      </c>
    </row>
    <row r="57" spans="2:14" hidden="1" x14ac:dyDescent="0.3">
      <c r="B57" t="s">
        <v>3797</v>
      </c>
      <c r="C57" t="s">
        <v>3239</v>
      </c>
      <c r="D57" t="s">
        <v>3800</v>
      </c>
      <c r="E57" s="352">
        <v>9586795.208960589</v>
      </c>
      <c r="F57" s="352">
        <v>0</v>
      </c>
      <c r="G57" s="352">
        <v>3250426.5526992716</v>
      </c>
      <c r="H57" s="352">
        <v>0</v>
      </c>
      <c r="I57" s="352">
        <v>6414120</v>
      </c>
      <c r="J57" s="352">
        <v>6414120</v>
      </c>
      <c r="K57" s="352">
        <v>-466624</v>
      </c>
      <c r="L57" s="577">
        <f t="shared" si="0"/>
        <v>12837221.761659861</v>
      </c>
      <c r="M57" s="577"/>
      <c r="N57" s="577">
        <f t="shared" si="1"/>
        <v>19251341.761659861</v>
      </c>
    </row>
    <row r="58" spans="2:14" hidden="1" x14ac:dyDescent="0.3">
      <c r="B58" t="s">
        <v>3797</v>
      </c>
      <c r="C58" t="s">
        <v>891</v>
      </c>
      <c r="D58" t="s">
        <v>890</v>
      </c>
      <c r="E58" s="352">
        <v>72847542.572976291</v>
      </c>
      <c r="F58" s="352">
        <v>3679249.7850000001</v>
      </c>
      <c r="G58" s="352">
        <v>18585632.575085092</v>
      </c>
      <c r="H58" s="352">
        <v>-384017</v>
      </c>
      <c r="I58" s="352">
        <v>10720767</v>
      </c>
      <c r="J58" s="352">
        <v>10336750</v>
      </c>
      <c r="K58" s="352"/>
      <c r="L58" s="577">
        <f t="shared" si="0"/>
        <v>95112424.933061376</v>
      </c>
      <c r="M58" s="577"/>
      <c r="N58" s="577">
        <f t="shared" si="1"/>
        <v>105449174.93306138</v>
      </c>
    </row>
    <row r="59" spans="2:14" hidden="1" x14ac:dyDescent="0.3">
      <c r="B59" t="s">
        <v>3797</v>
      </c>
      <c r="C59" t="s">
        <v>886</v>
      </c>
      <c r="D59" t="s">
        <v>885</v>
      </c>
      <c r="E59" s="352">
        <v>13230042.662918095</v>
      </c>
      <c r="F59" s="352">
        <v>0</v>
      </c>
      <c r="G59" s="352">
        <v>5102183.4669621633</v>
      </c>
      <c r="H59" s="352">
        <v>0</v>
      </c>
      <c r="I59" s="352">
        <v>4384221</v>
      </c>
      <c r="J59" s="352">
        <v>4384221</v>
      </c>
      <c r="K59" s="352"/>
      <c r="L59" s="577">
        <f t="shared" si="0"/>
        <v>18332226.129880257</v>
      </c>
      <c r="M59" s="577"/>
      <c r="N59" s="577">
        <f t="shared" si="1"/>
        <v>22716447.129880257</v>
      </c>
    </row>
    <row r="60" spans="2:14" hidden="1" x14ac:dyDescent="0.3">
      <c r="B60" t="s">
        <v>3797</v>
      </c>
      <c r="C60" t="s">
        <v>3236</v>
      </c>
      <c r="D60" t="s">
        <v>822</v>
      </c>
      <c r="E60" s="352">
        <v>11464326.192179315</v>
      </c>
      <c r="F60" s="352">
        <v>156085.30424039159</v>
      </c>
      <c r="G60" s="352">
        <v>3068373.5541432616</v>
      </c>
      <c r="H60" s="352">
        <v>122667</v>
      </c>
      <c r="I60" s="352">
        <v>1011774</v>
      </c>
      <c r="J60" s="352">
        <v>1134441</v>
      </c>
      <c r="K60" s="352"/>
      <c r="L60" s="577">
        <f t="shared" si="0"/>
        <v>14688785.050562967</v>
      </c>
      <c r="M60" s="577"/>
      <c r="N60" s="577">
        <f t="shared" si="1"/>
        <v>15823226.050562967</v>
      </c>
    </row>
    <row r="61" spans="2:14" hidden="1" x14ac:dyDescent="0.3">
      <c r="B61" t="s">
        <v>3797</v>
      </c>
      <c r="C61" t="s">
        <v>868</v>
      </c>
      <c r="D61" t="s">
        <v>867</v>
      </c>
      <c r="E61" s="352">
        <v>7994122</v>
      </c>
      <c r="F61" s="352">
        <v>0</v>
      </c>
      <c r="G61" s="352">
        <v>1384879.4585873762</v>
      </c>
      <c r="H61" s="352">
        <v>0</v>
      </c>
      <c r="I61" s="352">
        <v>9576105</v>
      </c>
      <c r="J61" s="352">
        <v>9576105</v>
      </c>
      <c r="K61" s="352"/>
      <c r="L61" s="577">
        <f t="shared" si="0"/>
        <v>9379001.4585873764</v>
      </c>
      <c r="M61" s="577"/>
      <c r="N61" s="577">
        <f t="shared" si="1"/>
        <v>18955106.458587378</v>
      </c>
    </row>
    <row r="62" spans="2:14" hidden="1" x14ac:dyDescent="0.3">
      <c r="B62" t="s">
        <v>3797</v>
      </c>
      <c r="C62" t="s">
        <v>3240</v>
      </c>
      <c r="D62" t="s">
        <v>3801</v>
      </c>
      <c r="E62" s="352">
        <v>1674958.2418763719</v>
      </c>
      <c r="F62" s="352">
        <v>10151.648741352801</v>
      </c>
      <c r="G62" s="352">
        <v>164811.36531892471</v>
      </c>
      <c r="H62" s="352">
        <v>32287</v>
      </c>
      <c r="I62" s="352">
        <v>-915730</v>
      </c>
      <c r="J62" s="352">
        <v>-883443</v>
      </c>
      <c r="K62" s="352"/>
      <c r="L62" s="577">
        <f t="shared" si="0"/>
        <v>1849921.2559366494</v>
      </c>
      <c r="M62" s="577"/>
      <c r="N62" s="577">
        <f t="shared" si="1"/>
        <v>966478.2559366494</v>
      </c>
    </row>
    <row r="63" spans="2:14" hidden="1" x14ac:dyDescent="0.3">
      <c r="B63" t="s">
        <v>3797</v>
      </c>
      <c r="C63" t="s">
        <v>3238</v>
      </c>
      <c r="D63" t="s">
        <v>819</v>
      </c>
      <c r="E63" s="352">
        <v>7950052.803637987</v>
      </c>
      <c r="F63" s="352">
        <v>258</v>
      </c>
      <c r="G63" s="352">
        <v>1169607.108751978</v>
      </c>
      <c r="H63" s="352">
        <v>-258</v>
      </c>
      <c r="I63" s="352">
        <v>19770</v>
      </c>
      <c r="J63" s="352">
        <v>19512</v>
      </c>
      <c r="K63" s="352"/>
      <c r="L63" s="577">
        <f t="shared" si="0"/>
        <v>9119917.9123899657</v>
      </c>
      <c r="M63" s="577"/>
      <c r="N63" s="577">
        <f t="shared" si="1"/>
        <v>9139429.9123899657</v>
      </c>
    </row>
    <row r="64" spans="2:14" hidden="1" x14ac:dyDescent="0.3">
      <c r="B64" t="s">
        <v>3797</v>
      </c>
      <c r="C64" t="s">
        <v>3249</v>
      </c>
      <c r="D64" t="s">
        <v>15</v>
      </c>
      <c r="E64" s="352">
        <v>940913.45615900005</v>
      </c>
      <c r="F64" s="352">
        <v>6926.8050000000003</v>
      </c>
      <c r="G64" s="352">
        <v>322870.40587563009</v>
      </c>
      <c r="H64" s="352">
        <v>46019</v>
      </c>
      <c r="I64" s="352">
        <v>386261</v>
      </c>
      <c r="J64" s="352">
        <v>432280</v>
      </c>
      <c r="K64" s="352"/>
      <c r="L64" s="577">
        <f t="shared" si="0"/>
        <v>1270710.6670346302</v>
      </c>
      <c r="M64" s="577"/>
      <c r="N64" s="577">
        <f t="shared" si="1"/>
        <v>1702990.6670346302</v>
      </c>
    </row>
    <row r="65" spans="2:14" hidden="1" x14ac:dyDescent="0.3">
      <c r="B65" t="s">
        <v>3797</v>
      </c>
      <c r="C65" t="s">
        <v>3259</v>
      </c>
      <c r="D65" t="s">
        <v>2006</v>
      </c>
      <c r="E65" s="352">
        <v>20719285</v>
      </c>
      <c r="F65" s="352">
        <v>0</v>
      </c>
      <c r="G65" s="352">
        <v>63339542.751323529</v>
      </c>
      <c r="H65" s="352">
        <v>0</v>
      </c>
      <c r="I65" s="352">
        <v>33403114</v>
      </c>
      <c r="J65" s="352">
        <v>33403114</v>
      </c>
      <c r="K65" s="352"/>
      <c r="L65" s="577">
        <f t="shared" si="0"/>
        <v>84058827.751323521</v>
      </c>
      <c r="M65" s="577"/>
      <c r="N65" s="577">
        <f t="shared" si="1"/>
        <v>117461941.75132352</v>
      </c>
    </row>
    <row r="66" spans="2:14" hidden="1" x14ac:dyDescent="0.3">
      <c r="B66" t="s">
        <v>3797</v>
      </c>
      <c r="C66" t="s">
        <v>3260</v>
      </c>
      <c r="D66" t="s">
        <v>3802</v>
      </c>
      <c r="E66" s="352">
        <v>6248675</v>
      </c>
      <c r="F66" s="352">
        <v>0</v>
      </c>
      <c r="G66" s="352">
        <v>2373543.98143719</v>
      </c>
      <c r="H66" s="352">
        <v>0</v>
      </c>
      <c r="I66" s="352">
        <v>73741</v>
      </c>
      <c r="J66" s="352">
        <v>73741</v>
      </c>
      <c r="K66" s="352"/>
      <c r="L66" s="577">
        <f t="shared" si="0"/>
        <v>8622218.9814371895</v>
      </c>
      <c r="M66" s="577"/>
      <c r="N66" s="577">
        <f t="shared" si="1"/>
        <v>8695959.9814371895</v>
      </c>
    </row>
    <row r="67" spans="2:14" hidden="1" x14ac:dyDescent="0.3">
      <c r="B67" t="s">
        <v>3797</v>
      </c>
      <c r="C67" t="s">
        <v>881</v>
      </c>
      <c r="D67" t="s">
        <v>880</v>
      </c>
      <c r="E67" s="352">
        <v>5803527.6655073958</v>
      </c>
      <c r="F67" s="352">
        <v>99475.73000000001</v>
      </c>
      <c r="G67" s="352">
        <v>2216934.5180167211</v>
      </c>
      <c r="H67" s="352">
        <v>13389</v>
      </c>
      <c r="I67" s="352">
        <v>1119740</v>
      </c>
      <c r="J67" s="352">
        <v>1133129</v>
      </c>
      <c r="K67" s="352"/>
      <c r="L67" s="577">
        <f t="shared" si="0"/>
        <v>8119937.9135241173</v>
      </c>
      <c r="M67" s="577"/>
      <c r="N67" s="577">
        <f t="shared" si="1"/>
        <v>9253066.9135241173</v>
      </c>
    </row>
    <row r="68" spans="2:14" hidden="1" x14ac:dyDescent="0.3">
      <c r="B68" t="s">
        <v>3797</v>
      </c>
      <c r="C68" t="s">
        <v>3242</v>
      </c>
      <c r="D68" t="s">
        <v>3803</v>
      </c>
      <c r="E68" s="352">
        <v>3767228.7880124138</v>
      </c>
      <c r="F68" s="352">
        <v>111325.08499999999</v>
      </c>
      <c r="G68" s="352">
        <v>1442313.2113909868</v>
      </c>
      <c r="H68" s="352">
        <v>11597</v>
      </c>
      <c r="I68" s="352">
        <v>736973</v>
      </c>
      <c r="J68" s="352">
        <v>748570</v>
      </c>
      <c r="K68" s="352"/>
      <c r="L68" s="577">
        <f t="shared" si="0"/>
        <v>5320867.0844034003</v>
      </c>
      <c r="M68" s="577"/>
      <c r="N68" s="577">
        <f t="shared" si="1"/>
        <v>6069437.0844034003</v>
      </c>
    </row>
    <row r="69" spans="2:14" hidden="1" x14ac:dyDescent="0.3">
      <c r="B69" t="s">
        <v>3797</v>
      </c>
      <c r="C69" t="s">
        <v>3237</v>
      </c>
      <c r="D69" t="s">
        <v>3804</v>
      </c>
      <c r="E69" s="352">
        <v>209320.09309781913</v>
      </c>
      <c r="F69" s="352">
        <v>75</v>
      </c>
      <c r="G69" s="352">
        <v>56729.869704025281</v>
      </c>
      <c r="H69" s="352">
        <v>-75</v>
      </c>
      <c r="I69" s="352">
        <v>19654</v>
      </c>
      <c r="J69" s="352">
        <v>19579</v>
      </c>
      <c r="K69" s="352"/>
      <c r="L69" s="577">
        <f t="shared" ref="L69:L75" si="5">SUM(E69:G69)</f>
        <v>266124.96280184441</v>
      </c>
      <c r="M69" s="577"/>
      <c r="N69" s="577">
        <f t="shared" ref="N69:N75" si="6">J69+L69</f>
        <v>285703.96280184441</v>
      </c>
    </row>
    <row r="70" spans="2:14" hidden="1" x14ac:dyDescent="0.3">
      <c r="B70" t="s">
        <v>3797</v>
      </c>
      <c r="C70" t="s">
        <v>3243</v>
      </c>
      <c r="D70" t="s">
        <v>3805</v>
      </c>
      <c r="E70" s="352">
        <v>2340677.2190835318</v>
      </c>
      <c r="F70" s="352">
        <v>80820.800000000003</v>
      </c>
      <c r="G70" s="352">
        <v>793666.52646172687</v>
      </c>
      <c r="H70" s="352">
        <v>-24954</v>
      </c>
      <c r="I70" s="352">
        <v>137865</v>
      </c>
      <c r="J70" s="352">
        <v>112911</v>
      </c>
      <c r="K70" s="352"/>
      <c r="L70" s="577">
        <f t="shared" si="5"/>
        <v>3215164.5455452586</v>
      </c>
      <c r="M70" s="577"/>
      <c r="N70" s="577">
        <f t="shared" si="6"/>
        <v>3328075.5455452586</v>
      </c>
    </row>
    <row r="71" spans="2:14" hidden="1" x14ac:dyDescent="0.3">
      <c r="B71" t="s">
        <v>3797</v>
      </c>
      <c r="C71" t="s">
        <v>909</v>
      </c>
      <c r="D71" t="s">
        <v>2991</v>
      </c>
      <c r="E71" s="352">
        <v>500000000</v>
      </c>
      <c r="F71" s="352">
        <v>0</v>
      </c>
      <c r="G71" s="352">
        <v>0</v>
      </c>
      <c r="H71" s="352"/>
      <c r="I71" s="352"/>
      <c r="J71" s="352">
        <v>0</v>
      </c>
      <c r="K71" s="352"/>
      <c r="L71" s="577">
        <f t="shared" si="5"/>
        <v>500000000</v>
      </c>
      <c r="M71" s="577"/>
      <c r="N71" s="577">
        <f t="shared" si="6"/>
        <v>500000000</v>
      </c>
    </row>
    <row r="72" spans="2:14" hidden="1" x14ac:dyDescent="0.3">
      <c r="B72" t="s">
        <v>3797</v>
      </c>
      <c r="C72" t="s">
        <v>909</v>
      </c>
      <c r="D72" t="s">
        <v>908</v>
      </c>
      <c r="E72" s="352">
        <v>19888241.308112003</v>
      </c>
      <c r="F72" s="352">
        <v>0</v>
      </c>
      <c r="G72" s="352">
        <v>6593778.0053733122</v>
      </c>
      <c r="H72" s="352">
        <v>2816327</v>
      </c>
      <c r="I72" s="352">
        <v>4414410</v>
      </c>
      <c r="J72" s="352">
        <v>7230737</v>
      </c>
      <c r="K72" s="352"/>
      <c r="L72" s="577">
        <f t="shared" si="5"/>
        <v>26482019.313485317</v>
      </c>
      <c r="M72" s="577"/>
      <c r="N72" s="577">
        <f t="shared" si="6"/>
        <v>33712756.313485317</v>
      </c>
    </row>
    <row r="73" spans="2:14" hidden="1" x14ac:dyDescent="0.3">
      <c r="B73" t="s">
        <v>3797</v>
      </c>
      <c r="C73" t="s">
        <v>909</v>
      </c>
      <c r="D73" t="s">
        <v>2987</v>
      </c>
      <c r="E73" s="352">
        <v>73654987.464285731</v>
      </c>
      <c r="F73" s="352">
        <v>0</v>
      </c>
      <c r="G73" s="352">
        <v>0</v>
      </c>
      <c r="H73" s="352"/>
      <c r="I73" s="352">
        <v>21981612</v>
      </c>
      <c r="J73" s="352">
        <v>21981612</v>
      </c>
      <c r="K73" s="352"/>
      <c r="L73" s="577">
        <f t="shared" si="5"/>
        <v>73654987.464285731</v>
      </c>
      <c r="M73" s="577"/>
      <c r="N73" s="577">
        <f t="shared" si="6"/>
        <v>95636599.464285731</v>
      </c>
    </row>
    <row r="74" spans="2:14" hidden="1" x14ac:dyDescent="0.3">
      <c r="B74" t="s">
        <v>3806</v>
      </c>
      <c r="C74"/>
      <c r="D74"/>
      <c r="E74" s="352">
        <v>1094867109.3507066</v>
      </c>
      <c r="F74" s="352">
        <v>6110158.8650000002</v>
      </c>
      <c r="G74" s="352">
        <v>217502394.58198023</v>
      </c>
      <c r="H74" s="352">
        <v>13450757</v>
      </c>
      <c r="I74" s="352">
        <v>170792157</v>
      </c>
      <c r="J74" s="352">
        <v>184242914</v>
      </c>
      <c r="K74" s="352">
        <v>-7785535.489073093</v>
      </c>
      <c r="L74" s="577">
        <f t="shared" si="5"/>
        <v>1318479662.7976868</v>
      </c>
      <c r="M74" s="577"/>
      <c r="N74" s="577">
        <f t="shared" si="6"/>
        <v>1502722576.7976868</v>
      </c>
    </row>
    <row r="75" spans="2:14" hidden="1" x14ac:dyDescent="0.3">
      <c r="B75" t="s">
        <v>765</v>
      </c>
      <c r="C75"/>
      <c r="D75"/>
      <c r="E75" s="352">
        <v>4085023486.8086519</v>
      </c>
      <c r="F75" s="352">
        <v>346418259.21000004</v>
      </c>
      <c r="G75" s="352">
        <v>1900956561.9923763</v>
      </c>
      <c r="H75" s="352">
        <v>21938476</v>
      </c>
      <c r="I75" s="352">
        <v>467849043</v>
      </c>
      <c r="J75" s="352">
        <v>489787519</v>
      </c>
      <c r="K75" s="352">
        <v>-59712850.916281134</v>
      </c>
      <c r="L75" s="577">
        <f t="shared" si="5"/>
        <v>6332398308.0110283</v>
      </c>
      <c r="M75" s="577"/>
      <c r="N75" s="577">
        <f t="shared" si="6"/>
        <v>6822185827.0110283</v>
      </c>
    </row>
    <row r="76" spans="2:14" x14ac:dyDescent="0.3">
      <c r="B76"/>
      <c r="C76"/>
      <c r="D76"/>
      <c r="E76"/>
      <c r="F76"/>
      <c r="G76"/>
      <c r="H76"/>
      <c r="I76"/>
      <c r="J76"/>
      <c r="K76"/>
    </row>
    <row r="77" spans="2:14" x14ac:dyDescent="0.3">
      <c r="B77"/>
      <c r="C77"/>
      <c r="D77"/>
      <c r="E77"/>
      <c r="F77"/>
      <c r="G77"/>
      <c r="H77"/>
      <c r="I77"/>
      <c r="J77"/>
      <c r="K77"/>
    </row>
    <row r="78" spans="2:14" x14ac:dyDescent="0.3">
      <c r="B78"/>
      <c r="C78"/>
      <c r="D78"/>
      <c r="E78"/>
      <c r="F78"/>
      <c r="G78"/>
      <c r="H78"/>
      <c r="I78"/>
      <c r="J78"/>
      <c r="K78"/>
    </row>
    <row r="79" spans="2:14" x14ac:dyDescent="0.3">
      <c r="B79"/>
      <c r="C79"/>
      <c r="D79"/>
      <c r="E79"/>
      <c r="F79"/>
      <c r="G79"/>
      <c r="H79"/>
      <c r="I79"/>
      <c r="J79"/>
      <c r="K79"/>
    </row>
    <row r="80" spans="2:14" x14ac:dyDescent="0.3">
      <c r="B80"/>
      <c r="C80"/>
      <c r="D80"/>
      <c r="E80"/>
      <c r="F80"/>
      <c r="G80"/>
      <c r="H80"/>
      <c r="I80"/>
      <c r="J80"/>
      <c r="K80"/>
    </row>
    <row r="81" spans="2:11" x14ac:dyDescent="0.3">
      <c r="B81"/>
      <c r="C81"/>
      <c r="D81"/>
      <c r="E81"/>
      <c r="F81"/>
      <c r="G81"/>
      <c r="H81"/>
      <c r="I81"/>
      <c r="J81"/>
      <c r="K81"/>
    </row>
    <row r="82" spans="2:11" x14ac:dyDescent="0.3">
      <c r="B82"/>
      <c r="C82"/>
      <c r="D82"/>
      <c r="E82"/>
      <c r="F82"/>
      <c r="G82"/>
      <c r="H82"/>
      <c r="I82"/>
      <c r="J82"/>
      <c r="K82"/>
    </row>
    <row r="83" spans="2:11" x14ac:dyDescent="0.3">
      <c r="B83"/>
      <c r="C83"/>
      <c r="D83"/>
      <c r="E83"/>
      <c r="F83"/>
      <c r="G83"/>
      <c r="H83"/>
      <c r="I83"/>
      <c r="J83"/>
      <c r="K83"/>
    </row>
    <row r="84" spans="2:11" x14ac:dyDescent="0.3">
      <c r="B84"/>
      <c r="C84"/>
      <c r="D84"/>
      <c r="E84"/>
      <c r="F84"/>
      <c r="G84"/>
      <c r="H84"/>
      <c r="I84"/>
      <c r="J84"/>
      <c r="K84"/>
    </row>
    <row r="85" spans="2:11" x14ac:dyDescent="0.3">
      <c r="B85"/>
      <c r="C85"/>
      <c r="D85"/>
      <c r="E85"/>
      <c r="F85"/>
      <c r="G85"/>
      <c r="H85"/>
      <c r="I85"/>
      <c r="J85"/>
      <c r="K85"/>
    </row>
    <row r="86" spans="2:11" x14ac:dyDescent="0.3">
      <c r="B86"/>
      <c r="C86"/>
      <c r="D86"/>
      <c r="E86"/>
      <c r="F86"/>
      <c r="G86"/>
      <c r="H86"/>
      <c r="I86"/>
      <c r="J86"/>
      <c r="K86"/>
    </row>
    <row r="87" spans="2:11" x14ac:dyDescent="0.3">
      <c r="B87"/>
      <c r="C87"/>
      <c r="D87"/>
      <c r="E87"/>
      <c r="F87"/>
      <c r="G87"/>
      <c r="H87"/>
      <c r="I87"/>
      <c r="J87"/>
      <c r="K87"/>
    </row>
    <row r="88" spans="2:11" x14ac:dyDescent="0.3">
      <c r="B88"/>
      <c r="C88"/>
      <c r="D88"/>
      <c r="E88"/>
      <c r="F88"/>
      <c r="G88"/>
      <c r="H88"/>
      <c r="I88"/>
      <c r="J88"/>
      <c r="K88"/>
    </row>
    <row r="89" spans="2:11" x14ac:dyDescent="0.3">
      <c r="B89"/>
      <c r="C89"/>
      <c r="D89"/>
      <c r="E89"/>
      <c r="F89"/>
      <c r="G89"/>
      <c r="H89"/>
      <c r="I89"/>
      <c r="J89"/>
      <c r="K89"/>
    </row>
    <row r="90" spans="2:11" x14ac:dyDescent="0.3">
      <c r="B90"/>
      <c r="C90"/>
      <c r="D90"/>
      <c r="E90"/>
      <c r="F90"/>
      <c r="G90"/>
      <c r="H90"/>
      <c r="I90"/>
      <c r="J90"/>
      <c r="K90"/>
    </row>
    <row r="91" spans="2:11" x14ac:dyDescent="0.3">
      <c r="B91"/>
      <c r="C91"/>
      <c r="D91"/>
      <c r="E91"/>
      <c r="F91"/>
      <c r="G91"/>
      <c r="H91"/>
      <c r="I91"/>
      <c r="J91"/>
      <c r="K91"/>
    </row>
    <row r="92" spans="2:11" x14ac:dyDescent="0.3">
      <c r="B92"/>
      <c r="C92"/>
      <c r="D92"/>
      <c r="E92"/>
      <c r="F92"/>
      <c r="G92"/>
      <c r="H92"/>
      <c r="I92"/>
      <c r="J92"/>
      <c r="K92"/>
    </row>
    <row r="93" spans="2:11" x14ac:dyDescent="0.3">
      <c r="B93"/>
      <c r="C93"/>
      <c r="D93"/>
      <c r="E93"/>
      <c r="F93"/>
      <c r="G93"/>
      <c r="H93"/>
      <c r="I93"/>
      <c r="J93"/>
      <c r="K93"/>
    </row>
    <row r="94" spans="2:11" x14ac:dyDescent="0.3">
      <c r="B94"/>
      <c r="C94"/>
      <c r="D94"/>
      <c r="E94"/>
      <c r="F94"/>
      <c r="G94"/>
      <c r="H94"/>
      <c r="I94"/>
      <c r="J94"/>
      <c r="K94"/>
    </row>
    <row r="95" spans="2:11" x14ac:dyDescent="0.3">
      <c r="B95"/>
      <c r="C95"/>
      <c r="D95"/>
      <c r="E95"/>
      <c r="F95"/>
      <c r="G95"/>
      <c r="H95"/>
      <c r="I95"/>
      <c r="J95"/>
      <c r="K95"/>
    </row>
    <row r="96" spans="2:11" x14ac:dyDescent="0.3">
      <c r="B96"/>
      <c r="C96"/>
      <c r="D96"/>
      <c r="E96"/>
      <c r="F96"/>
      <c r="G96"/>
      <c r="H96"/>
      <c r="I96"/>
      <c r="J96"/>
      <c r="K96"/>
    </row>
    <row r="97" spans="2:11" x14ac:dyDescent="0.3">
      <c r="B97"/>
      <c r="C97"/>
      <c r="D97"/>
      <c r="E97"/>
      <c r="F97"/>
      <c r="G97"/>
      <c r="H97"/>
      <c r="I97"/>
      <c r="J97"/>
      <c r="K97"/>
    </row>
    <row r="98" spans="2:11" x14ac:dyDescent="0.3">
      <c r="B98"/>
      <c r="C98"/>
      <c r="D98"/>
      <c r="E98"/>
      <c r="F98"/>
      <c r="G98"/>
      <c r="H98"/>
      <c r="I98"/>
      <c r="J98"/>
      <c r="K98"/>
    </row>
    <row r="99" spans="2:11" x14ac:dyDescent="0.3">
      <c r="B99"/>
      <c r="C99"/>
      <c r="D99"/>
      <c r="E99"/>
      <c r="F99"/>
      <c r="G99"/>
      <c r="H99"/>
      <c r="I99"/>
      <c r="J99"/>
      <c r="K99"/>
    </row>
    <row r="100" spans="2:11" x14ac:dyDescent="0.3">
      <c r="B100"/>
      <c r="C100"/>
      <c r="D100"/>
      <c r="E100"/>
      <c r="F100"/>
      <c r="G100"/>
      <c r="H100"/>
      <c r="I100"/>
      <c r="J100"/>
      <c r="K100"/>
    </row>
    <row r="101" spans="2:11" x14ac:dyDescent="0.3">
      <c r="B101"/>
      <c r="C101"/>
      <c r="D101"/>
      <c r="E101"/>
      <c r="F101"/>
      <c r="G101"/>
      <c r="H101"/>
      <c r="I101"/>
      <c r="J101"/>
      <c r="K101"/>
    </row>
    <row r="102" spans="2:11" x14ac:dyDescent="0.3">
      <c r="B102"/>
      <c r="C102"/>
      <c r="D102"/>
      <c r="E102"/>
      <c r="F102"/>
      <c r="G102"/>
      <c r="H102"/>
      <c r="I102"/>
      <c r="J102"/>
      <c r="K102"/>
    </row>
    <row r="103" spans="2:11" x14ac:dyDescent="0.3">
      <c r="B103"/>
      <c r="C103"/>
      <c r="D103"/>
      <c r="E103"/>
      <c r="F103"/>
      <c r="G103"/>
      <c r="H103"/>
      <c r="I103"/>
      <c r="J103"/>
      <c r="K103"/>
    </row>
    <row r="104" spans="2:11" x14ac:dyDescent="0.3">
      <c r="B104"/>
      <c r="C104"/>
      <c r="D104"/>
      <c r="E104"/>
      <c r="F104"/>
      <c r="G104"/>
      <c r="H104"/>
      <c r="I104"/>
      <c r="J104"/>
      <c r="K104"/>
    </row>
    <row r="105" spans="2:11" x14ac:dyDescent="0.3">
      <c r="B105"/>
      <c r="C105"/>
      <c r="D105"/>
      <c r="E105"/>
      <c r="F105"/>
      <c r="G105"/>
      <c r="H105"/>
      <c r="I105"/>
      <c r="J105"/>
      <c r="K105"/>
    </row>
    <row r="106" spans="2:11" x14ac:dyDescent="0.3">
      <c r="B106"/>
      <c r="C106"/>
      <c r="D106"/>
      <c r="E106"/>
      <c r="F106"/>
      <c r="G106"/>
      <c r="H106"/>
      <c r="I106"/>
      <c r="J106"/>
      <c r="K106"/>
    </row>
    <row r="107" spans="2:11" x14ac:dyDescent="0.3">
      <c r="B107"/>
      <c r="C107"/>
      <c r="D107"/>
      <c r="E107"/>
      <c r="F107"/>
      <c r="G107"/>
      <c r="H107"/>
      <c r="I107"/>
      <c r="J107"/>
      <c r="K107"/>
    </row>
    <row r="108" spans="2:11" x14ac:dyDescent="0.3">
      <c r="B108"/>
      <c r="C108"/>
      <c r="D108"/>
      <c r="E108"/>
      <c r="F108"/>
      <c r="G108"/>
      <c r="H108"/>
      <c r="I108"/>
      <c r="J108"/>
      <c r="K108"/>
    </row>
    <row r="109" spans="2:11" x14ac:dyDescent="0.3">
      <c r="B109"/>
      <c r="C109"/>
      <c r="D109"/>
      <c r="E109"/>
      <c r="F109"/>
      <c r="G109"/>
      <c r="H109"/>
      <c r="I109"/>
      <c r="J109"/>
      <c r="K109"/>
    </row>
    <row r="110" spans="2:11" x14ac:dyDescent="0.3">
      <c r="B110"/>
      <c r="C110"/>
      <c r="D110"/>
      <c r="E110"/>
      <c r="F110"/>
      <c r="G110"/>
      <c r="H110"/>
      <c r="I110"/>
      <c r="J110"/>
      <c r="K110"/>
    </row>
    <row r="111" spans="2:11" x14ac:dyDescent="0.3">
      <c r="B111"/>
      <c r="C111"/>
      <c r="D111"/>
      <c r="E111"/>
      <c r="F111"/>
      <c r="G111"/>
      <c r="H111"/>
      <c r="I111"/>
      <c r="J111"/>
      <c r="K111"/>
    </row>
    <row r="112" spans="2:11" x14ac:dyDescent="0.3">
      <c r="B112"/>
      <c r="C112"/>
      <c r="D112"/>
      <c r="E112"/>
      <c r="F112"/>
      <c r="G112"/>
      <c r="H112"/>
      <c r="I112"/>
      <c r="J112"/>
      <c r="K112"/>
    </row>
    <row r="113" spans="2:11" x14ac:dyDescent="0.3">
      <c r="B113"/>
      <c r="C113"/>
      <c r="D113"/>
      <c r="E113"/>
      <c r="F113"/>
      <c r="G113"/>
      <c r="H113"/>
      <c r="I113"/>
      <c r="J113"/>
      <c r="K113"/>
    </row>
    <row r="114" spans="2:11" x14ac:dyDescent="0.3">
      <c r="B114"/>
      <c r="C114"/>
      <c r="D114"/>
      <c r="E114"/>
      <c r="F114"/>
      <c r="G114"/>
      <c r="H114"/>
      <c r="I114"/>
      <c r="J114"/>
      <c r="K114"/>
    </row>
    <row r="115" spans="2:11" x14ac:dyDescent="0.3">
      <c r="B115"/>
      <c r="C115"/>
      <c r="D115"/>
      <c r="E115"/>
      <c r="F115"/>
      <c r="G115"/>
      <c r="H115"/>
      <c r="I115"/>
      <c r="J115"/>
      <c r="K115"/>
    </row>
    <row r="116" spans="2:11" x14ac:dyDescent="0.3">
      <c r="B116"/>
      <c r="C116"/>
      <c r="D116"/>
      <c r="E116"/>
      <c r="F116"/>
      <c r="G116"/>
      <c r="H116"/>
      <c r="I116"/>
      <c r="J116"/>
      <c r="K116"/>
    </row>
    <row r="117" spans="2:11" x14ac:dyDescent="0.3">
      <c r="B117"/>
      <c r="C117"/>
      <c r="D117"/>
      <c r="E117"/>
      <c r="F117"/>
      <c r="G117"/>
      <c r="H117"/>
      <c r="I117"/>
      <c r="J117"/>
      <c r="K117"/>
    </row>
    <row r="118" spans="2:11" x14ac:dyDescent="0.3">
      <c r="B118"/>
      <c r="C118"/>
      <c r="D118"/>
      <c r="E118"/>
      <c r="F118"/>
      <c r="G118"/>
      <c r="H118"/>
      <c r="I118"/>
      <c r="J118"/>
      <c r="K118"/>
    </row>
    <row r="119" spans="2:11" x14ac:dyDescent="0.3">
      <c r="B119"/>
      <c r="C119"/>
      <c r="D119"/>
      <c r="E119"/>
      <c r="F119"/>
      <c r="G119"/>
      <c r="H119"/>
      <c r="I119"/>
      <c r="J119"/>
      <c r="K119"/>
    </row>
    <row r="120" spans="2:11" x14ac:dyDescent="0.3">
      <c r="B120"/>
      <c r="C120"/>
      <c r="D120"/>
      <c r="E120"/>
      <c r="F120"/>
      <c r="G120"/>
      <c r="H120"/>
      <c r="I120"/>
      <c r="J120"/>
      <c r="K120"/>
    </row>
    <row r="121" spans="2:11" x14ac:dyDescent="0.3">
      <c r="B121"/>
      <c r="C121"/>
      <c r="D121"/>
      <c r="E121"/>
      <c r="F121"/>
      <c r="G121"/>
      <c r="H121"/>
      <c r="I121"/>
      <c r="J121"/>
      <c r="K121"/>
    </row>
    <row r="122" spans="2:11" x14ac:dyDescent="0.3">
      <c r="B122"/>
      <c r="C122"/>
      <c r="D122"/>
      <c r="E122"/>
      <c r="F122"/>
      <c r="G122"/>
      <c r="H122"/>
      <c r="I122"/>
      <c r="J122"/>
      <c r="K122"/>
    </row>
    <row r="123" spans="2:11" x14ac:dyDescent="0.3">
      <c r="B123"/>
      <c r="C123"/>
      <c r="D123"/>
      <c r="E123"/>
      <c r="F123"/>
      <c r="G123"/>
      <c r="H123"/>
      <c r="I123"/>
      <c r="J123"/>
      <c r="K123"/>
    </row>
    <row r="124" spans="2:11" x14ac:dyDescent="0.3">
      <c r="B124"/>
      <c r="C124"/>
      <c r="D124"/>
      <c r="E124"/>
      <c r="F124"/>
      <c r="G124"/>
      <c r="H124"/>
      <c r="I124"/>
      <c r="J124"/>
      <c r="K124"/>
    </row>
    <row r="125" spans="2:11" x14ac:dyDescent="0.3">
      <c r="B125"/>
      <c r="C125"/>
      <c r="D125"/>
      <c r="E125"/>
      <c r="F125"/>
      <c r="G125"/>
      <c r="H125"/>
      <c r="I125"/>
      <c r="J125"/>
      <c r="K125"/>
    </row>
    <row r="126" spans="2:11" x14ac:dyDescent="0.3">
      <c r="B126"/>
      <c r="C126"/>
      <c r="D126"/>
      <c r="E126"/>
      <c r="F126"/>
      <c r="G126"/>
      <c r="H126"/>
      <c r="I126"/>
      <c r="J126"/>
      <c r="K126"/>
    </row>
    <row r="127" spans="2:11" x14ac:dyDescent="0.3">
      <c r="B127"/>
      <c r="C127"/>
      <c r="D127"/>
      <c r="E127"/>
      <c r="F127"/>
      <c r="G127"/>
      <c r="H127"/>
      <c r="I127"/>
      <c r="J127"/>
      <c r="K127"/>
    </row>
    <row r="128" spans="2:11" x14ac:dyDescent="0.3">
      <c r="B128"/>
      <c r="C128"/>
      <c r="D128"/>
      <c r="E128"/>
      <c r="F128"/>
      <c r="G128"/>
      <c r="H128"/>
      <c r="I128"/>
      <c r="J128"/>
      <c r="K128"/>
    </row>
    <row r="129" spans="2:11" x14ac:dyDescent="0.3">
      <c r="B129"/>
      <c r="C129"/>
      <c r="D129"/>
      <c r="E129"/>
      <c r="F129"/>
      <c r="G129"/>
      <c r="H129"/>
      <c r="I129"/>
      <c r="J129"/>
      <c r="K129"/>
    </row>
    <row r="130" spans="2:11" x14ac:dyDescent="0.3">
      <c r="B130"/>
      <c r="C130"/>
      <c r="D130"/>
      <c r="E130"/>
      <c r="F130"/>
      <c r="G130"/>
      <c r="H130"/>
      <c r="I130"/>
      <c r="J130"/>
      <c r="K130"/>
    </row>
    <row r="131" spans="2:11" x14ac:dyDescent="0.3">
      <c r="B131"/>
      <c r="C131"/>
      <c r="D131"/>
      <c r="E131"/>
      <c r="F131"/>
      <c r="G131"/>
      <c r="H131"/>
      <c r="I131"/>
      <c r="J131"/>
      <c r="K131"/>
    </row>
    <row r="132" spans="2:11" x14ac:dyDescent="0.3">
      <c r="B132"/>
      <c r="C132"/>
      <c r="D132"/>
      <c r="E132"/>
      <c r="F132"/>
      <c r="G132"/>
      <c r="H132"/>
      <c r="I132"/>
      <c r="J132"/>
      <c r="K132"/>
    </row>
    <row r="133" spans="2:11" x14ac:dyDescent="0.3">
      <c r="B133"/>
      <c r="C133"/>
      <c r="D133"/>
      <c r="E133"/>
      <c r="F133"/>
      <c r="G133"/>
      <c r="H133"/>
      <c r="I133"/>
      <c r="J133"/>
      <c r="K133"/>
    </row>
    <row r="134" spans="2:11" x14ac:dyDescent="0.3">
      <c r="B134"/>
      <c r="C134"/>
      <c r="D134"/>
      <c r="E134"/>
      <c r="F134"/>
      <c r="G134"/>
      <c r="H134"/>
      <c r="I134"/>
      <c r="J134"/>
      <c r="K134"/>
    </row>
    <row r="135" spans="2:11" x14ac:dyDescent="0.3">
      <c r="B135"/>
      <c r="C135"/>
      <c r="D135"/>
      <c r="E135"/>
      <c r="F135"/>
      <c r="G135"/>
      <c r="H135"/>
      <c r="I135"/>
      <c r="J135"/>
      <c r="K135"/>
    </row>
    <row r="136" spans="2:11" x14ac:dyDescent="0.3">
      <c r="B136"/>
      <c r="C136"/>
      <c r="D136"/>
      <c r="E136"/>
      <c r="F136"/>
      <c r="G136"/>
      <c r="H136"/>
      <c r="I136"/>
      <c r="J136"/>
      <c r="K136"/>
    </row>
    <row r="137" spans="2:11" x14ac:dyDescent="0.3">
      <c r="B137"/>
      <c r="C137"/>
      <c r="D137"/>
      <c r="E137"/>
      <c r="F137"/>
      <c r="G137"/>
      <c r="H137"/>
      <c r="I137"/>
      <c r="J137"/>
      <c r="K137"/>
    </row>
    <row r="138" spans="2:11" x14ac:dyDescent="0.3">
      <c r="B138"/>
      <c r="C138"/>
      <c r="D138"/>
      <c r="E138"/>
      <c r="F138"/>
      <c r="G138"/>
      <c r="H138"/>
      <c r="I138"/>
      <c r="J138"/>
      <c r="K138"/>
    </row>
    <row r="139" spans="2:11" x14ac:dyDescent="0.3">
      <c r="B139"/>
      <c r="C139"/>
      <c r="D139"/>
      <c r="E139"/>
      <c r="F139"/>
      <c r="G139"/>
      <c r="H139"/>
      <c r="I139"/>
      <c r="J139"/>
      <c r="K139"/>
    </row>
    <row r="140" spans="2:11" x14ac:dyDescent="0.3">
      <c r="B140"/>
      <c r="C140"/>
      <c r="D140"/>
      <c r="E140"/>
      <c r="F140"/>
      <c r="G140"/>
      <c r="H140"/>
      <c r="I140"/>
      <c r="J140"/>
      <c r="K140"/>
    </row>
    <row r="141" spans="2:11" x14ac:dyDescent="0.3">
      <c r="B141"/>
      <c r="C141"/>
      <c r="D141"/>
      <c r="E141"/>
      <c r="F141"/>
      <c r="G141"/>
      <c r="H141"/>
      <c r="I141"/>
      <c r="J141"/>
      <c r="K141"/>
    </row>
    <row r="143" spans="2:11" x14ac:dyDescent="0.3">
      <c r="B143"/>
    </row>
  </sheetData>
  <autoFilter ref="A3:P75">
    <filterColumn colId="2">
      <filters>
        <filter val="S0000"/>
      </filters>
    </filterColumn>
  </autoFilter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I61"/>
  <sheetViews>
    <sheetView zoomScale="85" zoomScaleNormal="85" workbookViewId="0">
      <pane xSplit="2" ySplit="6" topLeftCell="C7" activePane="bottomRight" state="frozen"/>
      <selection pane="topRight" activeCell="C1" sqref="C1"/>
      <selection pane="bottomLeft" activeCell="A6" sqref="A6"/>
      <selection pane="bottomRight" activeCell="DT50" activeCellId="2" sqref="DJ50 DS50 DT50"/>
    </sheetView>
  </sheetViews>
  <sheetFormatPr defaultColWidth="8" defaultRowHeight="14.4" x14ac:dyDescent="0.3"/>
  <cols>
    <col min="1" max="1" width="18.77734375" style="581" customWidth="1"/>
    <col min="2" max="2" width="25.21875" style="581" bestFit="1" customWidth="1"/>
    <col min="3" max="3" width="12.44140625" style="280" hidden="1" customWidth="1"/>
    <col min="4" max="4" width="10.44140625" style="280" hidden="1" customWidth="1"/>
    <col min="5" max="6" width="11.44140625" style="280" hidden="1" customWidth="1"/>
    <col min="7" max="8" width="10.44140625" style="280" hidden="1" customWidth="1"/>
    <col min="9" max="10" width="11.109375" style="280" hidden="1" customWidth="1"/>
    <col min="11" max="11" width="12.21875" style="280" hidden="1" customWidth="1"/>
    <col min="12" max="14" width="10.44140625" style="280" hidden="1" customWidth="1"/>
    <col min="15" max="16" width="12.21875" style="280" hidden="1" customWidth="1"/>
    <col min="17" max="17" width="10.44140625" style="280" hidden="1" customWidth="1"/>
    <col min="18" max="18" width="12.21875" style="280" hidden="1" customWidth="1"/>
    <col min="19" max="21" width="10.44140625" style="280" hidden="1" customWidth="1"/>
    <col min="22" max="22" width="12.21875" style="280" hidden="1" customWidth="1"/>
    <col min="23" max="24" width="11.109375" style="280" hidden="1" customWidth="1"/>
    <col min="25" max="26" width="11.44140625" style="280" hidden="1" customWidth="1"/>
    <col min="27" max="27" width="11.109375" style="280" hidden="1" customWidth="1"/>
    <col min="28" max="28" width="11.44140625" style="280" hidden="1" customWidth="1"/>
    <col min="29" max="33" width="11.109375" style="280" hidden="1" customWidth="1"/>
    <col min="34" max="34" width="11.44140625" style="280" hidden="1" customWidth="1"/>
    <col min="35" max="35" width="10.44140625" style="280" hidden="1" customWidth="1"/>
    <col min="36" max="36" width="11.44140625" style="280" hidden="1" customWidth="1"/>
    <col min="37" max="38" width="12.21875" style="280" hidden="1" customWidth="1"/>
    <col min="39" max="39" width="10.44140625" style="280" hidden="1" customWidth="1"/>
    <col min="40" max="40" width="12.21875" style="280" hidden="1" customWidth="1"/>
    <col min="41" max="42" width="10.44140625" style="280" hidden="1" customWidth="1"/>
    <col min="43" max="43" width="11.44140625" style="280" hidden="1" customWidth="1"/>
    <col min="44" max="44" width="12.21875" style="280" hidden="1" customWidth="1"/>
    <col min="45" max="48" width="12.33203125" style="280" hidden="1" customWidth="1"/>
    <col min="49" max="50" width="10.44140625" style="280" hidden="1" customWidth="1"/>
    <col min="51" max="51" width="12.21875" style="280" hidden="1" customWidth="1"/>
    <col min="52" max="54" width="11.44140625" style="280" hidden="1" customWidth="1"/>
    <col min="55" max="56" width="10.44140625" style="280" hidden="1" customWidth="1"/>
    <col min="57" max="57" width="11.44140625" style="280" hidden="1" customWidth="1"/>
    <col min="58" max="58" width="10.44140625" style="280" hidden="1" customWidth="1"/>
    <col min="59" max="59" width="11.44140625" style="280" hidden="1" customWidth="1"/>
    <col min="60" max="60" width="12.21875" style="280" hidden="1" customWidth="1"/>
    <col min="61" max="61" width="10.44140625" style="280" hidden="1" customWidth="1"/>
    <col min="62" max="64" width="12.21875" style="280" hidden="1" customWidth="1"/>
    <col min="65" max="67" width="11.44140625" style="280" hidden="1" customWidth="1"/>
    <col min="68" max="68" width="12.21875" style="280" hidden="1" customWidth="1"/>
    <col min="69" max="69" width="11.44140625" style="280" hidden="1" customWidth="1"/>
    <col min="70" max="70" width="12.21875" style="280" hidden="1" customWidth="1"/>
    <col min="71" max="71" width="11.44140625" style="280" hidden="1" customWidth="1"/>
    <col min="72" max="72" width="12.21875" style="280" hidden="1" customWidth="1"/>
    <col min="73" max="73" width="11.44140625" style="280" hidden="1" customWidth="1"/>
    <col min="74" max="75" width="10.44140625" style="280" hidden="1" customWidth="1"/>
    <col min="76" max="77" width="11.44140625" style="280" hidden="1" customWidth="1"/>
    <col min="78" max="78" width="10.44140625" style="280" hidden="1" customWidth="1"/>
    <col min="79" max="80" width="11.44140625" style="280" hidden="1" customWidth="1"/>
    <col min="81" max="83" width="10.44140625" style="280" hidden="1" customWidth="1"/>
    <col min="84" max="84" width="11.44140625" style="280" hidden="1" customWidth="1"/>
    <col min="85" max="85" width="10.44140625" style="280" hidden="1" customWidth="1"/>
    <col min="86" max="86" width="12.21875" style="280" hidden="1" customWidth="1"/>
    <col min="87" max="87" width="11.109375" style="280" hidden="1" customWidth="1"/>
    <col min="88" max="88" width="11.44140625" style="280" hidden="1" customWidth="1"/>
    <col min="89" max="89" width="12.21875" style="280" hidden="1" customWidth="1"/>
    <col min="90" max="93" width="11.44140625" style="280" hidden="1" customWidth="1"/>
    <col min="94" max="95" width="11.109375" style="280" hidden="1" customWidth="1"/>
    <col min="96" max="96" width="12.21875" style="280" hidden="1" customWidth="1"/>
    <col min="97" max="97" width="10.44140625" style="280" hidden="1" customWidth="1"/>
    <col min="98" max="99" width="11.44140625" style="280" hidden="1" customWidth="1"/>
    <col min="100" max="106" width="10.44140625" style="280" hidden="1" customWidth="1"/>
    <col min="107" max="113" width="11.44140625" style="280" hidden="1" customWidth="1"/>
    <col min="114" max="114" width="11.109375" style="280" customWidth="1"/>
    <col min="115" max="116" width="11.109375" style="280" hidden="1" customWidth="1"/>
    <col min="117" max="117" width="11.33203125" style="280" hidden="1" customWidth="1"/>
    <col min="118" max="120" width="11.44140625" style="280" hidden="1" customWidth="1"/>
    <col min="121" max="122" width="11.33203125" style="280" hidden="1" customWidth="1"/>
    <col min="123" max="123" width="11.33203125" style="280" customWidth="1"/>
    <col min="124" max="124" width="11.44140625" style="280" customWidth="1"/>
    <col min="125" max="128" width="12" style="280" hidden="1" customWidth="1"/>
    <col min="129" max="129" width="11.44140625" style="280" hidden="1" customWidth="1"/>
    <col min="130" max="130" width="12.21875" style="280" hidden="1" customWidth="1"/>
    <col min="131" max="131" width="11.44140625" style="280" hidden="1" customWidth="1"/>
    <col min="132" max="132" width="12.21875" style="280" hidden="1" customWidth="1"/>
    <col min="133" max="133" width="11.44140625" style="280" hidden="1" customWidth="1"/>
    <col min="134" max="134" width="16.33203125" style="280" hidden="1" customWidth="1"/>
    <col min="135" max="135" width="8" style="280" hidden="1" customWidth="1"/>
    <col min="136" max="136" width="12.21875" style="280" hidden="1" customWidth="1"/>
    <col min="137" max="138" width="32.109375" style="280" customWidth="1"/>
    <col min="139" max="16384" width="8" style="279"/>
  </cols>
  <sheetData>
    <row r="1" spans="1:138" s="277" customFormat="1" x14ac:dyDescent="0.3">
      <c r="B1" s="277" t="s">
        <v>3068</v>
      </c>
      <c r="C1" s="278" t="s">
        <v>3807</v>
      </c>
      <c r="D1" s="278" t="s">
        <v>3069</v>
      </c>
      <c r="E1" s="278" t="s">
        <v>3069</v>
      </c>
      <c r="F1" s="278" t="s">
        <v>3069</v>
      </c>
      <c r="G1" s="278" t="s">
        <v>3070</v>
      </c>
      <c r="H1" s="278" t="s">
        <v>3070</v>
      </c>
      <c r="I1" s="278" t="s">
        <v>3070</v>
      </c>
      <c r="J1" s="278" t="s">
        <v>3070</v>
      </c>
      <c r="K1" s="278" t="s">
        <v>3071</v>
      </c>
      <c r="L1" s="278" t="s">
        <v>3071</v>
      </c>
      <c r="M1" s="278" t="s">
        <v>3071</v>
      </c>
      <c r="N1" s="278" t="s">
        <v>3072</v>
      </c>
      <c r="O1" s="278" t="s">
        <v>3073</v>
      </c>
      <c r="P1" s="278" t="s">
        <v>3073</v>
      </c>
      <c r="Q1" s="278" t="s">
        <v>3073</v>
      </c>
      <c r="R1" s="278" t="s">
        <v>3074</v>
      </c>
      <c r="S1" s="278" t="s">
        <v>3075</v>
      </c>
      <c r="T1" s="278" t="s">
        <v>3076</v>
      </c>
      <c r="U1" s="278" t="s">
        <v>3077</v>
      </c>
      <c r="V1" s="278" t="s">
        <v>3077</v>
      </c>
      <c r="W1" s="278" t="s">
        <v>3077</v>
      </c>
      <c r="X1" s="278" t="s">
        <v>3078</v>
      </c>
      <c r="Y1" s="278" t="s">
        <v>3078</v>
      </c>
      <c r="Z1" s="278" t="s">
        <v>3078</v>
      </c>
      <c r="AA1" s="278" t="s">
        <v>3078</v>
      </c>
      <c r="AB1" s="278" t="s">
        <v>3078</v>
      </c>
      <c r="AC1" s="278" t="s">
        <v>3078</v>
      </c>
      <c r="AD1" s="278" t="s">
        <v>3808</v>
      </c>
      <c r="AE1" s="278" t="s">
        <v>3079</v>
      </c>
      <c r="AF1" s="278" t="s">
        <v>3079</v>
      </c>
      <c r="AG1" s="278" t="s">
        <v>3079</v>
      </c>
      <c r="AH1" s="278" t="s">
        <v>3079</v>
      </c>
      <c r="AI1" s="278" t="s">
        <v>3079</v>
      </c>
      <c r="AJ1" s="278" t="s">
        <v>3079</v>
      </c>
      <c r="AK1" s="278" t="s">
        <v>3080</v>
      </c>
      <c r="AL1" s="278" t="s">
        <v>3081</v>
      </c>
      <c r="AM1" s="278" t="s">
        <v>3081</v>
      </c>
      <c r="AN1" s="278" t="s">
        <v>3082</v>
      </c>
      <c r="AO1" s="278" t="s">
        <v>3083</v>
      </c>
      <c r="AP1" s="278" t="s">
        <v>3084</v>
      </c>
      <c r="AQ1" s="278" t="s">
        <v>3085</v>
      </c>
      <c r="AR1" s="278" t="s">
        <v>3086</v>
      </c>
      <c r="AS1" s="278" t="s">
        <v>3086</v>
      </c>
      <c r="AT1" s="278" t="s">
        <v>3086</v>
      </c>
      <c r="AU1" s="278" t="s">
        <v>3087</v>
      </c>
      <c r="AV1" s="278" t="s">
        <v>3088</v>
      </c>
      <c r="AW1" s="278" t="s">
        <v>3088</v>
      </c>
      <c r="AX1" s="278" t="s">
        <v>3088</v>
      </c>
      <c r="AY1" s="278" t="s">
        <v>3088</v>
      </c>
      <c r="AZ1" s="278" t="s">
        <v>3088</v>
      </c>
      <c r="BA1" s="278" t="s">
        <v>3089</v>
      </c>
      <c r="BB1" s="278" t="s">
        <v>3089</v>
      </c>
      <c r="BC1" s="278" t="s">
        <v>3089</v>
      </c>
      <c r="BD1" s="278" t="s">
        <v>3090</v>
      </c>
      <c r="BE1" s="278" t="s">
        <v>3090</v>
      </c>
      <c r="BF1" s="278" t="s">
        <v>3091</v>
      </c>
      <c r="BG1" s="278" t="s">
        <v>3091</v>
      </c>
      <c r="BH1" s="278" t="s">
        <v>3092</v>
      </c>
      <c r="BI1" s="278" t="s">
        <v>3093</v>
      </c>
      <c r="BJ1" s="278" t="s">
        <v>3094</v>
      </c>
      <c r="BK1" s="278" t="s">
        <v>3094</v>
      </c>
      <c r="BL1" s="278" t="s">
        <v>3094</v>
      </c>
      <c r="BM1" s="278" t="s">
        <v>3094</v>
      </c>
      <c r="BN1" s="278" t="s">
        <v>3095</v>
      </c>
      <c r="BO1" s="278" t="s">
        <v>3095</v>
      </c>
      <c r="BP1" s="278" t="s">
        <v>3096</v>
      </c>
      <c r="BQ1" s="278" t="s">
        <v>3097</v>
      </c>
      <c r="BR1" s="278" t="s">
        <v>3097</v>
      </c>
      <c r="BS1" s="278" t="s">
        <v>3097</v>
      </c>
      <c r="BT1" s="278" t="s">
        <v>3097</v>
      </c>
      <c r="BU1" s="278" t="s">
        <v>3098</v>
      </c>
      <c r="BV1" s="278" t="s">
        <v>3099</v>
      </c>
      <c r="BW1" s="278" t="s">
        <v>3100</v>
      </c>
      <c r="BX1" s="278" t="s">
        <v>3101</v>
      </c>
      <c r="BY1" s="278" t="s">
        <v>3809</v>
      </c>
      <c r="BZ1" s="278" t="s">
        <v>3102</v>
      </c>
      <c r="CA1" s="278" t="s">
        <v>3103</v>
      </c>
      <c r="CB1" s="278" t="s">
        <v>3104</v>
      </c>
      <c r="CC1" s="278" t="s">
        <v>3105</v>
      </c>
      <c r="CD1" s="278" t="s">
        <v>3106</v>
      </c>
      <c r="CE1" s="278" t="s">
        <v>3107</v>
      </c>
      <c r="CF1" s="278" t="s">
        <v>3108</v>
      </c>
      <c r="CG1" s="278" t="s">
        <v>3108</v>
      </c>
      <c r="CH1" s="278" t="s">
        <v>3108</v>
      </c>
      <c r="CI1" s="278" t="s">
        <v>3109</v>
      </c>
      <c r="CJ1" s="278" t="s">
        <v>3110</v>
      </c>
      <c r="CK1" s="278" t="s">
        <v>3111</v>
      </c>
      <c r="CL1" s="278" t="s">
        <v>3112</v>
      </c>
      <c r="CM1" s="278" t="s">
        <v>3113</v>
      </c>
      <c r="CN1" s="278" t="s">
        <v>3114</v>
      </c>
      <c r="CO1" s="278" t="s">
        <v>3114</v>
      </c>
      <c r="CP1" s="278" t="s">
        <v>3114</v>
      </c>
      <c r="CQ1" s="278" t="s">
        <v>3114</v>
      </c>
      <c r="CR1" s="278" t="s">
        <v>3114</v>
      </c>
      <c r="CS1" s="278" t="s">
        <v>3114</v>
      </c>
      <c r="CT1" s="278" t="s">
        <v>3114</v>
      </c>
      <c r="CU1" s="278" t="s">
        <v>3114</v>
      </c>
      <c r="CV1" s="278" t="s">
        <v>3114</v>
      </c>
      <c r="CW1" s="278" t="s">
        <v>3115</v>
      </c>
      <c r="CX1" s="278" t="s">
        <v>3116</v>
      </c>
      <c r="CY1" s="278" t="s">
        <v>3117</v>
      </c>
      <c r="CZ1" s="278" t="s">
        <v>3118</v>
      </c>
      <c r="DA1" s="278" t="s">
        <v>3119</v>
      </c>
      <c r="DB1" s="278" t="s">
        <v>3120</v>
      </c>
      <c r="DC1" s="278" t="s">
        <v>3121</v>
      </c>
      <c r="DD1" s="278" t="s">
        <v>3122</v>
      </c>
      <c r="DE1" s="278" t="s">
        <v>3123</v>
      </c>
      <c r="DF1" s="278" t="s">
        <v>3124</v>
      </c>
      <c r="DG1" s="278" t="s">
        <v>3125</v>
      </c>
      <c r="DH1" s="278" t="s">
        <v>3126</v>
      </c>
      <c r="DI1" s="278" t="s">
        <v>3126</v>
      </c>
      <c r="DJ1" s="278" t="s">
        <v>3126</v>
      </c>
      <c r="DK1" s="278" t="s">
        <v>3126</v>
      </c>
      <c r="DL1" s="278" t="s">
        <v>3126</v>
      </c>
      <c r="DM1" s="278" t="s">
        <v>3126</v>
      </c>
      <c r="DN1" s="278" t="s">
        <v>3126</v>
      </c>
      <c r="DO1" s="278" t="s">
        <v>3126</v>
      </c>
      <c r="DP1" s="278" t="s">
        <v>3126</v>
      </c>
      <c r="DQ1" s="278" t="s">
        <v>3126</v>
      </c>
      <c r="DR1" s="278" t="s">
        <v>3127</v>
      </c>
      <c r="DS1" s="278" t="s">
        <v>3128</v>
      </c>
      <c r="DT1" s="278" t="s">
        <v>3129</v>
      </c>
      <c r="DU1" s="278" t="s">
        <v>3130</v>
      </c>
      <c r="DV1" s="278" t="s">
        <v>3130</v>
      </c>
      <c r="DW1" s="278" t="s">
        <v>3130</v>
      </c>
      <c r="DX1" s="278" t="s">
        <v>3131</v>
      </c>
      <c r="DY1" s="278" t="s">
        <v>3132</v>
      </c>
      <c r="DZ1" s="278" t="s">
        <v>3133</v>
      </c>
      <c r="EA1" s="278" t="s">
        <v>909</v>
      </c>
      <c r="EB1" s="278" t="s">
        <v>909</v>
      </c>
      <c r="EC1" s="278"/>
      <c r="ED1" s="278"/>
      <c r="EE1" s="278"/>
      <c r="EF1" s="278"/>
      <c r="EG1" s="278"/>
      <c r="EH1" s="278"/>
    </row>
    <row r="2" spans="1:138" x14ac:dyDescent="0.3">
      <c r="B2" s="582" t="s">
        <v>79</v>
      </c>
      <c r="C2" s="280" t="s">
        <v>3810</v>
      </c>
      <c r="D2" s="280" t="s">
        <v>3134</v>
      </c>
      <c r="E2" s="280" t="s">
        <v>3134</v>
      </c>
      <c r="F2" s="280" t="s">
        <v>3134</v>
      </c>
      <c r="G2" s="280" t="s">
        <v>3135</v>
      </c>
      <c r="H2" s="280" t="s">
        <v>3136</v>
      </c>
      <c r="I2" s="280" t="s">
        <v>3137</v>
      </c>
      <c r="J2" s="280" t="s">
        <v>3138</v>
      </c>
      <c r="K2" s="280" t="s">
        <v>3139</v>
      </c>
      <c r="L2" s="280" t="s">
        <v>3139</v>
      </c>
      <c r="M2" s="280" t="s">
        <v>3140</v>
      </c>
      <c r="N2" s="280" t="s">
        <v>3141</v>
      </c>
      <c r="O2" s="280" t="s">
        <v>3142</v>
      </c>
      <c r="P2" s="280" t="s">
        <v>3142</v>
      </c>
      <c r="Q2" s="280" t="s">
        <v>3143</v>
      </c>
      <c r="R2" s="280" t="s">
        <v>3144</v>
      </c>
      <c r="S2" s="280" t="s">
        <v>3811</v>
      </c>
      <c r="T2" s="280" t="s">
        <v>3039</v>
      </c>
      <c r="U2" s="280" t="s">
        <v>3145</v>
      </c>
      <c r="V2" s="280" t="s">
        <v>3146</v>
      </c>
      <c r="W2" s="280" t="s">
        <v>3147</v>
      </c>
      <c r="X2" s="280" t="s">
        <v>3148</v>
      </c>
      <c r="Y2" s="280" t="s">
        <v>3149</v>
      </c>
      <c r="Z2" s="280" t="s">
        <v>3150</v>
      </c>
      <c r="AA2" s="280" t="s">
        <v>3151</v>
      </c>
      <c r="AB2" s="280" t="s">
        <v>3152</v>
      </c>
      <c r="AC2" s="280" t="s">
        <v>3153</v>
      </c>
      <c r="AD2" s="280" t="s">
        <v>3812</v>
      </c>
      <c r="AE2" s="280" t="s">
        <v>3154</v>
      </c>
      <c r="AF2" s="280" t="s">
        <v>3154</v>
      </c>
      <c r="AG2" s="280" t="s">
        <v>3154</v>
      </c>
      <c r="AH2" s="280" t="s">
        <v>3154</v>
      </c>
      <c r="AI2" s="280" t="s">
        <v>3154</v>
      </c>
      <c r="AJ2" s="280" t="s">
        <v>3154</v>
      </c>
      <c r="AK2" s="280" t="s">
        <v>3155</v>
      </c>
      <c r="AL2" s="280" t="s">
        <v>3156</v>
      </c>
      <c r="AM2" s="280" t="s">
        <v>3157</v>
      </c>
      <c r="AN2" s="280" t="s">
        <v>987</v>
      </c>
      <c r="AO2" s="280" t="s">
        <v>3158</v>
      </c>
      <c r="AP2" s="280" t="s">
        <v>3159</v>
      </c>
      <c r="AQ2" s="280" t="s">
        <v>3160</v>
      </c>
      <c r="AR2" s="280" t="s">
        <v>3161</v>
      </c>
      <c r="AS2" s="280" t="s">
        <v>3162</v>
      </c>
      <c r="AT2" s="280" t="s">
        <v>3163</v>
      </c>
      <c r="AU2" s="280" t="s">
        <v>3164</v>
      </c>
      <c r="AV2" s="280" t="s">
        <v>1060</v>
      </c>
      <c r="AW2" s="280" t="s">
        <v>3165</v>
      </c>
      <c r="AX2" s="280" t="s">
        <v>3166</v>
      </c>
      <c r="AY2" s="280" t="s">
        <v>3167</v>
      </c>
      <c r="AZ2" s="280" t="s">
        <v>3813</v>
      </c>
      <c r="BA2" s="280" t="s">
        <v>3041</v>
      </c>
      <c r="BB2" s="280" t="s">
        <v>3168</v>
      </c>
      <c r="BC2" s="280" t="s">
        <v>3169</v>
      </c>
      <c r="BD2" s="280" t="s">
        <v>3043</v>
      </c>
      <c r="BE2" s="280" t="s">
        <v>3170</v>
      </c>
      <c r="BF2" s="280" t="s">
        <v>3042</v>
      </c>
      <c r="BG2" s="280" t="s">
        <v>3171</v>
      </c>
      <c r="BH2" s="280" t="s">
        <v>3044</v>
      </c>
      <c r="BI2" s="280" t="s">
        <v>3172</v>
      </c>
      <c r="BJ2" s="280" t="s">
        <v>3173</v>
      </c>
      <c r="BK2" s="280" t="s">
        <v>3174</v>
      </c>
      <c r="BL2" s="280" t="s">
        <v>1149</v>
      </c>
      <c r="BM2" s="280" t="s">
        <v>3175</v>
      </c>
      <c r="BN2" s="280" t="s">
        <v>3176</v>
      </c>
      <c r="BO2" s="280" t="s">
        <v>3176</v>
      </c>
      <c r="BP2" s="280" t="s">
        <v>3177</v>
      </c>
      <c r="BQ2" s="280" t="s">
        <v>3178</v>
      </c>
      <c r="BR2" s="280" t="s">
        <v>3179</v>
      </c>
      <c r="BS2" s="280" t="s">
        <v>3180</v>
      </c>
      <c r="BT2" s="280" t="s">
        <v>3181</v>
      </c>
      <c r="BU2" s="280" t="s">
        <v>1087</v>
      </c>
      <c r="BV2" s="280" t="s">
        <v>1088</v>
      </c>
      <c r="BW2" s="280" t="s">
        <v>3182</v>
      </c>
      <c r="BX2" s="280" t="s">
        <v>3183</v>
      </c>
      <c r="BY2" s="280" t="s">
        <v>3814</v>
      </c>
      <c r="BZ2" s="280" t="s">
        <v>3184</v>
      </c>
      <c r="CA2" s="280" t="s">
        <v>3185</v>
      </c>
      <c r="CB2" s="280" t="s">
        <v>3186</v>
      </c>
      <c r="CC2" s="280" t="s">
        <v>3187</v>
      </c>
      <c r="CD2" s="280" t="s">
        <v>3188</v>
      </c>
      <c r="CE2" s="280" t="s">
        <v>3189</v>
      </c>
      <c r="CF2" s="280" t="s">
        <v>3190</v>
      </c>
      <c r="CG2" s="280" t="s">
        <v>3191</v>
      </c>
      <c r="CH2" s="280" t="s">
        <v>3192</v>
      </c>
      <c r="CI2" s="280" t="s">
        <v>3193</v>
      </c>
      <c r="CJ2" s="280" t="s">
        <v>3194</v>
      </c>
      <c r="CK2" s="280" t="s">
        <v>3195</v>
      </c>
      <c r="CL2" s="280" t="s">
        <v>3196</v>
      </c>
      <c r="CM2" s="280" t="s">
        <v>3197</v>
      </c>
      <c r="CN2" s="280" t="s">
        <v>3040</v>
      </c>
      <c r="CO2" s="280" t="s">
        <v>3198</v>
      </c>
      <c r="CP2" s="280" t="s">
        <v>3199</v>
      </c>
      <c r="CQ2" s="280" t="s">
        <v>3200</v>
      </c>
      <c r="CR2" s="280" t="s">
        <v>3201</v>
      </c>
      <c r="CS2" s="280" t="s">
        <v>3202</v>
      </c>
      <c r="CT2" s="280" t="s">
        <v>3203</v>
      </c>
      <c r="CU2" s="280" t="s">
        <v>3204</v>
      </c>
      <c r="CV2" s="280" t="s">
        <v>3205</v>
      </c>
      <c r="CW2" s="280" t="s">
        <v>1044</v>
      </c>
      <c r="CX2" s="280" t="s">
        <v>3206</v>
      </c>
      <c r="CY2" s="280" t="s">
        <v>3207</v>
      </c>
      <c r="CZ2" s="280" t="s">
        <v>3208</v>
      </c>
      <c r="DA2" s="280" t="s">
        <v>3209</v>
      </c>
      <c r="DB2" s="280" t="s">
        <v>3210</v>
      </c>
      <c r="DC2" s="280" t="s">
        <v>3211</v>
      </c>
      <c r="DD2" s="280" t="s">
        <v>3212</v>
      </c>
      <c r="DE2" s="280" t="s">
        <v>3213</v>
      </c>
      <c r="DF2" s="280" t="s">
        <v>3214</v>
      </c>
      <c r="DG2" s="280" t="s">
        <v>3215</v>
      </c>
      <c r="DH2" s="280" t="s">
        <v>3216</v>
      </c>
      <c r="DI2" s="280" t="s">
        <v>3217</v>
      </c>
      <c r="DJ2" s="280" t="s">
        <v>3218</v>
      </c>
      <c r="DK2" s="280" t="s">
        <v>3219</v>
      </c>
      <c r="DL2" s="280" t="s">
        <v>3024</v>
      </c>
      <c r="DM2" s="280" t="s">
        <v>3220</v>
      </c>
      <c r="DN2" s="280" t="s">
        <v>3221</v>
      </c>
      <c r="DO2" s="280" t="s">
        <v>3222</v>
      </c>
      <c r="DP2" s="280" t="s">
        <v>3223</v>
      </c>
      <c r="DQ2" s="280" t="s">
        <v>3224</v>
      </c>
      <c r="DR2" s="280" t="s">
        <v>3225</v>
      </c>
      <c r="DS2" s="280" t="s">
        <v>3226</v>
      </c>
      <c r="DT2" s="280" t="s">
        <v>3227</v>
      </c>
      <c r="DU2" s="280" t="s">
        <v>3228</v>
      </c>
      <c r="DV2" s="280" t="s">
        <v>3229</v>
      </c>
      <c r="DW2" s="280" t="s">
        <v>3230</v>
      </c>
      <c r="DX2" s="280" t="s">
        <v>3231</v>
      </c>
      <c r="DY2" s="280" t="s">
        <v>3232</v>
      </c>
      <c r="DZ2" s="280" t="s">
        <v>3233</v>
      </c>
      <c r="EA2" s="280" t="s">
        <v>3154</v>
      </c>
      <c r="EB2" s="280" t="s">
        <v>3154</v>
      </c>
      <c r="EC2" s="280" t="s">
        <v>3234</v>
      </c>
      <c r="ED2" s="280" t="s">
        <v>3815</v>
      </c>
    </row>
    <row r="3" spans="1:138" x14ac:dyDescent="0.3">
      <c r="B3" s="582" t="s">
        <v>2677</v>
      </c>
      <c r="C3" s="280" t="s">
        <v>3797</v>
      </c>
      <c r="D3" s="280" t="s">
        <v>3797</v>
      </c>
      <c r="E3" s="280" t="s">
        <v>3797</v>
      </c>
      <c r="F3" s="280" t="s">
        <v>3797</v>
      </c>
      <c r="G3" s="280" t="s">
        <v>2718</v>
      </c>
      <c r="H3" s="280" t="s">
        <v>3797</v>
      </c>
      <c r="I3" s="280" t="s">
        <v>3797</v>
      </c>
      <c r="J3" s="280" t="s">
        <v>3797</v>
      </c>
      <c r="K3" s="280" t="s">
        <v>3797</v>
      </c>
      <c r="L3" s="280" t="s">
        <v>3797</v>
      </c>
      <c r="M3" s="280" t="s">
        <v>2718</v>
      </c>
      <c r="N3" s="280" t="s">
        <v>3797</v>
      </c>
      <c r="O3" s="280" t="s">
        <v>3797</v>
      </c>
      <c r="P3" s="280" t="s">
        <v>3797</v>
      </c>
      <c r="Q3" s="280" t="s">
        <v>3797</v>
      </c>
      <c r="R3" s="280" t="s">
        <v>3797</v>
      </c>
      <c r="S3" s="280" t="s">
        <v>3797</v>
      </c>
      <c r="T3" s="280" t="s">
        <v>2718</v>
      </c>
      <c r="U3" s="280" t="s">
        <v>3790</v>
      </c>
      <c r="V3" s="280" t="s">
        <v>3790</v>
      </c>
      <c r="W3" s="280" t="s">
        <v>3790</v>
      </c>
      <c r="X3" s="280" t="s">
        <v>2718</v>
      </c>
      <c r="Y3" s="280" t="s">
        <v>3797</v>
      </c>
      <c r="Z3" s="280" t="s">
        <v>3797</v>
      </c>
      <c r="AA3" s="280" t="s">
        <v>3797</v>
      </c>
      <c r="AB3" s="280" t="s">
        <v>2718</v>
      </c>
      <c r="AC3" s="280" t="s">
        <v>3797</v>
      </c>
      <c r="AD3" s="280" t="s">
        <v>3795</v>
      </c>
      <c r="AE3" s="280" t="s">
        <v>2718</v>
      </c>
      <c r="AF3" s="280" t="s">
        <v>3797</v>
      </c>
      <c r="AG3" s="280" t="s">
        <v>3797</v>
      </c>
      <c r="AH3" s="280" t="s">
        <v>3797</v>
      </c>
      <c r="AI3" s="280" t="s">
        <v>2718</v>
      </c>
      <c r="AJ3" s="280" t="s">
        <v>3797</v>
      </c>
      <c r="AK3" s="280" t="s">
        <v>3797</v>
      </c>
      <c r="AL3" s="280" t="s">
        <v>3790</v>
      </c>
      <c r="AM3" s="280" t="s">
        <v>3790</v>
      </c>
      <c r="AN3" s="280" t="s">
        <v>2718</v>
      </c>
      <c r="AO3" s="280" t="s">
        <v>3797</v>
      </c>
      <c r="AP3" s="280" t="s">
        <v>3795</v>
      </c>
      <c r="AQ3" s="280" t="s">
        <v>1621</v>
      </c>
      <c r="AR3" s="280" t="s">
        <v>3790</v>
      </c>
      <c r="AS3" s="280" t="s">
        <v>3790</v>
      </c>
      <c r="AT3" s="280" t="s">
        <v>3790</v>
      </c>
      <c r="AU3" s="280" t="s">
        <v>1621</v>
      </c>
      <c r="AV3" s="280" t="s">
        <v>3797</v>
      </c>
      <c r="AW3" s="280" t="s">
        <v>2718</v>
      </c>
      <c r="AX3" s="280" t="s">
        <v>2718</v>
      </c>
      <c r="AY3" s="280" t="s">
        <v>2718</v>
      </c>
      <c r="AZ3" s="280" t="s">
        <v>2718</v>
      </c>
      <c r="BA3" s="280" t="s">
        <v>2718</v>
      </c>
      <c r="BB3" s="280" t="s">
        <v>3797</v>
      </c>
      <c r="BC3" s="280" t="s">
        <v>2718</v>
      </c>
      <c r="BD3" s="280" t="s">
        <v>2718</v>
      </c>
      <c r="BE3" s="280" t="s">
        <v>3797</v>
      </c>
      <c r="BF3" s="280" t="s">
        <v>2718</v>
      </c>
      <c r="BG3" s="280" t="s">
        <v>3797</v>
      </c>
      <c r="BH3" s="280" t="s">
        <v>2718</v>
      </c>
      <c r="BI3" s="280" t="s">
        <v>1621</v>
      </c>
      <c r="BJ3" s="280" t="s">
        <v>3797</v>
      </c>
      <c r="BK3" s="280" t="s">
        <v>3797</v>
      </c>
      <c r="BL3" s="280" t="s">
        <v>1621</v>
      </c>
      <c r="BM3" s="280" t="s">
        <v>2718</v>
      </c>
      <c r="BN3" s="280" t="s">
        <v>1621</v>
      </c>
      <c r="BO3" s="280" t="s">
        <v>1621</v>
      </c>
      <c r="BP3" s="280" t="s">
        <v>1621</v>
      </c>
      <c r="BQ3" s="280" t="s">
        <v>1621</v>
      </c>
      <c r="BR3" s="280" t="s">
        <v>1621</v>
      </c>
      <c r="BS3" s="280" t="s">
        <v>1621</v>
      </c>
      <c r="BT3" s="280" t="s">
        <v>1621</v>
      </c>
      <c r="BU3" s="280" t="s">
        <v>1621</v>
      </c>
      <c r="BV3" s="280" t="s">
        <v>1621</v>
      </c>
      <c r="BW3" s="280" t="s">
        <v>1621</v>
      </c>
      <c r="BX3" s="280" t="s">
        <v>1621</v>
      </c>
      <c r="BY3" s="280" t="s">
        <v>1621</v>
      </c>
      <c r="BZ3" s="280" t="s">
        <v>3797</v>
      </c>
      <c r="CA3" s="280" t="s">
        <v>3797</v>
      </c>
      <c r="CB3" s="280" t="s">
        <v>3797</v>
      </c>
      <c r="CC3" s="280" t="s">
        <v>3797</v>
      </c>
      <c r="CD3" s="280" t="s">
        <v>3797</v>
      </c>
      <c r="CE3" s="280" t="s">
        <v>2718</v>
      </c>
      <c r="CF3" s="280" t="s">
        <v>3797</v>
      </c>
      <c r="CG3" s="280" t="s">
        <v>3797</v>
      </c>
      <c r="CH3" s="280" t="s">
        <v>3797</v>
      </c>
      <c r="CI3" s="280" t="s">
        <v>1621</v>
      </c>
      <c r="CJ3" s="280" t="s">
        <v>3797</v>
      </c>
      <c r="CK3" s="280" t="s">
        <v>3797</v>
      </c>
      <c r="CL3" s="280" t="s">
        <v>3797</v>
      </c>
      <c r="CM3" s="280" t="s">
        <v>2718</v>
      </c>
      <c r="CN3" s="280" t="s">
        <v>2718</v>
      </c>
      <c r="CO3" s="280" t="s">
        <v>2718</v>
      </c>
      <c r="CP3" s="280" t="s">
        <v>1621</v>
      </c>
      <c r="CQ3" s="280" t="s">
        <v>3797</v>
      </c>
      <c r="CR3" s="280" t="s">
        <v>3790</v>
      </c>
      <c r="CS3" s="280" t="s">
        <v>3790</v>
      </c>
      <c r="CT3" s="280" t="s">
        <v>3790</v>
      </c>
      <c r="CU3" s="280" t="s">
        <v>3790</v>
      </c>
      <c r="CV3" s="280" t="s">
        <v>3790</v>
      </c>
      <c r="CW3" s="280" t="s">
        <v>2718</v>
      </c>
      <c r="CX3" s="280" t="s">
        <v>3790</v>
      </c>
      <c r="CY3" s="280" t="s">
        <v>3790</v>
      </c>
      <c r="CZ3" s="280" t="s">
        <v>3790</v>
      </c>
      <c r="DA3" s="280" t="s">
        <v>2718</v>
      </c>
      <c r="DB3" s="280" t="s">
        <v>2718</v>
      </c>
      <c r="DC3" s="280" t="s">
        <v>2718</v>
      </c>
      <c r="DD3" s="280" t="s">
        <v>2718</v>
      </c>
      <c r="DE3" s="280" t="s">
        <v>2718</v>
      </c>
      <c r="DF3" s="280" t="s">
        <v>2718</v>
      </c>
      <c r="DG3" s="280" t="s">
        <v>3797</v>
      </c>
      <c r="DH3" s="280" t="s">
        <v>2985</v>
      </c>
      <c r="DI3" s="280" t="s">
        <v>2985</v>
      </c>
      <c r="DJ3" s="280" t="s">
        <v>2726</v>
      </c>
      <c r="DK3" s="280" t="s">
        <v>2985</v>
      </c>
      <c r="DL3" s="280" t="s">
        <v>2726</v>
      </c>
      <c r="DM3" s="280" t="s">
        <v>2726</v>
      </c>
      <c r="DN3" s="280" t="s">
        <v>2726</v>
      </c>
      <c r="DO3" s="280" t="s">
        <v>3790</v>
      </c>
      <c r="DP3" s="280" t="s">
        <v>3790</v>
      </c>
      <c r="DQ3" s="280" t="s">
        <v>3790</v>
      </c>
      <c r="DR3" s="280" t="s">
        <v>2985</v>
      </c>
      <c r="DS3" s="280" t="s">
        <v>2726</v>
      </c>
      <c r="DT3" s="280" t="s">
        <v>2726</v>
      </c>
      <c r="DU3" s="280" t="s">
        <v>3790</v>
      </c>
      <c r="DV3" s="280" t="s">
        <v>3790</v>
      </c>
      <c r="DW3" s="280" t="s">
        <v>3790</v>
      </c>
      <c r="DX3" s="280" t="s">
        <v>1621</v>
      </c>
      <c r="DY3" s="280" t="s">
        <v>1621</v>
      </c>
      <c r="DZ3" s="280" t="s">
        <v>1621</v>
      </c>
      <c r="EA3" s="280" t="s">
        <v>3797</v>
      </c>
      <c r="EB3" s="280" t="s">
        <v>3797</v>
      </c>
      <c r="EC3" s="280" t="s">
        <v>3797</v>
      </c>
    </row>
    <row r="4" spans="1:138" x14ac:dyDescent="0.3">
      <c r="B4" s="582" t="s">
        <v>78</v>
      </c>
    </row>
    <row r="5" spans="1:138" s="282" customFormat="1" x14ac:dyDescent="0.3">
      <c r="A5" s="583"/>
      <c r="B5" s="584">
        <v>16</v>
      </c>
      <c r="C5" s="283">
        <v>0</v>
      </c>
      <c r="D5" s="283">
        <v>0</v>
      </c>
      <c r="E5" s="283">
        <v>0</v>
      </c>
      <c r="F5" s="283">
        <v>0</v>
      </c>
      <c r="G5" s="283">
        <v>1863889.5914721617</v>
      </c>
      <c r="H5" s="283">
        <v>313715.68606583629</v>
      </c>
      <c r="I5" s="283">
        <v>65.25</v>
      </c>
      <c r="J5" s="283">
        <v>224.46</v>
      </c>
      <c r="K5" s="283">
        <v>16940.845264248674</v>
      </c>
      <c r="L5" s="283">
        <v>46363.311975789351</v>
      </c>
      <c r="M5" s="283">
        <v>5280690.8511902159</v>
      </c>
      <c r="N5" s="283">
        <v>0</v>
      </c>
      <c r="O5" s="283">
        <v>80437.254850076832</v>
      </c>
      <c r="P5" s="283">
        <v>7881.2381210107615</v>
      </c>
      <c r="Q5" s="283">
        <v>2782524.4363420806</v>
      </c>
      <c r="R5" s="283">
        <v>0</v>
      </c>
      <c r="S5" s="283">
        <v>0</v>
      </c>
      <c r="T5" s="283">
        <v>3168791.0925343246</v>
      </c>
      <c r="U5" s="283">
        <v>30072176.414887138</v>
      </c>
      <c r="V5" s="283">
        <v>0</v>
      </c>
      <c r="W5" s="283">
        <v>12662307.565177795</v>
      </c>
      <c r="X5" s="283">
        <v>8125207.1825634856</v>
      </c>
      <c r="Y5" s="283">
        <v>98360.54689924109</v>
      </c>
      <c r="Z5" s="283">
        <v>87891.224046077128</v>
      </c>
      <c r="AA5" s="283">
        <v>29801.861599971056</v>
      </c>
      <c r="AB5" s="283">
        <v>0</v>
      </c>
      <c r="AC5" s="283">
        <v>71407.61038756471</v>
      </c>
      <c r="AD5" s="283">
        <v>0</v>
      </c>
      <c r="AE5" s="283">
        <v>0</v>
      </c>
      <c r="AF5" s="283">
        <v>0</v>
      </c>
      <c r="AG5" s="283">
        <v>0</v>
      </c>
      <c r="AH5" s="283">
        <v>0</v>
      </c>
      <c r="AI5" s="283">
        <v>0</v>
      </c>
      <c r="AJ5" s="283">
        <v>0</v>
      </c>
      <c r="AK5" s="283">
        <v>0</v>
      </c>
      <c r="AL5" s="283">
        <v>24133362.509768385</v>
      </c>
      <c r="AM5" s="283">
        <v>3819142.1131242402</v>
      </c>
      <c r="AN5" s="283">
        <v>3741285.9498070856</v>
      </c>
      <c r="AO5" s="283">
        <v>0</v>
      </c>
      <c r="AP5" s="283">
        <v>0</v>
      </c>
      <c r="AQ5" s="283">
        <v>1828341.4710759756</v>
      </c>
      <c r="AR5" s="283">
        <v>15062789.930928342</v>
      </c>
      <c r="AS5" s="283">
        <v>3579533.1710845954</v>
      </c>
      <c r="AT5" s="283">
        <v>4708161.5235280776</v>
      </c>
      <c r="AU5" s="283">
        <v>7101127.602504055</v>
      </c>
      <c r="AV5" s="283">
        <v>0</v>
      </c>
      <c r="AW5" s="283">
        <v>14176597.17031171</v>
      </c>
      <c r="AX5" s="283">
        <v>2284345.5529341213</v>
      </c>
      <c r="AY5" s="283">
        <v>1656780.4618922535</v>
      </c>
      <c r="AZ5" s="283">
        <v>0</v>
      </c>
      <c r="BA5" s="283">
        <v>0</v>
      </c>
      <c r="BB5" s="283">
        <v>0</v>
      </c>
      <c r="BC5" s="283">
        <v>0</v>
      </c>
      <c r="BD5" s="283">
        <v>0</v>
      </c>
      <c r="BE5" s="283">
        <v>0</v>
      </c>
      <c r="BF5" s="283">
        <v>0</v>
      </c>
      <c r="BG5" s="283">
        <v>0</v>
      </c>
      <c r="BH5" s="283">
        <v>0</v>
      </c>
      <c r="BI5" s="283">
        <v>1567310.89633641</v>
      </c>
      <c r="BJ5" s="283">
        <v>6120.2745846436746</v>
      </c>
      <c r="BK5" s="283">
        <v>0</v>
      </c>
      <c r="BL5" s="283">
        <v>2260362.8409093712</v>
      </c>
      <c r="BM5" s="283">
        <v>0</v>
      </c>
      <c r="BN5" s="283">
        <v>4827929.3321018312</v>
      </c>
      <c r="BO5" s="283">
        <v>65894.795414208274</v>
      </c>
      <c r="BP5" s="283">
        <v>0</v>
      </c>
      <c r="BQ5" s="283">
        <v>3175998.4586209543</v>
      </c>
      <c r="BR5" s="283">
        <v>0</v>
      </c>
      <c r="BS5" s="283">
        <v>1938098.3559093941</v>
      </c>
      <c r="BT5" s="283">
        <v>0</v>
      </c>
      <c r="BU5" s="283">
        <v>4097269.9439153303</v>
      </c>
      <c r="BV5" s="283">
        <v>3320584.561378194</v>
      </c>
      <c r="BW5" s="283">
        <v>3261075.2667914391</v>
      </c>
      <c r="BX5" s="283">
        <v>3550090.809036959</v>
      </c>
      <c r="BY5" s="283">
        <v>3614172</v>
      </c>
      <c r="BZ5" s="283">
        <v>0</v>
      </c>
      <c r="CA5" s="283">
        <v>0</v>
      </c>
      <c r="CB5" s="283">
        <v>0</v>
      </c>
      <c r="CC5" s="283">
        <v>0</v>
      </c>
      <c r="CD5" s="283">
        <v>572015.83844985894</v>
      </c>
      <c r="CE5" s="283">
        <v>0</v>
      </c>
      <c r="CF5" s="283">
        <v>0</v>
      </c>
      <c r="CG5" s="283">
        <v>0</v>
      </c>
      <c r="CH5" s="283">
        <v>0</v>
      </c>
      <c r="CI5" s="283">
        <v>0</v>
      </c>
      <c r="CJ5" s="283">
        <v>0</v>
      </c>
      <c r="CK5" s="283">
        <v>507664.14</v>
      </c>
      <c r="CL5" s="283">
        <v>0</v>
      </c>
      <c r="CM5" s="283">
        <v>5284603.1241399534</v>
      </c>
      <c r="CN5" s="283">
        <v>331172.95331322559</v>
      </c>
      <c r="CO5" s="283">
        <v>827288.68579313566</v>
      </c>
      <c r="CP5" s="283">
        <v>2895612.5919615212</v>
      </c>
      <c r="CQ5" s="283">
        <v>253632.87173739553</v>
      </c>
      <c r="CR5" s="283">
        <v>1462803.3494608314</v>
      </c>
      <c r="CS5" s="283">
        <v>1303999.3951478449</v>
      </c>
      <c r="CT5" s="283">
        <v>726143.47634651186</v>
      </c>
      <c r="CU5" s="283">
        <v>310903.89786702342</v>
      </c>
      <c r="CV5" s="283">
        <v>407846.47823831864</v>
      </c>
      <c r="CW5" s="283">
        <v>4175995.9396776804</v>
      </c>
      <c r="CX5" s="283">
        <v>40163035.399713725</v>
      </c>
      <c r="CY5" s="283">
        <v>1159499.4479205005</v>
      </c>
      <c r="CZ5" s="283">
        <v>0</v>
      </c>
      <c r="DA5" s="283">
        <v>0</v>
      </c>
      <c r="DB5" s="283">
        <v>0</v>
      </c>
      <c r="DC5" s="283">
        <v>0</v>
      </c>
      <c r="DD5" s="283">
        <v>0</v>
      </c>
      <c r="DE5" s="283">
        <v>0</v>
      </c>
      <c r="DF5" s="283">
        <v>0</v>
      </c>
      <c r="DG5" s="283">
        <v>0</v>
      </c>
      <c r="DH5" s="283">
        <v>602292.16048202815</v>
      </c>
      <c r="DI5" s="283">
        <v>596051.39599451469</v>
      </c>
      <c r="DJ5" s="283">
        <v>3464768.0989827365</v>
      </c>
      <c r="DK5" s="283">
        <v>0</v>
      </c>
      <c r="DL5" s="283">
        <v>1372098.1209000018</v>
      </c>
      <c r="DM5" s="283">
        <v>712769.47199373064</v>
      </c>
      <c r="DN5" s="283">
        <v>146747.96349513507</v>
      </c>
      <c r="DO5" s="283">
        <v>0</v>
      </c>
      <c r="DP5" s="283">
        <v>326576.25098132138</v>
      </c>
      <c r="DQ5" s="283">
        <v>0</v>
      </c>
      <c r="DR5" s="283">
        <v>0</v>
      </c>
      <c r="DS5" s="283">
        <v>0</v>
      </c>
      <c r="DT5" s="283">
        <v>0</v>
      </c>
      <c r="DU5" s="283">
        <v>14169580.044769226</v>
      </c>
      <c r="DV5" s="283">
        <v>9734745.2602091767</v>
      </c>
      <c r="DW5" s="283">
        <v>16471344.548430972</v>
      </c>
      <c r="DX5" s="283">
        <v>0</v>
      </c>
      <c r="DY5" s="283">
        <v>0</v>
      </c>
      <c r="DZ5" s="283">
        <v>0</v>
      </c>
      <c r="EA5" s="283"/>
      <c r="EB5" s="283"/>
      <c r="EC5" s="283"/>
      <c r="ED5" s="283"/>
      <c r="EE5" s="283"/>
      <c r="EF5" s="283"/>
      <c r="EG5" s="283"/>
      <c r="EH5" s="283"/>
    </row>
    <row r="6" spans="1:138" s="282" customFormat="1" x14ac:dyDescent="0.3">
      <c r="A6" s="583"/>
      <c r="B6" s="584">
        <v>22</v>
      </c>
      <c r="C6" s="283">
        <v>0</v>
      </c>
      <c r="D6" s="283">
        <v>0</v>
      </c>
      <c r="E6" s="284">
        <v>0</v>
      </c>
      <c r="F6" s="284">
        <v>0</v>
      </c>
      <c r="G6" s="283">
        <v>0</v>
      </c>
      <c r="H6" s="283">
        <v>0</v>
      </c>
      <c r="I6" s="283">
        <v>0</v>
      </c>
      <c r="J6" s="283">
        <v>0</v>
      </c>
      <c r="K6" s="283">
        <v>0</v>
      </c>
      <c r="L6" s="283">
        <v>0</v>
      </c>
      <c r="M6" s="283">
        <v>0</v>
      </c>
      <c r="N6" s="283">
        <v>0</v>
      </c>
      <c r="O6" s="283">
        <v>0</v>
      </c>
      <c r="P6" s="283">
        <v>0</v>
      </c>
      <c r="Q6" s="283">
        <v>0</v>
      </c>
      <c r="R6" s="283">
        <v>0</v>
      </c>
      <c r="S6" s="283">
        <v>0</v>
      </c>
      <c r="T6" s="283">
        <v>0</v>
      </c>
      <c r="U6" s="283">
        <v>0</v>
      </c>
      <c r="V6" s="283">
        <v>0</v>
      </c>
      <c r="W6" s="283">
        <v>0</v>
      </c>
      <c r="X6" s="283">
        <v>0</v>
      </c>
      <c r="Y6" s="283">
        <v>0</v>
      </c>
      <c r="Z6" s="283">
        <v>0</v>
      </c>
      <c r="AA6" s="283">
        <v>0</v>
      </c>
      <c r="AB6" s="283">
        <v>0</v>
      </c>
      <c r="AC6" s="283">
        <v>0</v>
      </c>
      <c r="AD6" s="283">
        <v>0</v>
      </c>
      <c r="AE6" s="283">
        <v>0</v>
      </c>
      <c r="AF6" s="283">
        <v>0</v>
      </c>
      <c r="AG6" s="283">
        <v>0</v>
      </c>
      <c r="AH6" s="283">
        <v>0</v>
      </c>
      <c r="AI6" s="283">
        <v>0</v>
      </c>
      <c r="AJ6" s="283">
        <v>0</v>
      </c>
      <c r="AK6" s="283">
        <v>0</v>
      </c>
      <c r="AL6" s="283">
        <v>367561.46810597158</v>
      </c>
      <c r="AM6" s="283">
        <v>0</v>
      </c>
      <c r="AN6" s="283">
        <v>0</v>
      </c>
      <c r="AO6" s="283">
        <v>0</v>
      </c>
      <c r="AP6" s="283">
        <v>0</v>
      </c>
      <c r="AQ6" s="283">
        <v>0</v>
      </c>
      <c r="AR6" s="283">
        <v>0</v>
      </c>
      <c r="AS6" s="283">
        <v>0</v>
      </c>
      <c r="AT6" s="283">
        <v>0</v>
      </c>
      <c r="AU6" s="283">
        <v>0</v>
      </c>
      <c r="AV6" s="283">
        <v>0</v>
      </c>
      <c r="AW6" s="283">
        <v>0</v>
      </c>
      <c r="AX6" s="283">
        <v>0</v>
      </c>
      <c r="AY6" s="283">
        <v>0</v>
      </c>
      <c r="AZ6" s="283">
        <v>0</v>
      </c>
      <c r="BA6" s="283">
        <v>0</v>
      </c>
      <c r="BB6" s="283">
        <v>0</v>
      </c>
      <c r="BC6" s="283">
        <v>0</v>
      </c>
      <c r="BD6" s="283">
        <v>0</v>
      </c>
      <c r="BE6" s="283">
        <v>0</v>
      </c>
      <c r="BF6" s="283">
        <v>0</v>
      </c>
      <c r="BG6" s="283">
        <v>0</v>
      </c>
      <c r="BH6" s="283">
        <v>0</v>
      </c>
      <c r="BI6" s="283">
        <v>0</v>
      </c>
      <c r="BJ6" s="283">
        <v>0</v>
      </c>
      <c r="BK6" s="283">
        <v>0</v>
      </c>
      <c r="BL6" s="283">
        <v>0</v>
      </c>
      <c r="BM6" s="283">
        <v>0</v>
      </c>
      <c r="BN6" s="283">
        <v>0</v>
      </c>
      <c r="BO6" s="283">
        <v>0</v>
      </c>
      <c r="BP6" s="283">
        <v>0</v>
      </c>
      <c r="BQ6" s="283">
        <v>0</v>
      </c>
      <c r="BR6" s="283">
        <v>0</v>
      </c>
      <c r="BS6" s="283">
        <v>0</v>
      </c>
      <c r="BT6" s="283">
        <v>0</v>
      </c>
      <c r="BU6" s="283">
        <v>0</v>
      </c>
      <c r="BV6" s="283">
        <v>0</v>
      </c>
      <c r="BW6" s="283">
        <v>0</v>
      </c>
      <c r="BX6" s="283">
        <v>0</v>
      </c>
      <c r="BY6" s="283">
        <v>0</v>
      </c>
      <c r="BZ6" s="283">
        <v>0</v>
      </c>
      <c r="CA6" s="283">
        <v>0</v>
      </c>
      <c r="CB6" s="283">
        <v>0</v>
      </c>
      <c r="CC6" s="283">
        <v>0</v>
      </c>
      <c r="CD6" s="283">
        <v>0</v>
      </c>
      <c r="CE6" s="283">
        <v>0</v>
      </c>
      <c r="CF6" s="283">
        <v>0</v>
      </c>
      <c r="CG6" s="283">
        <v>0</v>
      </c>
      <c r="CH6" s="283">
        <v>0</v>
      </c>
      <c r="CI6" s="283">
        <v>0</v>
      </c>
      <c r="CJ6" s="283">
        <v>0</v>
      </c>
      <c r="CK6" s="283">
        <v>0</v>
      </c>
      <c r="CL6" s="283">
        <v>0</v>
      </c>
      <c r="CM6" s="283">
        <v>0</v>
      </c>
      <c r="CN6" s="283">
        <v>0</v>
      </c>
      <c r="CO6" s="283">
        <v>0</v>
      </c>
      <c r="CP6" s="283">
        <v>0</v>
      </c>
      <c r="CQ6" s="283">
        <v>0</v>
      </c>
      <c r="CR6" s="283">
        <v>0</v>
      </c>
      <c r="CS6" s="283">
        <v>0</v>
      </c>
      <c r="CT6" s="283">
        <v>0</v>
      </c>
      <c r="CU6" s="283">
        <v>0</v>
      </c>
      <c r="CV6" s="283">
        <v>0</v>
      </c>
      <c r="CW6" s="283">
        <v>0</v>
      </c>
      <c r="CX6" s="283">
        <v>143523.16724440121</v>
      </c>
      <c r="CY6" s="283">
        <v>0</v>
      </c>
      <c r="CZ6" s="283">
        <v>0</v>
      </c>
      <c r="DA6" s="283">
        <v>0</v>
      </c>
      <c r="DB6" s="283">
        <v>0</v>
      </c>
      <c r="DC6" s="283">
        <v>0</v>
      </c>
      <c r="DD6" s="283">
        <v>0</v>
      </c>
      <c r="DE6" s="283">
        <v>0</v>
      </c>
      <c r="DF6" s="283">
        <v>0</v>
      </c>
      <c r="DG6" s="283">
        <v>0</v>
      </c>
      <c r="DH6" s="283">
        <v>0</v>
      </c>
      <c r="DI6" s="283">
        <v>0</v>
      </c>
      <c r="DJ6" s="283">
        <v>0</v>
      </c>
      <c r="DK6" s="283">
        <v>0</v>
      </c>
      <c r="DL6" s="283">
        <v>0</v>
      </c>
      <c r="DM6" s="283">
        <v>0</v>
      </c>
      <c r="DN6" s="283">
        <v>0</v>
      </c>
      <c r="DO6" s="283">
        <v>0</v>
      </c>
      <c r="DP6" s="283">
        <v>0</v>
      </c>
      <c r="DQ6" s="283">
        <v>0</v>
      </c>
      <c r="DR6" s="283">
        <v>0</v>
      </c>
      <c r="DS6" s="283">
        <v>0</v>
      </c>
      <c r="DT6" s="283">
        <v>0</v>
      </c>
      <c r="DU6" s="283">
        <v>107312.55057964327</v>
      </c>
      <c r="DV6" s="283">
        <v>141395.78069539822</v>
      </c>
      <c r="DW6" s="283">
        <v>238634.41182748924</v>
      </c>
      <c r="DX6" s="283">
        <v>0</v>
      </c>
      <c r="DY6" s="283">
        <v>0</v>
      </c>
      <c r="DZ6" s="283">
        <v>0</v>
      </c>
      <c r="EA6" s="283"/>
      <c r="EB6" s="283"/>
      <c r="EC6" s="283"/>
      <c r="ED6" s="283"/>
      <c r="EE6" s="283"/>
      <c r="EF6" s="283"/>
      <c r="EG6" s="585" t="s">
        <v>3816</v>
      </c>
      <c r="EH6" s="585" t="s">
        <v>3817</v>
      </c>
    </row>
    <row r="7" spans="1:138" x14ac:dyDescent="0.3">
      <c r="B7" s="581">
        <v>37</v>
      </c>
      <c r="C7" s="280">
        <v>0</v>
      </c>
      <c r="D7" s="280">
        <v>0</v>
      </c>
      <c r="E7" s="280">
        <v>0</v>
      </c>
      <c r="F7" s="280">
        <v>0</v>
      </c>
      <c r="G7" s="280">
        <v>140485.05507224993</v>
      </c>
      <c r="H7" s="280">
        <v>23609.46846887653</v>
      </c>
      <c r="I7" s="280">
        <v>0</v>
      </c>
      <c r="J7" s="280">
        <v>0</v>
      </c>
      <c r="K7" s="280">
        <v>0</v>
      </c>
      <c r="L7" s="280">
        <v>0</v>
      </c>
      <c r="M7" s="280">
        <v>0</v>
      </c>
      <c r="N7" s="280">
        <v>0</v>
      </c>
      <c r="O7" s="280">
        <v>12572.198187364191</v>
      </c>
      <c r="P7" s="280">
        <v>1231.8233361374148</v>
      </c>
      <c r="Q7" s="280">
        <v>203871.86576031378</v>
      </c>
      <c r="R7" s="280">
        <v>0</v>
      </c>
      <c r="S7" s="280">
        <v>0</v>
      </c>
      <c r="T7" s="280">
        <v>0</v>
      </c>
      <c r="U7" s="280">
        <v>103700.20406075248</v>
      </c>
      <c r="V7" s="280">
        <v>0</v>
      </c>
      <c r="W7" s="280">
        <v>0</v>
      </c>
      <c r="X7" s="280">
        <v>0</v>
      </c>
      <c r="Y7" s="280">
        <v>0</v>
      </c>
      <c r="Z7" s="280">
        <v>0</v>
      </c>
      <c r="AA7" s="280">
        <v>0</v>
      </c>
      <c r="AB7" s="280">
        <v>0</v>
      </c>
      <c r="AC7" s="280">
        <v>0</v>
      </c>
      <c r="AD7" s="280">
        <v>0</v>
      </c>
      <c r="AE7" s="280">
        <v>0</v>
      </c>
      <c r="AF7" s="280">
        <v>0</v>
      </c>
      <c r="AG7" s="280">
        <v>0</v>
      </c>
      <c r="AH7" s="280">
        <v>0</v>
      </c>
      <c r="AI7" s="280">
        <v>0</v>
      </c>
      <c r="AJ7" s="280">
        <v>0</v>
      </c>
      <c r="AK7" s="280">
        <v>0</v>
      </c>
      <c r="AL7" s="280">
        <v>25792.125692912374</v>
      </c>
      <c r="AM7" s="280">
        <v>0</v>
      </c>
      <c r="AN7" s="280">
        <v>0</v>
      </c>
      <c r="AO7" s="280">
        <v>0</v>
      </c>
      <c r="AP7" s="280">
        <v>0</v>
      </c>
      <c r="AQ7" s="280">
        <v>0</v>
      </c>
      <c r="AR7" s="280">
        <v>0</v>
      </c>
      <c r="AS7" s="280">
        <v>0</v>
      </c>
      <c r="AT7" s="280">
        <v>0</v>
      </c>
      <c r="AU7" s="280">
        <v>0</v>
      </c>
      <c r="AV7" s="280">
        <v>0</v>
      </c>
      <c r="AW7" s="280">
        <v>78743.640402526784</v>
      </c>
      <c r="AX7" s="280">
        <v>13409.21945763726</v>
      </c>
      <c r="AY7" s="280">
        <v>0</v>
      </c>
      <c r="AZ7" s="280">
        <v>0</v>
      </c>
      <c r="BA7" s="280">
        <v>0</v>
      </c>
      <c r="BB7" s="280">
        <v>0</v>
      </c>
      <c r="BC7" s="280">
        <v>0</v>
      </c>
      <c r="BD7" s="280">
        <v>0</v>
      </c>
      <c r="BE7" s="280">
        <v>0</v>
      </c>
      <c r="BF7" s="280">
        <v>0</v>
      </c>
      <c r="BG7" s="280">
        <v>0</v>
      </c>
      <c r="BH7" s="280">
        <v>0</v>
      </c>
      <c r="BI7" s="280">
        <v>0</v>
      </c>
      <c r="BJ7" s="280">
        <v>0</v>
      </c>
      <c r="BK7" s="280">
        <v>0</v>
      </c>
      <c r="BL7" s="280">
        <v>0</v>
      </c>
      <c r="BM7" s="280">
        <v>0</v>
      </c>
      <c r="BN7" s="280">
        <v>0</v>
      </c>
      <c r="BO7" s="280">
        <v>0</v>
      </c>
      <c r="BP7" s="280">
        <v>0</v>
      </c>
      <c r="BQ7" s="280">
        <v>0</v>
      </c>
      <c r="BR7" s="280">
        <v>0</v>
      </c>
      <c r="BS7" s="280">
        <v>0</v>
      </c>
      <c r="BT7" s="280">
        <v>0</v>
      </c>
      <c r="BU7" s="280">
        <v>0</v>
      </c>
      <c r="BV7" s="280">
        <v>12239.990589636527</v>
      </c>
      <c r="BW7" s="280">
        <v>0</v>
      </c>
      <c r="BX7" s="280">
        <v>0</v>
      </c>
      <c r="BY7" s="280">
        <v>0</v>
      </c>
      <c r="BZ7" s="280">
        <v>0</v>
      </c>
      <c r="CA7" s="280">
        <v>0</v>
      </c>
      <c r="CB7" s="280">
        <v>0</v>
      </c>
      <c r="CC7" s="280">
        <v>0</v>
      </c>
      <c r="CD7" s="280">
        <v>0</v>
      </c>
      <c r="CE7" s="280">
        <v>0</v>
      </c>
      <c r="CF7" s="280">
        <v>0</v>
      </c>
      <c r="CG7" s="280">
        <v>0</v>
      </c>
      <c r="CH7" s="280">
        <v>0</v>
      </c>
      <c r="CI7" s="280">
        <v>0</v>
      </c>
      <c r="CJ7" s="280">
        <v>0</v>
      </c>
      <c r="CK7" s="280">
        <v>0</v>
      </c>
      <c r="CL7" s="280">
        <v>0</v>
      </c>
      <c r="CM7" s="280">
        <v>0</v>
      </c>
      <c r="CN7" s="280">
        <v>0</v>
      </c>
      <c r="CO7" s="280">
        <v>0</v>
      </c>
      <c r="CP7" s="280">
        <v>0</v>
      </c>
      <c r="CQ7" s="280">
        <v>0</v>
      </c>
      <c r="CR7" s="280">
        <v>0</v>
      </c>
      <c r="CS7" s="280">
        <v>0</v>
      </c>
      <c r="CT7" s="280">
        <v>0</v>
      </c>
      <c r="CU7" s="280">
        <v>0</v>
      </c>
      <c r="CV7" s="280">
        <v>0</v>
      </c>
      <c r="CW7" s="280">
        <v>0</v>
      </c>
      <c r="CX7" s="280">
        <v>40978.73471162143</v>
      </c>
      <c r="CY7" s="280">
        <v>0</v>
      </c>
      <c r="CZ7" s="280">
        <v>0</v>
      </c>
      <c r="DA7" s="280">
        <v>0</v>
      </c>
      <c r="DB7" s="280">
        <v>0</v>
      </c>
      <c r="DC7" s="280">
        <v>0</v>
      </c>
      <c r="DD7" s="280">
        <v>0</v>
      </c>
      <c r="DE7" s="280">
        <v>0</v>
      </c>
      <c r="DF7" s="280">
        <v>0</v>
      </c>
      <c r="DG7" s="280">
        <v>0</v>
      </c>
      <c r="DH7" s="280">
        <v>0</v>
      </c>
      <c r="DI7" s="280">
        <v>0</v>
      </c>
      <c r="DJ7" s="280">
        <v>0</v>
      </c>
      <c r="DK7" s="280">
        <v>0</v>
      </c>
      <c r="DL7" s="280">
        <v>0</v>
      </c>
      <c r="DM7" s="280">
        <v>0</v>
      </c>
      <c r="DN7" s="280">
        <v>0</v>
      </c>
      <c r="DO7" s="280">
        <v>0</v>
      </c>
      <c r="DP7" s="280">
        <v>0</v>
      </c>
      <c r="DQ7" s="280">
        <v>0</v>
      </c>
      <c r="DR7" s="280">
        <v>0</v>
      </c>
      <c r="DS7" s="280">
        <v>0</v>
      </c>
      <c r="DT7" s="280">
        <v>0</v>
      </c>
      <c r="DU7" s="280">
        <v>47223.571146290175</v>
      </c>
      <c r="DV7" s="280">
        <v>57696.156010414117</v>
      </c>
      <c r="DW7" s="280">
        <v>93162.252209864513</v>
      </c>
      <c r="DX7" s="280">
        <v>0</v>
      </c>
      <c r="DY7" s="280">
        <v>0</v>
      </c>
      <c r="DZ7" s="280">
        <v>0</v>
      </c>
      <c r="EG7" s="280" t="str">
        <f>VLOOKUP(B7,'2022. tervsor'!C:D,2,0)</f>
        <v>Munkábajárás útiköltsége, bérlet</v>
      </c>
    </row>
    <row r="8" spans="1:138" x14ac:dyDescent="0.3">
      <c r="B8" s="581">
        <v>38</v>
      </c>
      <c r="C8" s="280">
        <v>0</v>
      </c>
      <c r="D8" s="280">
        <v>0</v>
      </c>
      <c r="E8" s="280">
        <v>0</v>
      </c>
      <c r="F8" s="280">
        <v>0</v>
      </c>
      <c r="G8" s="280">
        <v>0</v>
      </c>
      <c r="H8" s="280">
        <v>0</v>
      </c>
      <c r="I8" s="280">
        <v>0</v>
      </c>
      <c r="J8" s="280">
        <v>0</v>
      </c>
      <c r="K8" s="280">
        <v>0</v>
      </c>
      <c r="L8" s="280">
        <v>0</v>
      </c>
      <c r="M8" s="280">
        <v>0</v>
      </c>
      <c r="N8" s="280">
        <v>0</v>
      </c>
      <c r="O8" s="280">
        <v>0</v>
      </c>
      <c r="P8" s="280">
        <v>0</v>
      </c>
      <c r="Q8" s="280">
        <v>0</v>
      </c>
      <c r="R8" s="280">
        <v>0</v>
      </c>
      <c r="S8" s="280">
        <v>0</v>
      </c>
      <c r="T8" s="280">
        <v>0</v>
      </c>
      <c r="U8" s="280">
        <v>0</v>
      </c>
      <c r="V8" s="280">
        <v>0</v>
      </c>
      <c r="W8" s="280">
        <v>0</v>
      </c>
      <c r="X8" s="280">
        <v>0</v>
      </c>
      <c r="Y8" s="280">
        <v>0</v>
      </c>
      <c r="Z8" s="280">
        <v>0</v>
      </c>
      <c r="AA8" s="280">
        <v>0</v>
      </c>
      <c r="AB8" s="280">
        <v>0</v>
      </c>
      <c r="AC8" s="280">
        <v>0</v>
      </c>
      <c r="AD8" s="280">
        <v>0</v>
      </c>
      <c r="AE8" s="280">
        <v>0</v>
      </c>
      <c r="AF8" s="280">
        <v>0</v>
      </c>
      <c r="AG8" s="280">
        <v>0</v>
      </c>
      <c r="AH8" s="280">
        <v>0</v>
      </c>
      <c r="AI8" s="280">
        <v>0</v>
      </c>
      <c r="AJ8" s="280">
        <v>0</v>
      </c>
      <c r="AK8" s="280">
        <v>0</v>
      </c>
      <c r="AL8" s="280">
        <v>0</v>
      </c>
      <c r="AM8" s="280">
        <v>0</v>
      </c>
      <c r="AN8" s="280">
        <v>0</v>
      </c>
      <c r="AO8" s="280">
        <v>0</v>
      </c>
      <c r="AP8" s="280">
        <v>0</v>
      </c>
      <c r="AQ8" s="280">
        <v>0</v>
      </c>
      <c r="AR8" s="280">
        <v>0</v>
      </c>
      <c r="AS8" s="280">
        <v>0</v>
      </c>
      <c r="AT8" s="280">
        <v>0</v>
      </c>
      <c r="AU8" s="280">
        <v>0</v>
      </c>
      <c r="AV8" s="280">
        <v>0</v>
      </c>
      <c r="AW8" s="280">
        <v>0</v>
      </c>
      <c r="AX8" s="280">
        <v>0</v>
      </c>
      <c r="AY8" s="280">
        <v>0</v>
      </c>
      <c r="AZ8" s="280">
        <v>0</v>
      </c>
      <c r="BA8" s="280">
        <v>0</v>
      </c>
      <c r="BB8" s="280">
        <v>0</v>
      </c>
      <c r="BC8" s="280">
        <v>0</v>
      </c>
      <c r="BD8" s="280">
        <v>0</v>
      </c>
      <c r="BE8" s="280">
        <v>0</v>
      </c>
      <c r="BF8" s="280">
        <v>0</v>
      </c>
      <c r="BG8" s="280">
        <v>0</v>
      </c>
      <c r="BH8" s="280">
        <v>0</v>
      </c>
      <c r="BI8" s="280">
        <v>0</v>
      </c>
      <c r="BJ8" s="280">
        <v>0</v>
      </c>
      <c r="BK8" s="280">
        <v>0</v>
      </c>
      <c r="BL8" s="280">
        <v>0</v>
      </c>
      <c r="BM8" s="280">
        <v>0</v>
      </c>
      <c r="BN8" s="280">
        <v>0</v>
      </c>
      <c r="BO8" s="280">
        <v>0</v>
      </c>
      <c r="BP8" s="280">
        <v>0</v>
      </c>
      <c r="BQ8" s="280">
        <v>0</v>
      </c>
      <c r="BR8" s="280">
        <v>0</v>
      </c>
      <c r="BS8" s="280">
        <v>0</v>
      </c>
      <c r="BT8" s="280">
        <v>0</v>
      </c>
      <c r="BU8" s="280">
        <v>0</v>
      </c>
      <c r="BV8" s="280">
        <v>0</v>
      </c>
      <c r="BW8" s="280">
        <v>0</v>
      </c>
      <c r="BX8" s="280">
        <v>0</v>
      </c>
      <c r="BY8" s="280">
        <v>0</v>
      </c>
      <c r="BZ8" s="280">
        <v>0</v>
      </c>
      <c r="CA8" s="280">
        <v>0</v>
      </c>
      <c r="CB8" s="280">
        <v>0</v>
      </c>
      <c r="CC8" s="280">
        <v>0</v>
      </c>
      <c r="CD8" s="280">
        <v>0</v>
      </c>
      <c r="CE8" s="280">
        <v>0</v>
      </c>
      <c r="CF8" s="280">
        <v>0</v>
      </c>
      <c r="CG8" s="280">
        <v>0</v>
      </c>
      <c r="CH8" s="280">
        <v>0</v>
      </c>
      <c r="CI8" s="280">
        <v>0</v>
      </c>
      <c r="CJ8" s="280">
        <v>0</v>
      </c>
      <c r="CK8" s="280">
        <v>0</v>
      </c>
      <c r="CL8" s="280">
        <v>0</v>
      </c>
      <c r="CM8" s="280">
        <v>0</v>
      </c>
      <c r="CN8" s="280">
        <v>0</v>
      </c>
      <c r="CO8" s="280">
        <v>0</v>
      </c>
      <c r="CP8" s="280">
        <v>0</v>
      </c>
      <c r="CQ8" s="280">
        <v>0</v>
      </c>
      <c r="CR8" s="280">
        <v>0</v>
      </c>
      <c r="CS8" s="280">
        <v>0</v>
      </c>
      <c r="CT8" s="280">
        <v>0</v>
      </c>
      <c r="CU8" s="280">
        <v>0</v>
      </c>
      <c r="CV8" s="280">
        <v>0</v>
      </c>
      <c r="CW8" s="280">
        <v>0</v>
      </c>
      <c r="CX8" s="280">
        <v>0</v>
      </c>
      <c r="CY8" s="280">
        <v>0</v>
      </c>
      <c r="CZ8" s="280">
        <v>0</v>
      </c>
      <c r="DA8" s="280">
        <v>0</v>
      </c>
      <c r="DB8" s="280">
        <v>0</v>
      </c>
      <c r="DC8" s="280">
        <v>0</v>
      </c>
      <c r="DD8" s="280">
        <v>0</v>
      </c>
      <c r="DE8" s="280">
        <v>0</v>
      </c>
      <c r="DF8" s="280">
        <v>0</v>
      </c>
      <c r="DG8" s="280">
        <v>0</v>
      </c>
      <c r="DH8" s="280">
        <v>0</v>
      </c>
      <c r="DI8" s="280">
        <v>0</v>
      </c>
      <c r="DJ8" s="280">
        <v>0</v>
      </c>
      <c r="DK8" s="280">
        <v>0</v>
      </c>
      <c r="DL8" s="280">
        <v>0</v>
      </c>
      <c r="DM8" s="280">
        <v>0</v>
      </c>
      <c r="DN8" s="280">
        <v>0</v>
      </c>
      <c r="DO8" s="280">
        <v>0</v>
      </c>
      <c r="DP8" s="280">
        <v>0</v>
      </c>
      <c r="DQ8" s="280">
        <v>0</v>
      </c>
      <c r="DR8" s="280">
        <v>0</v>
      </c>
      <c r="DS8" s="280">
        <v>0</v>
      </c>
      <c r="DT8" s="280">
        <v>0</v>
      </c>
      <c r="DU8" s="280">
        <v>8085.4024753958047</v>
      </c>
      <c r="DV8" s="280">
        <v>10702.007920685466</v>
      </c>
      <c r="DW8" s="280">
        <v>18108.579307632612</v>
      </c>
      <c r="DX8" s="280">
        <v>0</v>
      </c>
      <c r="DY8" s="280">
        <v>0</v>
      </c>
      <c r="DZ8" s="280">
        <v>0</v>
      </c>
      <c r="EG8" s="280" t="str">
        <f>VLOOKUP(B8,'2022. tervsor'!C:D,2,0)</f>
        <v>Munkábajárás útiköltsége - saját gk. (9 Ft/km)</v>
      </c>
    </row>
    <row r="9" spans="1:138" x14ac:dyDescent="0.3">
      <c r="B9" s="581">
        <v>40</v>
      </c>
      <c r="C9" s="280">
        <v>0</v>
      </c>
      <c r="D9" s="280">
        <v>0</v>
      </c>
      <c r="E9" s="280">
        <v>0</v>
      </c>
      <c r="F9" s="280">
        <v>0</v>
      </c>
      <c r="G9" s="280">
        <v>0</v>
      </c>
      <c r="H9" s="280">
        <v>0</v>
      </c>
      <c r="I9" s="280">
        <v>0</v>
      </c>
      <c r="J9" s="280">
        <v>0</v>
      </c>
      <c r="K9" s="280">
        <v>0</v>
      </c>
      <c r="L9" s="280">
        <v>0</v>
      </c>
      <c r="M9" s="280">
        <v>0</v>
      </c>
      <c r="N9" s="280">
        <v>0</v>
      </c>
      <c r="O9" s="280">
        <v>0</v>
      </c>
      <c r="P9" s="280">
        <v>0</v>
      </c>
      <c r="Q9" s="280">
        <v>0</v>
      </c>
      <c r="R9" s="280">
        <v>0</v>
      </c>
      <c r="S9" s="280">
        <v>0</v>
      </c>
      <c r="T9" s="280">
        <v>0</v>
      </c>
      <c r="U9" s="280">
        <v>0</v>
      </c>
      <c r="V9" s="280">
        <v>0</v>
      </c>
      <c r="W9" s="280">
        <v>303827.61585282726</v>
      </c>
      <c r="X9" s="280">
        <v>0</v>
      </c>
      <c r="Y9" s="280">
        <v>0</v>
      </c>
      <c r="Z9" s="280">
        <v>0</v>
      </c>
      <c r="AA9" s="280">
        <v>0</v>
      </c>
      <c r="AB9" s="280">
        <v>0</v>
      </c>
      <c r="AC9" s="280">
        <v>0</v>
      </c>
      <c r="AD9" s="280">
        <v>0</v>
      </c>
      <c r="AE9" s="280">
        <v>0</v>
      </c>
      <c r="AF9" s="280">
        <v>0</v>
      </c>
      <c r="AG9" s="280">
        <v>0</v>
      </c>
      <c r="AH9" s="280">
        <v>0</v>
      </c>
      <c r="AI9" s="280">
        <v>0</v>
      </c>
      <c r="AJ9" s="280">
        <v>0</v>
      </c>
      <c r="AK9" s="280">
        <v>0</v>
      </c>
      <c r="AL9" s="280">
        <v>0</v>
      </c>
      <c r="AM9" s="280">
        <v>332136.77256117406</v>
      </c>
      <c r="AN9" s="280">
        <v>0</v>
      </c>
      <c r="AO9" s="280">
        <v>0</v>
      </c>
      <c r="AP9" s="280">
        <v>0</v>
      </c>
      <c r="AQ9" s="280">
        <v>0</v>
      </c>
      <c r="AR9" s="280">
        <v>0</v>
      </c>
      <c r="AS9" s="280">
        <v>0</v>
      </c>
      <c r="AT9" s="280">
        <v>0</v>
      </c>
      <c r="AU9" s="280">
        <v>0</v>
      </c>
      <c r="AV9" s="280">
        <v>0</v>
      </c>
      <c r="AW9" s="280">
        <v>0</v>
      </c>
      <c r="AX9" s="280">
        <v>0</v>
      </c>
      <c r="AY9" s="280">
        <v>0</v>
      </c>
      <c r="AZ9" s="280">
        <v>0</v>
      </c>
      <c r="BA9" s="280">
        <v>0</v>
      </c>
      <c r="BB9" s="280">
        <v>0</v>
      </c>
      <c r="BC9" s="280">
        <v>0</v>
      </c>
      <c r="BD9" s="280">
        <v>0</v>
      </c>
      <c r="BE9" s="280">
        <v>0</v>
      </c>
      <c r="BF9" s="280">
        <v>0</v>
      </c>
      <c r="BG9" s="280">
        <v>0</v>
      </c>
      <c r="BH9" s="280">
        <v>0</v>
      </c>
      <c r="BI9" s="280">
        <v>0</v>
      </c>
      <c r="BJ9" s="280">
        <v>0</v>
      </c>
      <c r="BK9" s="280">
        <v>0</v>
      </c>
      <c r="BL9" s="280">
        <v>0</v>
      </c>
      <c r="BM9" s="280">
        <v>0</v>
      </c>
      <c r="BN9" s="280">
        <v>0</v>
      </c>
      <c r="BO9" s="280">
        <v>0</v>
      </c>
      <c r="BP9" s="280">
        <v>0</v>
      </c>
      <c r="BQ9" s="280">
        <v>0</v>
      </c>
      <c r="BR9" s="280">
        <v>0</v>
      </c>
      <c r="BS9" s="280">
        <v>0</v>
      </c>
      <c r="BT9" s="280">
        <v>0</v>
      </c>
      <c r="BU9" s="280">
        <v>0</v>
      </c>
      <c r="BV9" s="280">
        <v>0</v>
      </c>
      <c r="BW9" s="280">
        <v>0</v>
      </c>
      <c r="BX9" s="280">
        <v>0</v>
      </c>
      <c r="BY9" s="280">
        <v>0</v>
      </c>
      <c r="BZ9" s="280">
        <v>0</v>
      </c>
      <c r="CA9" s="280">
        <v>0</v>
      </c>
      <c r="CB9" s="280">
        <v>0</v>
      </c>
      <c r="CC9" s="280">
        <v>0</v>
      </c>
      <c r="CD9" s="280">
        <v>0</v>
      </c>
      <c r="CE9" s="280">
        <v>0</v>
      </c>
      <c r="CF9" s="280">
        <v>0</v>
      </c>
      <c r="CG9" s="280">
        <v>0</v>
      </c>
      <c r="CH9" s="280">
        <v>0</v>
      </c>
      <c r="CI9" s="280">
        <v>0</v>
      </c>
      <c r="CJ9" s="280">
        <v>0</v>
      </c>
      <c r="CK9" s="280">
        <v>0</v>
      </c>
      <c r="CL9" s="280">
        <v>0</v>
      </c>
      <c r="CM9" s="280">
        <v>0</v>
      </c>
      <c r="CN9" s="280">
        <v>0</v>
      </c>
      <c r="CO9" s="280">
        <v>0</v>
      </c>
      <c r="CP9" s="280">
        <v>0</v>
      </c>
      <c r="CQ9" s="280">
        <v>0</v>
      </c>
      <c r="CR9" s="280">
        <v>0</v>
      </c>
      <c r="CS9" s="280">
        <v>0</v>
      </c>
      <c r="CT9" s="280">
        <v>0</v>
      </c>
      <c r="CU9" s="280">
        <v>0</v>
      </c>
      <c r="CV9" s="280">
        <v>0</v>
      </c>
      <c r="CW9" s="280">
        <v>0</v>
      </c>
      <c r="CX9" s="280">
        <v>14352.316724440119</v>
      </c>
      <c r="CY9" s="280">
        <v>0</v>
      </c>
      <c r="CZ9" s="280">
        <v>0</v>
      </c>
      <c r="DA9" s="280">
        <v>0</v>
      </c>
      <c r="DB9" s="280">
        <v>0</v>
      </c>
      <c r="DC9" s="280">
        <v>0</v>
      </c>
      <c r="DD9" s="280">
        <v>0</v>
      </c>
      <c r="DE9" s="280">
        <v>0</v>
      </c>
      <c r="DF9" s="280">
        <v>0</v>
      </c>
      <c r="DG9" s="280">
        <v>0</v>
      </c>
      <c r="DH9" s="280">
        <v>0</v>
      </c>
      <c r="DI9" s="280">
        <v>0</v>
      </c>
      <c r="DJ9" s="280">
        <v>0</v>
      </c>
      <c r="DK9" s="280">
        <v>0</v>
      </c>
      <c r="DL9" s="280">
        <v>0</v>
      </c>
      <c r="DM9" s="280">
        <v>0</v>
      </c>
      <c r="DN9" s="280">
        <v>0</v>
      </c>
      <c r="DO9" s="280">
        <v>0</v>
      </c>
      <c r="DP9" s="280">
        <v>0</v>
      </c>
      <c r="DQ9" s="280">
        <v>0</v>
      </c>
      <c r="DR9" s="280">
        <v>0</v>
      </c>
      <c r="DS9" s="280">
        <v>0</v>
      </c>
      <c r="DT9" s="280">
        <v>0</v>
      </c>
      <c r="DU9" s="280">
        <v>0</v>
      </c>
      <c r="DV9" s="280">
        <v>0</v>
      </c>
      <c r="DW9" s="280">
        <v>0</v>
      </c>
      <c r="DX9" s="280">
        <v>0</v>
      </c>
      <c r="DY9" s="280">
        <v>0</v>
      </c>
      <c r="DZ9" s="280">
        <v>0</v>
      </c>
      <c r="EG9" s="280" t="str">
        <f>VLOOKUP(B9,'2022. tervsor'!C:D,2,0)</f>
        <v>Lakhatási támogatás,albérleti hozzájárulás</v>
      </c>
    </row>
    <row r="10" spans="1:138" x14ac:dyDescent="0.3">
      <c r="B10" s="581">
        <v>45</v>
      </c>
      <c r="C10" s="280">
        <v>0</v>
      </c>
      <c r="D10" s="280">
        <v>0</v>
      </c>
      <c r="E10" s="280">
        <v>0</v>
      </c>
      <c r="F10" s="280">
        <v>0</v>
      </c>
      <c r="G10" s="280">
        <v>0</v>
      </c>
      <c r="H10" s="280">
        <v>0</v>
      </c>
      <c r="I10" s="280">
        <v>0</v>
      </c>
      <c r="J10" s="280">
        <v>0</v>
      </c>
      <c r="K10" s="280">
        <v>0</v>
      </c>
      <c r="L10" s="280">
        <v>0</v>
      </c>
      <c r="M10" s="280">
        <v>0</v>
      </c>
      <c r="N10" s="280">
        <v>0</v>
      </c>
      <c r="O10" s="280">
        <v>0</v>
      </c>
      <c r="P10" s="280">
        <v>0</v>
      </c>
      <c r="Q10" s="280">
        <v>0</v>
      </c>
      <c r="R10" s="280">
        <v>0</v>
      </c>
      <c r="S10" s="280">
        <v>0</v>
      </c>
      <c r="T10" s="280">
        <v>5701.2687615622845</v>
      </c>
      <c r="U10" s="280">
        <v>0</v>
      </c>
      <c r="V10" s="280">
        <v>0</v>
      </c>
      <c r="W10" s="280">
        <v>0</v>
      </c>
      <c r="X10" s="280">
        <v>0</v>
      </c>
      <c r="Y10" s="280">
        <v>0</v>
      </c>
      <c r="Z10" s="280">
        <v>0</v>
      </c>
      <c r="AA10" s="280">
        <v>0</v>
      </c>
      <c r="AB10" s="280">
        <v>0</v>
      </c>
      <c r="AC10" s="280">
        <v>0</v>
      </c>
      <c r="AD10" s="280">
        <v>0</v>
      </c>
      <c r="AE10" s="280">
        <v>0</v>
      </c>
      <c r="AF10" s="280">
        <v>0</v>
      </c>
      <c r="AG10" s="280">
        <v>0</v>
      </c>
      <c r="AH10" s="280">
        <v>0</v>
      </c>
      <c r="AI10" s="280">
        <v>0</v>
      </c>
      <c r="AJ10" s="280">
        <v>0</v>
      </c>
      <c r="AK10" s="280">
        <v>0</v>
      </c>
      <c r="AL10" s="280">
        <v>145218.82275079182</v>
      </c>
      <c r="AM10" s="280">
        <v>0</v>
      </c>
      <c r="AN10" s="280">
        <v>0</v>
      </c>
      <c r="AO10" s="280">
        <v>0</v>
      </c>
      <c r="AP10" s="280">
        <v>0</v>
      </c>
      <c r="AQ10" s="280">
        <v>0</v>
      </c>
      <c r="AR10" s="280">
        <v>0</v>
      </c>
      <c r="AS10" s="280">
        <v>0</v>
      </c>
      <c r="AT10" s="280">
        <v>0</v>
      </c>
      <c r="AU10" s="280">
        <v>0</v>
      </c>
      <c r="AV10" s="280">
        <v>0</v>
      </c>
      <c r="AW10" s="280">
        <v>0</v>
      </c>
      <c r="AX10" s="280">
        <v>0</v>
      </c>
      <c r="AY10" s="280">
        <v>0</v>
      </c>
      <c r="AZ10" s="280">
        <v>0</v>
      </c>
      <c r="BA10" s="280">
        <v>0</v>
      </c>
      <c r="BB10" s="280">
        <v>0</v>
      </c>
      <c r="BC10" s="280">
        <v>0</v>
      </c>
      <c r="BD10" s="280">
        <v>0</v>
      </c>
      <c r="BE10" s="280">
        <v>0</v>
      </c>
      <c r="BF10" s="280">
        <v>0</v>
      </c>
      <c r="BG10" s="280">
        <v>0</v>
      </c>
      <c r="BH10" s="280">
        <v>0</v>
      </c>
      <c r="BI10" s="280">
        <v>0</v>
      </c>
      <c r="BJ10" s="280">
        <v>0</v>
      </c>
      <c r="BK10" s="280">
        <v>0</v>
      </c>
      <c r="BL10" s="280">
        <v>0</v>
      </c>
      <c r="BM10" s="280">
        <v>0</v>
      </c>
      <c r="BN10" s="280">
        <v>0</v>
      </c>
      <c r="BO10" s="280">
        <v>0</v>
      </c>
      <c r="BP10" s="280">
        <v>0</v>
      </c>
      <c r="BQ10" s="280">
        <v>0</v>
      </c>
      <c r="BR10" s="280">
        <v>0</v>
      </c>
      <c r="BS10" s="280">
        <v>0</v>
      </c>
      <c r="BT10" s="280">
        <v>0</v>
      </c>
      <c r="BU10" s="280">
        <v>0</v>
      </c>
      <c r="BV10" s="280">
        <v>0</v>
      </c>
      <c r="BW10" s="280">
        <v>0</v>
      </c>
      <c r="BX10" s="280">
        <v>0</v>
      </c>
      <c r="BY10" s="280">
        <v>0</v>
      </c>
      <c r="BZ10" s="280">
        <v>0</v>
      </c>
      <c r="CA10" s="280">
        <v>0</v>
      </c>
      <c r="CB10" s="280">
        <v>0</v>
      </c>
      <c r="CC10" s="280">
        <v>0</v>
      </c>
      <c r="CD10" s="280">
        <v>0</v>
      </c>
      <c r="CE10" s="280">
        <v>0</v>
      </c>
      <c r="CF10" s="280">
        <v>0</v>
      </c>
      <c r="CG10" s="280">
        <v>0</v>
      </c>
      <c r="CH10" s="280">
        <v>0</v>
      </c>
      <c r="CI10" s="280">
        <v>0</v>
      </c>
      <c r="CJ10" s="280">
        <v>0</v>
      </c>
      <c r="CK10" s="280">
        <v>0</v>
      </c>
      <c r="CL10" s="280">
        <v>0</v>
      </c>
      <c r="CM10" s="280">
        <v>12796.231418258305</v>
      </c>
      <c r="CN10" s="280">
        <v>0</v>
      </c>
      <c r="CO10" s="280">
        <v>0</v>
      </c>
      <c r="CP10" s="280">
        <v>0</v>
      </c>
      <c r="CQ10" s="280">
        <v>0</v>
      </c>
      <c r="CR10" s="280">
        <v>0</v>
      </c>
      <c r="CS10" s="280">
        <v>0</v>
      </c>
      <c r="CT10" s="280">
        <v>0</v>
      </c>
      <c r="CU10" s="280">
        <v>0</v>
      </c>
      <c r="CV10" s="280">
        <v>0</v>
      </c>
      <c r="CW10" s="280">
        <v>0</v>
      </c>
      <c r="CX10" s="280">
        <v>0</v>
      </c>
      <c r="CY10" s="280">
        <v>0</v>
      </c>
      <c r="CZ10" s="280">
        <v>0</v>
      </c>
      <c r="DA10" s="280">
        <v>0</v>
      </c>
      <c r="DB10" s="280">
        <v>0</v>
      </c>
      <c r="DC10" s="280">
        <v>0</v>
      </c>
      <c r="DD10" s="280">
        <v>0</v>
      </c>
      <c r="DE10" s="280">
        <v>0</v>
      </c>
      <c r="DF10" s="280">
        <v>0</v>
      </c>
      <c r="DG10" s="280">
        <v>0</v>
      </c>
      <c r="DH10" s="280">
        <v>0</v>
      </c>
      <c r="DI10" s="280">
        <v>0</v>
      </c>
      <c r="DJ10" s="280">
        <v>0</v>
      </c>
      <c r="DK10" s="280">
        <v>0</v>
      </c>
      <c r="DL10" s="280">
        <v>0</v>
      </c>
      <c r="DM10" s="280">
        <v>0</v>
      </c>
      <c r="DN10" s="280">
        <v>0</v>
      </c>
      <c r="DO10" s="280">
        <v>0</v>
      </c>
      <c r="DP10" s="280">
        <v>0</v>
      </c>
      <c r="DQ10" s="280">
        <v>0</v>
      </c>
      <c r="DR10" s="280">
        <v>0</v>
      </c>
      <c r="DS10" s="280">
        <v>0</v>
      </c>
      <c r="DT10" s="280">
        <v>0</v>
      </c>
      <c r="DU10" s="280">
        <v>0</v>
      </c>
      <c r="DV10" s="280">
        <v>0</v>
      </c>
      <c r="DW10" s="280">
        <v>0</v>
      </c>
      <c r="DX10" s="280">
        <v>0</v>
      </c>
      <c r="DY10" s="280">
        <v>0</v>
      </c>
      <c r="DZ10" s="280">
        <v>0</v>
      </c>
      <c r="EG10" s="280" t="str">
        <f>VLOOKUP(B10,'2022. tervsor'!C:D,2,0)</f>
        <v>Bérkompenzáció (teljes és részmunkaidős foglalk.)</v>
      </c>
    </row>
    <row r="11" spans="1:138" x14ac:dyDescent="0.3">
      <c r="B11" s="581">
        <v>47</v>
      </c>
      <c r="C11" s="280">
        <v>0</v>
      </c>
      <c r="D11" s="280">
        <v>0</v>
      </c>
      <c r="E11" s="280">
        <v>0</v>
      </c>
      <c r="F11" s="280">
        <v>0</v>
      </c>
      <c r="G11" s="280">
        <v>0</v>
      </c>
      <c r="H11" s="280">
        <v>0</v>
      </c>
      <c r="I11" s="280">
        <v>0</v>
      </c>
      <c r="J11" s="280">
        <v>0</v>
      </c>
      <c r="K11" s="280">
        <v>0</v>
      </c>
      <c r="L11" s="280">
        <v>0</v>
      </c>
      <c r="M11" s="280">
        <v>0</v>
      </c>
      <c r="N11" s="280">
        <v>0</v>
      </c>
      <c r="O11" s="280">
        <v>0</v>
      </c>
      <c r="P11" s="280">
        <v>0</v>
      </c>
      <c r="Q11" s="280">
        <v>195393.99926642817</v>
      </c>
      <c r="R11" s="280">
        <v>0</v>
      </c>
      <c r="S11" s="280">
        <v>0</v>
      </c>
      <c r="T11" s="280">
        <v>0</v>
      </c>
      <c r="U11" s="280">
        <v>0</v>
      </c>
      <c r="V11" s="280">
        <v>0</v>
      </c>
      <c r="W11" s="280">
        <v>0</v>
      </c>
      <c r="X11" s="280">
        <v>0</v>
      </c>
      <c r="Y11" s="280">
        <v>0</v>
      </c>
      <c r="Z11" s="280">
        <v>0</v>
      </c>
      <c r="AA11" s="280">
        <v>0</v>
      </c>
      <c r="AB11" s="280">
        <v>0</v>
      </c>
      <c r="AC11" s="280">
        <v>0</v>
      </c>
      <c r="AD11" s="280">
        <v>0</v>
      </c>
      <c r="AE11" s="280">
        <v>0</v>
      </c>
      <c r="AF11" s="280">
        <v>0</v>
      </c>
      <c r="AG11" s="280">
        <v>0</v>
      </c>
      <c r="AH11" s="280">
        <v>0</v>
      </c>
      <c r="AI11" s="280">
        <v>0</v>
      </c>
      <c r="AJ11" s="280">
        <v>0</v>
      </c>
      <c r="AK11" s="280">
        <v>0</v>
      </c>
      <c r="AL11" s="280">
        <v>0</v>
      </c>
      <c r="AM11" s="280">
        <v>0</v>
      </c>
      <c r="AN11" s="280">
        <v>0</v>
      </c>
      <c r="AO11" s="280">
        <v>0</v>
      </c>
      <c r="AP11" s="280">
        <v>0</v>
      </c>
      <c r="AQ11" s="280">
        <v>0</v>
      </c>
      <c r="AR11" s="280">
        <v>0</v>
      </c>
      <c r="AS11" s="280">
        <v>0</v>
      </c>
      <c r="AT11" s="280">
        <v>0</v>
      </c>
      <c r="AU11" s="280">
        <v>0</v>
      </c>
      <c r="AV11" s="280">
        <v>0</v>
      </c>
      <c r="AW11" s="280">
        <v>0</v>
      </c>
      <c r="AX11" s="280">
        <v>0</v>
      </c>
      <c r="AY11" s="280">
        <v>0</v>
      </c>
      <c r="AZ11" s="280">
        <v>0</v>
      </c>
      <c r="BA11" s="280">
        <v>0</v>
      </c>
      <c r="BB11" s="280">
        <v>0</v>
      </c>
      <c r="BC11" s="280">
        <v>0</v>
      </c>
      <c r="BD11" s="280">
        <v>0</v>
      </c>
      <c r="BE11" s="280">
        <v>0</v>
      </c>
      <c r="BF11" s="280">
        <v>0</v>
      </c>
      <c r="BG11" s="280">
        <v>0</v>
      </c>
      <c r="BH11" s="280">
        <v>0</v>
      </c>
      <c r="BI11" s="280">
        <v>0</v>
      </c>
      <c r="BJ11" s="280">
        <v>0</v>
      </c>
      <c r="BK11" s="280">
        <v>0</v>
      </c>
      <c r="BL11" s="280">
        <v>0</v>
      </c>
      <c r="BM11" s="280">
        <v>0</v>
      </c>
      <c r="BN11" s="280">
        <v>0</v>
      </c>
      <c r="BO11" s="280">
        <v>0</v>
      </c>
      <c r="BP11" s="280">
        <v>0</v>
      </c>
      <c r="BQ11" s="280">
        <v>0</v>
      </c>
      <c r="BR11" s="280">
        <v>0</v>
      </c>
      <c r="BS11" s="280">
        <v>0</v>
      </c>
      <c r="BT11" s="280">
        <v>0</v>
      </c>
      <c r="BU11" s="280">
        <v>0</v>
      </c>
      <c r="BV11" s="280">
        <v>0</v>
      </c>
      <c r="BW11" s="280">
        <v>0</v>
      </c>
      <c r="BX11" s="280">
        <v>0</v>
      </c>
      <c r="BY11" s="280">
        <v>0</v>
      </c>
      <c r="BZ11" s="280">
        <v>0</v>
      </c>
      <c r="CA11" s="280">
        <v>0</v>
      </c>
      <c r="CB11" s="280">
        <v>0</v>
      </c>
      <c r="CC11" s="280">
        <v>0</v>
      </c>
      <c r="CD11" s="280">
        <v>0</v>
      </c>
      <c r="CE11" s="280">
        <v>0</v>
      </c>
      <c r="CF11" s="280">
        <v>0</v>
      </c>
      <c r="CG11" s="280">
        <v>0</v>
      </c>
      <c r="CH11" s="280">
        <v>0</v>
      </c>
      <c r="CI11" s="280">
        <v>0</v>
      </c>
      <c r="CJ11" s="280">
        <v>0</v>
      </c>
      <c r="CK11" s="280">
        <v>0</v>
      </c>
      <c r="CL11" s="280">
        <v>0</v>
      </c>
      <c r="CM11" s="280">
        <v>0</v>
      </c>
      <c r="CN11" s="280">
        <v>0</v>
      </c>
      <c r="CO11" s="280">
        <v>0</v>
      </c>
      <c r="CP11" s="280">
        <v>0</v>
      </c>
      <c r="CQ11" s="280">
        <v>0</v>
      </c>
      <c r="CR11" s="280">
        <v>0</v>
      </c>
      <c r="CS11" s="280">
        <v>0</v>
      </c>
      <c r="CT11" s="280">
        <v>0</v>
      </c>
      <c r="CU11" s="280">
        <v>0</v>
      </c>
      <c r="CV11" s="280">
        <v>0</v>
      </c>
      <c r="CW11" s="280">
        <v>0</v>
      </c>
      <c r="CX11" s="280">
        <v>0</v>
      </c>
      <c r="CY11" s="280">
        <v>0</v>
      </c>
      <c r="CZ11" s="280">
        <v>0</v>
      </c>
      <c r="DA11" s="280">
        <v>0</v>
      </c>
      <c r="DB11" s="280">
        <v>0</v>
      </c>
      <c r="DC11" s="280">
        <v>0</v>
      </c>
      <c r="DD11" s="280">
        <v>0</v>
      </c>
      <c r="DE11" s="280">
        <v>0</v>
      </c>
      <c r="DF11" s="280">
        <v>0</v>
      </c>
      <c r="DG11" s="280">
        <v>0</v>
      </c>
      <c r="DH11" s="280">
        <v>367452.45490100252</v>
      </c>
      <c r="DI11" s="280">
        <v>358949.98433878255</v>
      </c>
      <c r="DJ11" s="280">
        <v>2659817.8788578142</v>
      </c>
      <c r="DK11" s="280">
        <v>9096.4502164502373</v>
      </c>
      <c r="DL11" s="280">
        <v>739958.85114557354</v>
      </c>
      <c r="DM11" s="280">
        <v>583787.57648311043</v>
      </c>
      <c r="DN11" s="280">
        <v>402024.53791218594</v>
      </c>
      <c r="DO11" s="280">
        <v>99052.432900432905</v>
      </c>
      <c r="DP11" s="280">
        <v>100493.3663830625</v>
      </c>
      <c r="DQ11" s="280">
        <v>74199.086580086587</v>
      </c>
      <c r="DR11" s="280">
        <v>2520000</v>
      </c>
      <c r="DS11" s="280">
        <v>740065.80086580082</v>
      </c>
      <c r="DT11" s="280">
        <v>0</v>
      </c>
      <c r="DU11" s="280">
        <v>0</v>
      </c>
      <c r="DV11" s="280">
        <v>0</v>
      </c>
      <c r="DW11" s="280">
        <v>0</v>
      </c>
      <c r="DX11" s="280">
        <v>0</v>
      </c>
      <c r="DY11" s="280">
        <v>0</v>
      </c>
      <c r="DZ11" s="280">
        <v>0</v>
      </c>
      <c r="EG11" s="280" t="str">
        <f>VLOOKUP(B11,'2022. tervsor'!C:D,2,0)</f>
        <v>Külső megbízott megbízási díj teljesítése</v>
      </c>
    </row>
    <row r="12" spans="1:138" x14ac:dyDescent="0.3">
      <c r="B12" s="581">
        <v>52</v>
      </c>
      <c r="C12" s="280">
        <v>0</v>
      </c>
      <c r="D12" s="280">
        <v>0</v>
      </c>
      <c r="E12" s="280">
        <v>0</v>
      </c>
      <c r="F12" s="280">
        <v>0</v>
      </c>
      <c r="G12" s="280">
        <v>0</v>
      </c>
      <c r="H12" s="280">
        <v>0</v>
      </c>
      <c r="I12" s="280">
        <v>0</v>
      </c>
      <c r="J12" s="280">
        <v>0</v>
      </c>
      <c r="K12" s="280">
        <v>0</v>
      </c>
      <c r="L12" s="280">
        <v>0</v>
      </c>
      <c r="M12" s="280">
        <v>0</v>
      </c>
      <c r="N12" s="280">
        <v>0</v>
      </c>
      <c r="O12" s="280">
        <v>0</v>
      </c>
      <c r="P12" s="280">
        <v>0</v>
      </c>
      <c r="Q12" s="280">
        <v>0</v>
      </c>
      <c r="R12" s="280">
        <v>0</v>
      </c>
      <c r="S12" s="280">
        <v>0</v>
      </c>
      <c r="T12" s="280">
        <v>0</v>
      </c>
      <c r="U12" s="280">
        <v>0</v>
      </c>
      <c r="V12" s="280">
        <v>0</v>
      </c>
      <c r="W12" s="280">
        <v>0</v>
      </c>
      <c r="X12" s="280">
        <v>0</v>
      </c>
      <c r="Y12" s="280">
        <v>0</v>
      </c>
      <c r="Z12" s="280">
        <v>0</v>
      </c>
      <c r="AA12" s="280">
        <v>0</v>
      </c>
      <c r="AB12" s="280">
        <v>0</v>
      </c>
      <c r="AC12" s="280">
        <v>0</v>
      </c>
      <c r="AD12" s="280">
        <v>0</v>
      </c>
      <c r="AE12" s="280">
        <v>0</v>
      </c>
      <c r="AF12" s="280">
        <v>0</v>
      </c>
      <c r="AG12" s="280">
        <v>0</v>
      </c>
      <c r="AH12" s="280">
        <v>0</v>
      </c>
      <c r="AI12" s="280">
        <v>0</v>
      </c>
      <c r="AJ12" s="280">
        <v>0</v>
      </c>
      <c r="AK12" s="280">
        <v>0</v>
      </c>
      <c r="AL12" s="280">
        <v>0</v>
      </c>
      <c r="AM12" s="280">
        <v>0</v>
      </c>
      <c r="AN12" s="280">
        <v>0</v>
      </c>
      <c r="AO12" s="280">
        <v>0</v>
      </c>
      <c r="AP12" s="280">
        <v>0</v>
      </c>
      <c r="AQ12" s="280">
        <v>0</v>
      </c>
      <c r="AR12" s="280">
        <v>1068872.6094891608</v>
      </c>
      <c r="AS12" s="280">
        <v>0</v>
      </c>
      <c r="AT12" s="280">
        <v>0</v>
      </c>
      <c r="AU12" s="280">
        <v>0</v>
      </c>
      <c r="AV12" s="280">
        <v>0</v>
      </c>
      <c r="AW12" s="280">
        <v>0</v>
      </c>
      <c r="AX12" s="280">
        <v>0</v>
      </c>
      <c r="AY12" s="280">
        <v>0</v>
      </c>
      <c r="AZ12" s="280">
        <v>0</v>
      </c>
      <c r="BA12" s="280">
        <v>0</v>
      </c>
      <c r="BB12" s="280">
        <v>0</v>
      </c>
      <c r="BC12" s="280">
        <v>0</v>
      </c>
      <c r="BD12" s="280">
        <v>0</v>
      </c>
      <c r="BE12" s="280">
        <v>0</v>
      </c>
      <c r="BF12" s="280">
        <v>0</v>
      </c>
      <c r="BG12" s="280">
        <v>0</v>
      </c>
      <c r="BH12" s="280">
        <v>0</v>
      </c>
      <c r="BI12" s="280">
        <v>0</v>
      </c>
      <c r="BJ12" s="280">
        <v>0</v>
      </c>
      <c r="BK12" s="280">
        <v>0</v>
      </c>
      <c r="BL12" s="280">
        <v>644359.3474914612</v>
      </c>
      <c r="BM12" s="280">
        <v>0</v>
      </c>
      <c r="BN12" s="280">
        <v>0</v>
      </c>
      <c r="BO12" s="280">
        <v>0</v>
      </c>
      <c r="BP12" s="280">
        <v>303905.28138528141</v>
      </c>
      <c r="BQ12" s="280">
        <v>0</v>
      </c>
      <c r="BR12" s="280">
        <v>0</v>
      </c>
      <c r="BS12" s="280">
        <v>0</v>
      </c>
      <c r="BT12" s="280">
        <v>0</v>
      </c>
      <c r="BU12" s="280">
        <v>0</v>
      </c>
      <c r="BV12" s="280">
        <v>0</v>
      </c>
      <c r="BW12" s="280">
        <v>0</v>
      </c>
      <c r="BX12" s="280">
        <v>0</v>
      </c>
      <c r="BY12" s="280">
        <v>0</v>
      </c>
      <c r="BZ12" s="280">
        <v>0</v>
      </c>
      <c r="CA12" s="280">
        <v>0</v>
      </c>
      <c r="CB12" s="280">
        <v>0</v>
      </c>
      <c r="CC12" s="280">
        <v>0</v>
      </c>
      <c r="CD12" s="280">
        <v>0</v>
      </c>
      <c r="CE12" s="280">
        <v>0</v>
      </c>
      <c r="CF12" s="280">
        <v>0</v>
      </c>
      <c r="CG12" s="280">
        <v>0</v>
      </c>
      <c r="CH12" s="280">
        <v>0</v>
      </c>
      <c r="CI12" s="280">
        <v>0</v>
      </c>
      <c r="CJ12" s="280">
        <v>0</v>
      </c>
      <c r="CK12" s="280">
        <v>0</v>
      </c>
      <c r="CL12" s="280">
        <v>0</v>
      </c>
      <c r="CM12" s="280">
        <v>799419.61604868597</v>
      </c>
      <c r="CN12" s="280">
        <v>0</v>
      </c>
      <c r="CO12" s="280">
        <v>0</v>
      </c>
      <c r="CP12" s="280">
        <v>0</v>
      </c>
      <c r="CQ12" s="280">
        <v>0</v>
      </c>
      <c r="CR12" s="280">
        <v>0</v>
      </c>
      <c r="CS12" s="280">
        <v>0</v>
      </c>
      <c r="CT12" s="280">
        <v>0</v>
      </c>
      <c r="CU12" s="280">
        <v>0</v>
      </c>
      <c r="CV12" s="280">
        <v>0</v>
      </c>
      <c r="CW12" s="280">
        <v>0</v>
      </c>
      <c r="CX12" s="280">
        <v>0</v>
      </c>
      <c r="CY12" s="280">
        <v>0</v>
      </c>
      <c r="CZ12" s="280">
        <v>0</v>
      </c>
      <c r="DA12" s="280">
        <v>0</v>
      </c>
      <c r="DB12" s="280">
        <v>0</v>
      </c>
      <c r="DC12" s="280">
        <v>0</v>
      </c>
      <c r="DD12" s="280">
        <v>0</v>
      </c>
      <c r="DE12" s="280">
        <v>0</v>
      </c>
      <c r="DF12" s="280">
        <v>0</v>
      </c>
      <c r="DG12" s="280">
        <v>0</v>
      </c>
      <c r="DH12" s="280">
        <v>0</v>
      </c>
      <c r="DI12" s="280">
        <v>0</v>
      </c>
      <c r="DJ12" s="280">
        <v>0</v>
      </c>
      <c r="DK12" s="280">
        <v>0</v>
      </c>
      <c r="DL12" s="280">
        <v>0</v>
      </c>
      <c r="DM12" s="280">
        <v>0</v>
      </c>
      <c r="DN12" s="280">
        <v>0</v>
      </c>
      <c r="DO12" s="280">
        <v>0</v>
      </c>
      <c r="DP12" s="280">
        <v>0</v>
      </c>
      <c r="DQ12" s="280">
        <v>0</v>
      </c>
      <c r="DR12" s="280">
        <v>0</v>
      </c>
      <c r="DS12" s="280">
        <v>0</v>
      </c>
      <c r="DT12" s="280">
        <v>0</v>
      </c>
      <c r="DU12" s="280">
        <v>0</v>
      </c>
      <c r="DV12" s="280">
        <v>0</v>
      </c>
      <c r="DW12" s="280">
        <v>0</v>
      </c>
      <c r="DX12" s="280">
        <v>0</v>
      </c>
      <c r="DY12" s="280">
        <v>0</v>
      </c>
      <c r="DZ12" s="280">
        <v>0</v>
      </c>
      <c r="EG12" s="280" t="str">
        <f>VLOOKUP(B12,'2022. tervsor'!C:D,2,0)</f>
        <v>Felmentési bér teljesítése</v>
      </c>
    </row>
    <row r="13" spans="1:138" x14ac:dyDescent="0.3">
      <c r="B13" s="581">
        <v>60</v>
      </c>
      <c r="C13" s="280">
        <v>0</v>
      </c>
      <c r="D13" s="280">
        <v>0</v>
      </c>
      <c r="E13" s="280">
        <v>0</v>
      </c>
      <c r="F13" s="280">
        <v>0</v>
      </c>
      <c r="G13" s="280">
        <v>245622.83845558853</v>
      </c>
      <c r="H13" s="280">
        <v>41341.36046528718</v>
      </c>
      <c r="I13" s="280">
        <v>9.75</v>
      </c>
      <c r="J13" s="280">
        <v>33.54</v>
      </c>
      <c r="K13" s="280">
        <v>2233.4817540069921</v>
      </c>
      <c r="L13" s="280">
        <v>6112.5410059550468</v>
      </c>
      <c r="M13" s="280">
        <v>696210.2770876463</v>
      </c>
      <c r="N13" s="280">
        <v>0</v>
      </c>
      <c r="O13" s="280">
        <v>10599.99822120619</v>
      </c>
      <c r="P13" s="280">
        <v>1038.5872842046238</v>
      </c>
      <c r="Q13" s="280">
        <v>396971.14115129993</v>
      </c>
      <c r="R13" s="280">
        <v>0</v>
      </c>
      <c r="S13" s="280">
        <v>0</v>
      </c>
      <c r="T13" s="280">
        <v>418682.86468280916</v>
      </c>
      <c r="U13" s="280">
        <v>3968054.0215045749</v>
      </c>
      <c r="V13" s="280">
        <v>0</v>
      </c>
      <c r="W13" s="280">
        <v>1717031.6799459863</v>
      </c>
      <c r="X13" s="280">
        <v>1070950.4032796486</v>
      </c>
      <c r="Y13" s="280">
        <v>12964.538100758908</v>
      </c>
      <c r="Z13" s="280">
        <v>11584.505953922897</v>
      </c>
      <c r="AA13" s="280">
        <v>3928.0534000289499</v>
      </c>
      <c r="AB13" s="280">
        <v>0</v>
      </c>
      <c r="AC13" s="280">
        <v>9413.1896124352934</v>
      </c>
      <c r="AD13" s="280">
        <v>0</v>
      </c>
      <c r="AE13" s="280">
        <v>0</v>
      </c>
      <c r="AF13" s="280">
        <v>0</v>
      </c>
      <c r="AG13" s="280">
        <v>0</v>
      </c>
      <c r="AH13" s="280">
        <v>0</v>
      </c>
      <c r="AI13" s="280">
        <v>0</v>
      </c>
      <c r="AJ13" s="280">
        <v>0</v>
      </c>
      <c r="AK13" s="280">
        <v>0</v>
      </c>
      <c r="AL13" s="280">
        <v>3264832.3759110966</v>
      </c>
      <c r="AM13" s="280">
        <v>554911.35816153849</v>
      </c>
      <c r="AN13" s="280">
        <v>493278.13519291457</v>
      </c>
      <c r="AO13" s="280">
        <v>0</v>
      </c>
      <c r="AP13" s="280">
        <v>0</v>
      </c>
      <c r="AQ13" s="280">
        <v>240952.52892402455</v>
      </c>
      <c r="AR13" s="280">
        <v>2149020.2605903647</v>
      </c>
      <c r="AS13" s="280">
        <v>471851.07030224649</v>
      </c>
      <c r="AT13" s="280">
        <v>620927.48514263215</v>
      </c>
      <c r="AU13" s="280">
        <v>935143.77695582039</v>
      </c>
      <c r="AV13" s="280">
        <v>0</v>
      </c>
      <c r="AW13" s="280">
        <v>1867977.7046712341</v>
      </c>
      <c r="AX13" s="280">
        <v>300997.58260824118</v>
      </c>
      <c r="AY13" s="280">
        <v>218322.96310774636</v>
      </c>
      <c r="AZ13" s="280">
        <v>0</v>
      </c>
      <c r="BA13" s="280">
        <v>0</v>
      </c>
      <c r="BB13" s="280">
        <v>0</v>
      </c>
      <c r="BC13" s="280">
        <v>0</v>
      </c>
      <c r="BD13" s="280">
        <v>0</v>
      </c>
      <c r="BE13" s="280">
        <v>0</v>
      </c>
      <c r="BF13" s="280">
        <v>0</v>
      </c>
      <c r="BG13" s="280">
        <v>0</v>
      </c>
      <c r="BH13" s="280">
        <v>0</v>
      </c>
      <c r="BI13" s="280">
        <v>206540.38366358998</v>
      </c>
      <c r="BJ13" s="280">
        <v>806.53041535632519</v>
      </c>
      <c r="BK13" s="280">
        <v>0</v>
      </c>
      <c r="BL13" s="280">
        <v>397820.29043104337</v>
      </c>
      <c r="BM13" s="280">
        <v>0</v>
      </c>
      <c r="BN13" s="280">
        <v>636234.36219686328</v>
      </c>
      <c r="BO13" s="280">
        <v>8683.7503717561267</v>
      </c>
      <c r="BP13" s="280">
        <v>47105.318614718613</v>
      </c>
      <c r="BQ13" s="280">
        <v>419005.98778069817</v>
      </c>
      <c r="BR13" s="280">
        <v>0</v>
      </c>
      <c r="BS13" s="280">
        <v>255689.95909060576</v>
      </c>
      <c r="BT13" s="280">
        <v>0</v>
      </c>
      <c r="BU13" s="280">
        <v>539972.31416041765</v>
      </c>
      <c r="BV13" s="280">
        <v>431675.99297916528</v>
      </c>
      <c r="BW13" s="280">
        <v>429427.99728007289</v>
      </c>
      <c r="BX13" s="280">
        <v>467301.46313103678</v>
      </c>
      <c r="BY13" s="280">
        <v>477371.88500000007</v>
      </c>
      <c r="BZ13" s="280">
        <v>0</v>
      </c>
      <c r="CA13" s="280">
        <v>0</v>
      </c>
      <c r="CB13" s="280">
        <v>0</v>
      </c>
      <c r="CC13" s="280">
        <v>0</v>
      </c>
      <c r="CD13" s="280">
        <v>75363.727874902019</v>
      </c>
      <c r="CE13" s="280">
        <v>0</v>
      </c>
      <c r="CF13" s="280">
        <v>0</v>
      </c>
      <c r="CG13" s="280">
        <v>0</v>
      </c>
      <c r="CH13" s="280">
        <v>0</v>
      </c>
      <c r="CI13" s="280">
        <v>0</v>
      </c>
      <c r="CJ13" s="280">
        <v>0</v>
      </c>
      <c r="CK13" s="280">
        <v>75857.86</v>
      </c>
      <c r="CL13" s="280">
        <v>0</v>
      </c>
      <c r="CM13" s="280">
        <v>822685.71316909813</v>
      </c>
      <c r="CN13" s="280">
        <v>43645.166686774413</v>
      </c>
      <c r="CO13" s="280">
        <v>109028.09920686424</v>
      </c>
      <c r="CP13" s="280">
        <v>381615.92200474394</v>
      </c>
      <c r="CQ13" s="280">
        <v>33426.193262604407</v>
      </c>
      <c r="CR13" s="280">
        <v>192782.31053916886</v>
      </c>
      <c r="CS13" s="280">
        <v>171853.59485215505</v>
      </c>
      <c r="CT13" s="280">
        <v>95698.218653488118</v>
      </c>
      <c r="CU13" s="280">
        <v>40973.932132976559</v>
      </c>
      <c r="CV13" s="280">
        <v>53749.956761681337</v>
      </c>
      <c r="CW13" s="280">
        <v>549558.75021333445</v>
      </c>
      <c r="CX13" s="280">
        <v>5319700.9528794261</v>
      </c>
      <c r="CY13" s="280">
        <v>153150.55207949944</v>
      </c>
      <c r="CZ13" s="280">
        <v>0</v>
      </c>
      <c r="DA13" s="280">
        <v>0</v>
      </c>
      <c r="DB13" s="280">
        <v>0</v>
      </c>
      <c r="DC13" s="280">
        <v>0</v>
      </c>
      <c r="DD13" s="280">
        <v>0</v>
      </c>
      <c r="DE13" s="280">
        <v>0</v>
      </c>
      <c r="DF13" s="280">
        <v>0</v>
      </c>
      <c r="DG13" s="280">
        <v>0</v>
      </c>
      <c r="DH13" s="280">
        <v>136310.42961696937</v>
      </c>
      <c r="DI13" s="280">
        <v>134170.33466670255</v>
      </c>
      <c r="DJ13" s="280">
        <v>868780.75028513453</v>
      </c>
      <c r="DK13" s="280">
        <v>1409.9497835497868</v>
      </c>
      <c r="DL13" s="280">
        <v>295475.14295442461</v>
      </c>
      <c r="DM13" s="280">
        <v>184398.39152315885</v>
      </c>
      <c r="DN13" s="280">
        <v>81648.658592678927</v>
      </c>
      <c r="DO13" s="280">
        <v>15353.1270995671</v>
      </c>
      <c r="DP13" s="280">
        <v>58604.667635616082</v>
      </c>
      <c r="DQ13" s="280">
        <v>11500.858419913418</v>
      </c>
      <c r="DR13" s="280">
        <v>390600</v>
      </c>
      <c r="DS13" s="280">
        <v>114710.19913419914</v>
      </c>
      <c r="DT13" s="280">
        <v>0</v>
      </c>
      <c r="DU13" s="280">
        <v>1881067.3674602529</v>
      </c>
      <c r="DV13" s="280">
        <v>1304979.7951643264</v>
      </c>
      <c r="DW13" s="280">
        <v>2207952.2082240395</v>
      </c>
      <c r="DX13" s="280">
        <v>0</v>
      </c>
      <c r="DY13" s="280">
        <v>0</v>
      </c>
      <c r="DZ13" s="280">
        <v>0</v>
      </c>
      <c r="EG13" s="280" t="str">
        <f>VLOOKUP(B13,'2022. tervsor'!C:D,2,0)</f>
        <v>SZOCHÓ (13%)</v>
      </c>
    </row>
    <row r="14" spans="1:138" x14ac:dyDescent="0.3">
      <c r="B14" s="581">
        <v>65</v>
      </c>
      <c r="C14" s="280">
        <v>0</v>
      </c>
      <c r="D14" s="280">
        <v>0</v>
      </c>
      <c r="E14" s="280">
        <v>0</v>
      </c>
      <c r="F14" s="280">
        <v>0</v>
      </c>
      <c r="G14" s="280">
        <v>0</v>
      </c>
      <c r="H14" s="280">
        <v>0</v>
      </c>
      <c r="I14" s="280">
        <v>0</v>
      </c>
      <c r="J14" s="280">
        <v>0</v>
      </c>
      <c r="K14" s="280">
        <v>0</v>
      </c>
      <c r="L14" s="280">
        <v>0</v>
      </c>
      <c r="M14" s="280">
        <v>91235.576722137906</v>
      </c>
      <c r="N14" s="280">
        <v>0</v>
      </c>
      <c r="O14" s="280">
        <v>0</v>
      </c>
      <c r="P14" s="280">
        <v>0</v>
      </c>
      <c r="Q14" s="280">
        <v>100488.34247987733</v>
      </c>
      <c r="R14" s="280">
        <v>0</v>
      </c>
      <c r="S14" s="280">
        <v>0</v>
      </c>
      <c r="T14" s="280">
        <v>77744.574021303881</v>
      </c>
      <c r="U14" s="280">
        <v>845198.35954753705</v>
      </c>
      <c r="V14" s="280">
        <v>0</v>
      </c>
      <c r="W14" s="280">
        <v>364593.13902339269</v>
      </c>
      <c r="X14" s="280">
        <v>155887.91415686533</v>
      </c>
      <c r="Y14" s="280">
        <v>0</v>
      </c>
      <c r="Z14" s="280">
        <v>0</v>
      </c>
      <c r="AA14" s="280">
        <v>0</v>
      </c>
      <c r="AB14" s="280">
        <v>0</v>
      </c>
      <c r="AC14" s="280">
        <v>0</v>
      </c>
      <c r="AD14" s="280">
        <v>0</v>
      </c>
      <c r="AE14" s="280">
        <v>0</v>
      </c>
      <c r="AF14" s="280">
        <v>0</v>
      </c>
      <c r="AG14" s="280">
        <v>0</v>
      </c>
      <c r="AH14" s="280">
        <v>0</v>
      </c>
      <c r="AI14" s="280">
        <v>0</v>
      </c>
      <c r="AJ14" s="280">
        <v>0</v>
      </c>
      <c r="AK14" s="280">
        <v>0</v>
      </c>
      <c r="AL14" s="280">
        <v>558855.69777084619</v>
      </c>
      <c r="AM14" s="280">
        <v>90582.756153047463</v>
      </c>
      <c r="AN14" s="280">
        <v>0</v>
      </c>
      <c r="AO14" s="280">
        <v>0</v>
      </c>
      <c r="AP14" s="280">
        <v>0</v>
      </c>
      <c r="AQ14" s="280">
        <v>0</v>
      </c>
      <c r="AR14" s="280">
        <v>414984.19899213442</v>
      </c>
      <c r="AS14" s="280">
        <v>87379.758613158672</v>
      </c>
      <c r="AT14" s="280">
        <v>90248.99132929038</v>
      </c>
      <c r="AU14" s="280">
        <v>195269.39054012438</v>
      </c>
      <c r="AV14" s="280">
        <v>0</v>
      </c>
      <c r="AW14" s="280">
        <v>229127.95461452994</v>
      </c>
      <c r="AX14" s="280">
        <v>0</v>
      </c>
      <c r="AY14" s="280">
        <v>0</v>
      </c>
      <c r="AZ14" s="280">
        <v>0</v>
      </c>
      <c r="BA14" s="280">
        <v>0</v>
      </c>
      <c r="BB14" s="280">
        <v>0</v>
      </c>
      <c r="BC14" s="280">
        <v>0</v>
      </c>
      <c r="BD14" s="280">
        <v>0</v>
      </c>
      <c r="BE14" s="280">
        <v>0</v>
      </c>
      <c r="BF14" s="280">
        <v>0</v>
      </c>
      <c r="BG14" s="280">
        <v>0</v>
      </c>
      <c r="BH14" s="280">
        <v>0</v>
      </c>
      <c r="BI14" s="280">
        <v>0</v>
      </c>
      <c r="BJ14" s="280">
        <v>0</v>
      </c>
      <c r="BK14" s="280">
        <v>0</v>
      </c>
      <c r="BL14" s="280">
        <v>86105.926168123988</v>
      </c>
      <c r="BM14" s="280">
        <v>0</v>
      </c>
      <c r="BN14" s="280">
        <v>86035.490236251542</v>
      </c>
      <c r="BO14" s="280">
        <v>1174.2696790905165</v>
      </c>
      <c r="BP14" s="280">
        <v>0</v>
      </c>
      <c r="BQ14" s="280">
        <v>82412.623598347796</v>
      </c>
      <c r="BR14" s="280">
        <v>0</v>
      </c>
      <c r="BS14" s="280">
        <v>0</v>
      </c>
      <c r="BT14" s="280">
        <v>0</v>
      </c>
      <c r="BU14" s="280">
        <v>73032.626924252079</v>
      </c>
      <c r="BV14" s="280">
        <v>90206.28505300422</v>
      </c>
      <c r="BW14" s="280">
        <v>85463.620928488599</v>
      </c>
      <c r="BX14" s="280">
        <v>86419.612832004117</v>
      </c>
      <c r="BY14" s="280">
        <v>90000.000000000015</v>
      </c>
      <c r="BZ14" s="280">
        <v>0</v>
      </c>
      <c r="CA14" s="280">
        <v>0</v>
      </c>
      <c r="CB14" s="280">
        <v>0</v>
      </c>
      <c r="CC14" s="280">
        <v>0</v>
      </c>
      <c r="CD14" s="280">
        <v>16259.318675239307</v>
      </c>
      <c r="CE14" s="280">
        <v>0</v>
      </c>
      <c r="CF14" s="280">
        <v>0</v>
      </c>
      <c r="CG14" s="280">
        <v>0</v>
      </c>
      <c r="CH14" s="280">
        <v>0</v>
      </c>
      <c r="CI14" s="280">
        <v>0</v>
      </c>
      <c r="CJ14" s="280">
        <v>0</v>
      </c>
      <c r="CK14" s="280">
        <v>0</v>
      </c>
      <c r="CL14" s="280">
        <v>0</v>
      </c>
      <c r="CM14" s="280">
        <v>97598.375224004034</v>
      </c>
      <c r="CN14" s="280">
        <v>0</v>
      </c>
      <c r="CO14" s="280">
        <v>0</v>
      </c>
      <c r="CP14" s="280">
        <v>91781.826033735633</v>
      </c>
      <c r="CQ14" s="280">
        <v>0</v>
      </c>
      <c r="CR14" s="280">
        <v>0</v>
      </c>
      <c r="CS14" s="280">
        <v>0</v>
      </c>
      <c r="CT14" s="280">
        <v>0</v>
      </c>
      <c r="CU14" s="280">
        <v>0</v>
      </c>
      <c r="CV14" s="280">
        <v>0</v>
      </c>
      <c r="CW14" s="280">
        <v>88669.195108984888</v>
      </c>
      <c r="CX14" s="280">
        <v>925724.42872638779</v>
      </c>
      <c r="CY14" s="280">
        <v>0</v>
      </c>
      <c r="CZ14" s="280">
        <v>0</v>
      </c>
      <c r="DA14" s="280">
        <v>0</v>
      </c>
      <c r="DB14" s="280">
        <v>0</v>
      </c>
      <c r="DC14" s="280">
        <v>0</v>
      </c>
      <c r="DD14" s="280">
        <v>0</v>
      </c>
      <c r="DE14" s="280">
        <v>0</v>
      </c>
      <c r="DF14" s="280">
        <v>0</v>
      </c>
      <c r="DG14" s="280">
        <v>0</v>
      </c>
      <c r="DH14" s="280">
        <v>0</v>
      </c>
      <c r="DI14" s="280">
        <v>0</v>
      </c>
      <c r="DJ14" s="280">
        <v>128508.51687431462</v>
      </c>
      <c r="DK14" s="280">
        <v>0</v>
      </c>
      <c r="DL14" s="280">
        <v>0</v>
      </c>
      <c r="DM14" s="280">
        <v>0</v>
      </c>
      <c r="DN14" s="280">
        <v>0</v>
      </c>
      <c r="DO14" s="280">
        <v>0</v>
      </c>
      <c r="DP14" s="280">
        <v>0</v>
      </c>
      <c r="DQ14" s="280">
        <v>0</v>
      </c>
      <c r="DR14" s="280">
        <v>0</v>
      </c>
      <c r="DS14" s="280">
        <v>0</v>
      </c>
      <c r="DT14" s="280">
        <v>0</v>
      </c>
      <c r="DU14" s="280">
        <v>397419.06356919138</v>
      </c>
      <c r="DV14" s="280">
        <v>0</v>
      </c>
      <c r="DW14" s="280">
        <v>0</v>
      </c>
      <c r="DX14" s="280">
        <v>0</v>
      </c>
      <c r="DY14" s="280">
        <v>0</v>
      </c>
      <c r="DZ14" s="280">
        <v>0</v>
      </c>
      <c r="EG14" s="280" t="str">
        <f>VLOOKUP(B14,'2022. tervsor'!C:D,2,0)</f>
        <v>Rehabilitációs hozzájárulás</v>
      </c>
    </row>
    <row r="15" spans="1:138" x14ac:dyDescent="0.3">
      <c r="B15" s="581">
        <v>68</v>
      </c>
      <c r="C15" s="280">
        <v>0</v>
      </c>
      <c r="D15" s="280">
        <v>0</v>
      </c>
      <c r="E15" s="280">
        <v>0</v>
      </c>
      <c r="F15" s="280">
        <v>0</v>
      </c>
      <c r="G15" s="280">
        <v>0</v>
      </c>
      <c r="H15" s="280">
        <v>0</v>
      </c>
      <c r="I15" s="280">
        <v>0</v>
      </c>
      <c r="J15" s="280">
        <v>0</v>
      </c>
      <c r="K15" s="280">
        <v>0</v>
      </c>
      <c r="L15" s="280">
        <v>0</v>
      </c>
      <c r="M15" s="280">
        <v>0</v>
      </c>
      <c r="N15" s="280">
        <v>0</v>
      </c>
      <c r="O15" s="280">
        <v>0</v>
      </c>
      <c r="P15" s="280">
        <v>0</v>
      </c>
      <c r="Q15" s="280">
        <v>0</v>
      </c>
      <c r="R15" s="280">
        <v>0</v>
      </c>
      <c r="S15" s="280">
        <v>0</v>
      </c>
      <c r="T15" s="280">
        <v>0</v>
      </c>
      <c r="U15" s="280">
        <v>0</v>
      </c>
      <c r="V15" s="280">
        <v>0</v>
      </c>
      <c r="W15" s="280">
        <v>0</v>
      </c>
      <c r="X15" s="280">
        <v>0</v>
      </c>
      <c r="Y15" s="280">
        <v>0</v>
      </c>
      <c r="Z15" s="280">
        <v>0</v>
      </c>
      <c r="AA15" s="280">
        <v>0</v>
      </c>
      <c r="AB15" s="280">
        <v>0</v>
      </c>
      <c r="AC15" s="280">
        <v>0</v>
      </c>
      <c r="AD15" s="280">
        <v>0</v>
      </c>
      <c r="AE15" s="280">
        <v>0</v>
      </c>
      <c r="AF15" s="280">
        <v>0</v>
      </c>
      <c r="AG15" s="280">
        <v>0</v>
      </c>
      <c r="AH15" s="280">
        <v>0</v>
      </c>
      <c r="AI15" s="280">
        <v>0</v>
      </c>
      <c r="AJ15" s="280">
        <v>0</v>
      </c>
      <c r="AK15" s="280">
        <v>0</v>
      </c>
      <c r="AL15" s="280">
        <v>0</v>
      </c>
      <c r="AM15" s="280">
        <v>0</v>
      </c>
      <c r="AN15" s="280">
        <v>0</v>
      </c>
      <c r="AO15" s="280">
        <v>0</v>
      </c>
      <c r="AP15" s="280">
        <v>0</v>
      </c>
      <c r="AQ15" s="280">
        <v>0</v>
      </c>
      <c r="AR15" s="280">
        <v>0</v>
      </c>
      <c r="AS15" s="280">
        <v>0</v>
      </c>
      <c r="AT15" s="280">
        <v>0</v>
      </c>
      <c r="AU15" s="280">
        <v>0</v>
      </c>
      <c r="AV15" s="280">
        <v>0</v>
      </c>
      <c r="AW15" s="280">
        <v>0</v>
      </c>
      <c r="AX15" s="280">
        <v>0</v>
      </c>
      <c r="AY15" s="280">
        <v>0</v>
      </c>
      <c r="AZ15" s="280">
        <v>0</v>
      </c>
      <c r="BA15" s="280">
        <v>0</v>
      </c>
      <c r="BB15" s="280">
        <v>0</v>
      </c>
      <c r="BC15" s="280">
        <v>0</v>
      </c>
      <c r="BD15" s="280">
        <v>0</v>
      </c>
      <c r="BE15" s="280">
        <v>0</v>
      </c>
      <c r="BF15" s="280">
        <v>0</v>
      </c>
      <c r="BG15" s="280">
        <v>0</v>
      </c>
      <c r="BH15" s="280">
        <v>0</v>
      </c>
      <c r="BI15" s="280">
        <v>0</v>
      </c>
      <c r="BJ15" s="280">
        <v>0</v>
      </c>
      <c r="BK15" s="280">
        <v>0</v>
      </c>
      <c r="BL15" s="280">
        <v>0</v>
      </c>
      <c r="BM15" s="280">
        <v>0</v>
      </c>
      <c r="BN15" s="280">
        <v>0</v>
      </c>
      <c r="BO15" s="280">
        <v>0</v>
      </c>
      <c r="BP15" s="280">
        <v>0</v>
      </c>
      <c r="BQ15" s="280">
        <v>0</v>
      </c>
      <c r="BR15" s="280">
        <v>0</v>
      </c>
      <c r="BS15" s="280">
        <v>0</v>
      </c>
      <c r="BT15" s="280">
        <v>0</v>
      </c>
      <c r="BU15" s="280">
        <v>0</v>
      </c>
      <c r="BV15" s="280">
        <v>0</v>
      </c>
      <c r="BW15" s="280">
        <v>0</v>
      </c>
      <c r="BX15" s="280">
        <v>0</v>
      </c>
      <c r="BY15" s="280">
        <v>0</v>
      </c>
      <c r="BZ15" s="280">
        <v>0</v>
      </c>
      <c r="CA15" s="280">
        <v>0</v>
      </c>
      <c r="CB15" s="280">
        <v>0</v>
      </c>
      <c r="CC15" s="280">
        <v>0</v>
      </c>
      <c r="CD15" s="280">
        <v>0</v>
      </c>
      <c r="CE15" s="280">
        <v>0</v>
      </c>
      <c r="CF15" s="280">
        <v>0</v>
      </c>
      <c r="CG15" s="280">
        <v>0</v>
      </c>
      <c r="CH15" s="280">
        <v>0</v>
      </c>
      <c r="CI15" s="280">
        <v>0</v>
      </c>
      <c r="CJ15" s="280">
        <v>0</v>
      </c>
      <c r="CK15" s="280">
        <v>0</v>
      </c>
      <c r="CL15" s="280">
        <v>0</v>
      </c>
      <c r="CM15" s="280">
        <v>0</v>
      </c>
      <c r="CN15" s="280">
        <v>0</v>
      </c>
      <c r="CO15" s="280">
        <v>0</v>
      </c>
      <c r="CP15" s="280">
        <v>0</v>
      </c>
      <c r="CQ15" s="280">
        <v>0</v>
      </c>
      <c r="CR15" s="280">
        <v>0</v>
      </c>
      <c r="CS15" s="280">
        <v>0</v>
      </c>
      <c r="CT15" s="280">
        <v>0</v>
      </c>
      <c r="CU15" s="280">
        <v>0</v>
      </c>
      <c r="CV15" s="280">
        <v>0</v>
      </c>
      <c r="CW15" s="280">
        <v>0</v>
      </c>
      <c r="CX15" s="280">
        <v>0</v>
      </c>
      <c r="CY15" s="280">
        <v>0</v>
      </c>
      <c r="CZ15" s="280">
        <v>0</v>
      </c>
      <c r="DA15" s="280">
        <v>0</v>
      </c>
      <c r="DB15" s="280">
        <v>0</v>
      </c>
      <c r="DC15" s="280">
        <v>0</v>
      </c>
      <c r="DD15" s="280">
        <v>0</v>
      </c>
      <c r="DE15" s="280">
        <v>0</v>
      </c>
      <c r="DF15" s="280">
        <v>0</v>
      </c>
      <c r="DG15" s="280">
        <v>0</v>
      </c>
      <c r="DH15" s="280">
        <v>45191.071056154513</v>
      </c>
      <c r="DI15" s="280">
        <v>17684.393939554779</v>
      </c>
      <c r="DJ15" s="280">
        <v>187082.62518465673</v>
      </c>
      <c r="DK15" s="280">
        <v>0</v>
      </c>
      <c r="DL15" s="280">
        <v>127510.07874305165</v>
      </c>
      <c r="DM15" s="280">
        <v>61720.862676349854</v>
      </c>
      <c r="DN15" s="280">
        <v>15731.459940195586</v>
      </c>
      <c r="DO15" s="280">
        <v>1609.9436010233028</v>
      </c>
      <c r="DP15" s="280">
        <v>3414.8774569116267</v>
      </c>
      <c r="DQ15" s="280">
        <v>1197.8851545465618</v>
      </c>
      <c r="DR15" s="280">
        <v>192525.9038950851</v>
      </c>
      <c r="DS15" s="280">
        <v>8068.1807312099927</v>
      </c>
      <c r="DT15" s="280">
        <v>0</v>
      </c>
      <c r="DU15" s="280">
        <v>0</v>
      </c>
      <c r="DV15" s="280">
        <v>0</v>
      </c>
      <c r="DW15" s="280">
        <v>0</v>
      </c>
      <c r="DX15" s="280">
        <v>140101.24447117353</v>
      </c>
      <c r="DY15" s="280">
        <v>172555.95571373482</v>
      </c>
      <c r="DZ15" s="280">
        <v>85704.761956525734</v>
      </c>
      <c r="EG15" s="280" t="str">
        <f>VLOOKUP(B15,'2022. tervsor'!C:D,2,0)</f>
        <v>Vegyszerbeszerzés</v>
      </c>
    </row>
    <row r="16" spans="1:138" x14ac:dyDescent="0.3">
      <c r="B16" s="581">
        <v>69</v>
      </c>
      <c r="C16" s="280">
        <v>78740.157480314971</v>
      </c>
      <c r="D16" s="280">
        <v>760021.63372808811</v>
      </c>
      <c r="E16" s="280">
        <v>61027.947392943119</v>
      </c>
      <c r="F16" s="280">
        <v>24334.833705696376</v>
      </c>
      <c r="G16" s="280">
        <v>0</v>
      </c>
      <c r="H16" s="280">
        <v>0</v>
      </c>
      <c r="I16" s="280">
        <v>0</v>
      </c>
      <c r="J16" s="280">
        <v>0</v>
      </c>
      <c r="K16" s="280">
        <v>0</v>
      </c>
      <c r="L16" s="280">
        <v>0</v>
      </c>
      <c r="M16" s="280">
        <v>0</v>
      </c>
      <c r="N16" s="280">
        <v>43559.021364008673</v>
      </c>
      <c r="O16" s="280">
        <v>611.64999416519186</v>
      </c>
      <c r="P16" s="280">
        <v>3355.6702269966372</v>
      </c>
      <c r="Q16" s="280">
        <v>137478.4573909872</v>
      </c>
      <c r="R16" s="280">
        <v>0</v>
      </c>
      <c r="S16" s="280">
        <v>0</v>
      </c>
      <c r="T16" s="280">
        <v>0</v>
      </c>
      <c r="U16" s="280">
        <v>0</v>
      </c>
      <c r="V16" s="280">
        <v>0</v>
      </c>
      <c r="W16" s="280">
        <v>0</v>
      </c>
      <c r="X16" s="280">
        <v>725073.71789610002</v>
      </c>
      <c r="Y16" s="280">
        <v>4657.3270560590381</v>
      </c>
      <c r="Z16" s="280">
        <v>4270.1289067859243</v>
      </c>
      <c r="AA16" s="280">
        <v>17135.031609928228</v>
      </c>
      <c r="AB16" s="280">
        <v>0</v>
      </c>
      <c r="AC16" s="280">
        <v>2557.5797186457598</v>
      </c>
      <c r="AD16" s="280">
        <v>0</v>
      </c>
      <c r="AE16" s="280">
        <v>0</v>
      </c>
      <c r="AF16" s="280">
        <v>0</v>
      </c>
      <c r="AG16" s="280">
        <v>0</v>
      </c>
      <c r="AH16" s="280">
        <v>0</v>
      </c>
      <c r="AI16" s="280">
        <v>0</v>
      </c>
      <c r="AJ16" s="280">
        <v>0</v>
      </c>
      <c r="AK16" s="280">
        <v>0</v>
      </c>
      <c r="AL16" s="280">
        <v>0</v>
      </c>
      <c r="AM16" s="280">
        <v>0</v>
      </c>
      <c r="AN16" s="280">
        <v>0</v>
      </c>
      <c r="AO16" s="280">
        <v>0</v>
      </c>
      <c r="AP16" s="280">
        <v>0</v>
      </c>
      <c r="AQ16" s="280">
        <v>0</v>
      </c>
      <c r="AR16" s="280">
        <v>0</v>
      </c>
      <c r="AS16" s="280">
        <v>0</v>
      </c>
      <c r="AT16" s="280">
        <v>0</v>
      </c>
      <c r="AU16" s="280">
        <v>0</v>
      </c>
      <c r="AV16" s="280">
        <v>53669.631913713769</v>
      </c>
      <c r="AW16" s="280">
        <v>1085485.3179120519</v>
      </c>
      <c r="AX16" s="280">
        <v>229499.41774307305</v>
      </c>
      <c r="AY16" s="280">
        <v>85967.118550821353</v>
      </c>
      <c r="AZ16" s="280">
        <v>15593.882779604595</v>
      </c>
      <c r="BA16" s="280">
        <v>0</v>
      </c>
      <c r="BB16" s="280">
        <v>0</v>
      </c>
      <c r="BC16" s="280">
        <v>0</v>
      </c>
      <c r="BD16" s="280">
        <v>0</v>
      </c>
      <c r="BE16" s="280">
        <v>0</v>
      </c>
      <c r="BF16" s="280">
        <v>0</v>
      </c>
      <c r="BG16" s="280">
        <v>0</v>
      </c>
      <c r="BH16" s="280">
        <v>0</v>
      </c>
      <c r="BI16" s="280">
        <v>0</v>
      </c>
      <c r="BJ16" s="280">
        <v>1854.4604361050197</v>
      </c>
      <c r="BK16" s="280">
        <v>39192.325317404757</v>
      </c>
      <c r="BL16" s="280">
        <v>31172.750437159903</v>
      </c>
      <c r="BM16" s="280">
        <v>1432.0101275189211</v>
      </c>
      <c r="BN16" s="280">
        <v>0</v>
      </c>
      <c r="BO16" s="280">
        <v>0</v>
      </c>
      <c r="BP16" s="280">
        <v>0</v>
      </c>
      <c r="BQ16" s="280">
        <v>0</v>
      </c>
      <c r="BR16" s="280">
        <v>0</v>
      </c>
      <c r="BS16" s="280">
        <v>0</v>
      </c>
      <c r="BT16" s="280">
        <v>0</v>
      </c>
      <c r="BU16" s="280">
        <v>1728086.2911928459</v>
      </c>
      <c r="BV16" s="280">
        <v>447155.663080636</v>
      </c>
      <c r="BW16" s="280">
        <v>258462.11867890132</v>
      </c>
      <c r="BX16" s="280">
        <v>255095.69168011544</v>
      </c>
      <c r="BY16" s="280">
        <v>0</v>
      </c>
      <c r="BZ16" s="280">
        <v>402628.20941295911</v>
      </c>
      <c r="CA16" s="280">
        <v>460784.41187836241</v>
      </c>
      <c r="CB16" s="280">
        <v>0</v>
      </c>
      <c r="CC16" s="280">
        <v>0</v>
      </c>
      <c r="CD16" s="280">
        <v>393755.12800576759</v>
      </c>
      <c r="CE16" s="280">
        <v>843630.38531360298</v>
      </c>
      <c r="CF16" s="280">
        <v>28384.90754304154</v>
      </c>
      <c r="CG16" s="280">
        <v>14569.420877502391</v>
      </c>
      <c r="CH16" s="280">
        <v>45609.562871113114</v>
      </c>
      <c r="CI16" s="280">
        <v>0</v>
      </c>
      <c r="CJ16" s="280">
        <v>0</v>
      </c>
      <c r="CK16" s="280">
        <v>0</v>
      </c>
      <c r="CL16" s="280">
        <v>85980.688836429981</v>
      </c>
      <c r="CM16" s="280">
        <v>0</v>
      </c>
      <c r="CN16" s="280">
        <v>0</v>
      </c>
      <c r="CO16" s="280">
        <v>0</v>
      </c>
      <c r="CP16" s="280">
        <v>0</v>
      </c>
      <c r="CQ16" s="280">
        <v>0</v>
      </c>
      <c r="CR16" s="280">
        <v>0</v>
      </c>
      <c r="CS16" s="280">
        <v>0</v>
      </c>
      <c r="CT16" s="280">
        <v>0</v>
      </c>
      <c r="CU16" s="280">
        <v>0</v>
      </c>
      <c r="CV16" s="280">
        <v>0</v>
      </c>
      <c r="CW16" s="280">
        <v>0</v>
      </c>
      <c r="CX16" s="280">
        <v>0</v>
      </c>
      <c r="CY16" s="280">
        <v>0</v>
      </c>
      <c r="CZ16" s="280">
        <v>0</v>
      </c>
      <c r="DA16" s="280">
        <v>4682.0924678382917</v>
      </c>
      <c r="DB16" s="280">
        <v>1243.8422788485341</v>
      </c>
      <c r="DC16" s="280">
        <v>1063.6498946819986</v>
      </c>
      <c r="DD16" s="280">
        <v>57.716580350445348</v>
      </c>
      <c r="DE16" s="280">
        <v>2832.0349532766049</v>
      </c>
      <c r="DF16" s="280">
        <v>2323.4557100115567</v>
      </c>
      <c r="DG16" s="280">
        <v>0</v>
      </c>
      <c r="DH16" s="280">
        <v>0</v>
      </c>
      <c r="DI16" s="280">
        <v>0</v>
      </c>
      <c r="DJ16" s="280">
        <v>0</v>
      </c>
      <c r="DK16" s="280">
        <v>0</v>
      </c>
      <c r="DL16" s="280">
        <v>0</v>
      </c>
      <c r="DM16" s="280">
        <v>0</v>
      </c>
      <c r="DN16" s="280">
        <v>0</v>
      </c>
      <c r="DO16" s="280">
        <v>0</v>
      </c>
      <c r="DP16" s="280">
        <v>0</v>
      </c>
      <c r="DQ16" s="280">
        <v>0</v>
      </c>
      <c r="DR16" s="280">
        <v>0</v>
      </c>
      <c r="DS16" s="280">
        <v>0</v>
      </c>
      <c r="DT16" s="280">
        <v>0</v>
      </c>
      <c r="DU16" s="280">
        <v>0</v>
      </c>
      <c r="DV16" s="280">
        <v>0</v>
      </c>
      <c r="DW16" s="280">
        <v>0</v>
      </c>
      <c r="DX16" s="280">
        <v>0</v>
      </c>
      <c r="DY16" s="280">
        <v>0</v>
      </c>
      <c r="DZ16" s="280">
        <v>0</v>
      </c>
      <c r="EG16" s="280" t="str">
        <f>VLOOKUP(B16,'2022. tervsor'!C:D,2,0)</f>
        <v>Egyéb szakmai anyagbeszerzés</v>
      </c>
    </row>
    <row r="17" spans="1:137" x14ac:dyDescent="0.3">
      <c r="B17" s="581">
        <v>75</v>
      </c>
      <c r="C17" s="280">
        <v>0</v>
      </c>
      <c r="D17" s="280">
        <v>0</v>
      </c>
      <c r="E17" s="280">
        <v>0</v>
      </c>
      <c r="F17" s="280">
        <v>0</v>
      </c>
      <c r="G17" s="280">
        <v>0</v>
      </c>
      <c r="H17" s="280">
        <v>0</v>
      </c>
      <c r="I17" s="280">
        <v>0</v>
      </c>
      <c r="J17" s="280">
        <v>0</v>
      </c>
      <c r="K17" s="280">
        <v>0</v>
      </c>
      <c r="L17" s="280">
        <v>0</v>
      </c>
      <c r="M17" s="280">
        <v>0</v>
      </c>
      <c r="N17" s="280">
        <v>0</v>
      </c>
      <c r="O17" s="280">
        <v>0</v>
      </c>
      <c r="P17" s="280">
        <v>0</v>
      </c>
      <c r="Q17" s="280">
        <v>0</v>
      </c>
      <c r="R17" s="280">
        <v>0</v>
      </c>
      <c r="S17" s="280">
        <v>0</v>
      </c>
      <c r="T17" s="280">
        <v>0</v>
      </c>
      <c r="U17" s="280">
        <v>0</v>
      </c>
      <c r="V17" s="280">
        <v>0</v>
      </c>
      <c r="W17" s="280">
        <v>0</v>
      </c>
      <c r="X17" s="280">
        <v>0</v>
      </c>
      <c r="Y17" s="280">
        <v>0</v>
      </c>
      <c r="Z17" s="280">
        <v>0</v>
      </c>
      <c r="AA17" s="280">
        <v>0</v>
      </c>
      <c r="AB17" s="280">
        <v>0</v>
      </c>
      <c r="AC17" s="280">
        <v>0</v>
      </c>
      <c r="AD17" s="280">
        <v>0</v>
      </c>
      <c r="AE17" s="280">
        <v>0</v>
      </c>
      <c r="AF17" s="280">
        <v>0</v>
      </c>
      <c r="AG17" s="280">
        <v>0</v>
      </c>
      <c r="AH17" s="280">
        <v>0</v>
      </c>
      <c r="AI17" s="280">
        <v>0</v>
      </c>
      <c r="AJ17" s="280">
        <v>0</v>
      </c>
      <c r="AK17" s="280">
        <v>0</v>
      </c>
      <c r="AL17" s="280">
        <v>0</v>
      </c>
      <c r="AM17" s="280">
        <v>0</v>
      </c>
      <c r="AN17" s="280">
        <v>0</v>
      </c>
      <c r="AO17" s="280">
        <v>0</v>
      </c>
      <c r="AP17" s="280">
        <v>0</v>
      </c>
      <c r="AQ17" s="280">
        <v>0</v>
      </c>
      <c r="AR17" s="280">
        <v>0</v>
      </c>
      <c r="AS17" s="280">
        <v>0</v>
      </c>
      <c r="AT17" s="280">
        <v>0</v>
      </c>
      <c r="AU17" s="280">
        <v>0</v>
      </c>
      <c r="AV17" s="280">
        <v>0</v>
      </c>
      <c r="AW17" s="280">
        <v>0</v>
      </c>
      <c r="AX17" s="280">
        <v>0</v>
      </c>
      <c r="AY17" s="280">
        <v>0</v>
      </c>
      <c r="AZ17" s="280">
        <v>0</v>
      </c>
      <c r="BA17" s="280">
        <v>0</v>
      </c>
      <c r="BB17" s="280">
        <v>0</v>
      </c>
      <c r="BC17" s="280">
        <v>0</v>
      </c>
      <c r="BD17" s="280">
        <v>0</v>
      </c>
      <c r="BE17" s="280">
        <v>0</v>
      </c>
      <c r="BF17" s="280">
        <v>0</v>
      </c>
      <c r="BG17" s="280">
        <v>0</v>
      </c>
      <c r="BH17" s="280">
        <v>0</v>
      </c>
      <c r="BI17" s="280">
        <v>0</v>
      </c>
      <c r="BJ17" s="280">
        <v>0</v>
      </c>
      <c r="BK17" s="280">
        <v>0</v>
      </c>
      <c r="BL17" s="280">
        <v>0</v>
      </c>
      <c r="BM17" s="280">
        <v>0</v>
      </c>
      <c r="BN17" s="280">
        <v>0</v>
      </c>
      <c r="BO17" s="280">
        <v>0</v>
      </c>
      <c r="BP17" s="280">
        <v>0</v>
      </c>
      <c r="BQ17" s="280">
        <v>0</v>
      </c>
      <c r="BR17" s="280">
        <v>0</v>
      </c>
      <c r="BS17" s="280">
        <v>0</v>
      </c>
      <c r="BT17" s="280">
        <v>0</v>
      </c>
      <c r="BU17" s="280">
        <v>0</v>
      </c>
      <c r="BV17" s="280">
        <v>0</v>
      </c>
      <c r="BW17" s="280">
        <v>0</v>
      </c>
      <c r="BX17" s="280">
        <v>0</v>
      </c>
      <c r="BY17" s="280">
        <v>0</v>
      </c>
      <c r="BZ17" s="280">
        <v>0</v>
      </c>
      <c r="CA17" s="280">
        <v>0</v>
      </c>
      <c r="CB17" s="280">
        <v>0</v>
      </c>
      <c r="CC17" s="280">
        <v>0</v>
      </c>
      <c r="CD17" s="280">
        <v>0</v>
      </c>
      <c r="CE17" s="280">
        <v>0</v>
      </c>
      <c r="CF17" s="280">
        <v>0</v>
      </c>
      <c r="CG17" s="280">
        <v>0</v>
      </c>
      <c r="CH17" s="280">
        <v>0</v>
      </c>
      <c r="CI17" s="280">
        <v>0</v>
      </c>
      <c r="CJ17" s="280">
        <v>0</v>
      </c>
      <c r="CK17" s="280">
        <v>0</v>
      </c>
      <c r="CL17" s="280">
        <v>59111.723575045617</v>
      </c>
      <c r="CM17" s="280">
        <v>0</v>
      </c>
      <c r="CN17" s="280">
        <v>0</v>
      </c>
      <c r="CO17" s="280">
        <v>0</v>
      </c>
      <c r="CP17" s="280">
        <v>0</v>
      </c>
      <c r="CQ17" s="280">
        <v>0</v>
      </c>
      <c r="CR17" s="280">
        <v>0</v>
      </c>
      <c r="CS17" s="280">
        <v>0</v>
      </c>
      <c r="CT17" s="280">
        <v>0</v>
      </c>
      <c r="CU17" s="280">
        <v>0</v>
      </c>
      <c r="CV17" s="280">
        <v>0</v>
      </c>
      <c r="CW17" s="280">
        <v>0</v>
      </c>
      <c r="CX17" s="280">
        <v>0</v>
      </c>
      <c r="CY17" s="280">
        <v>0</v>
      </c>
      <c r="CZ17" s="280">
        <v>0</v>
      </c>
      <c r="DA17" s="280">
        <v>0</v>
      </c>
      <c r="DB17" s="280">
        <v>0</v>
      </c>
      <c r="DC17" s="280">
        <v>0</v>
      </c>
      <c r="DD17" s="280">
        <v>0</v>
      </c>
      <c r="DE17" s="280">
        <v>0</v>
      </c>
      <c r="DF17" s="280">
        <v>0</v>
      </c>
      <c r="DG17" s="280">
        <v>0</v>
      </c>
      <c r="DH17" s="280">
        <v>0</v>
      </c>
      <c r="DI17" s="280">
        <v>0</v>
      </c>
      <c r="DJ17" s="280">
        <v>0</v>
      </c>
      <c r="DK17" s="280">
        <v>0</v>
      </c>
      <c r="DL17" s="280">
        <v>0</v>
      </c>
      <c r="DM17" s="280">
        <v>0</v>
      </c>
      <c r="DN17" s="280">
        <v>0</v>
      </c>
      <c r="DO17" s="280">
        <v>0</v>
      </c>
      <c r="DP17" s="280">
        <v>0</v>
      </c>
      <c r="DQ17" s="280">
        <v>0</v>
      </c>
      <c r="DR17" s="280">
        <v>0</v>
      </c>
      <c r="DS17" s="280">
        <v>0</v>
      </c>
      <c r="DT17" s="280">
        <v>0</v>
      </c>
      <c r="DU17" s="280">
        <v>0</v>
      </c>
      <c r="DV17" s="280">
        <v>0</v>
      </c>
      <c r="DW17" s="280">
        <v>0</v>
      </c>
      <c r="DX17" s="280">
        <v>0</v>
      </c>
      <c r="DY17" s="280">
        <v>0</v>
      </c>
      <c r="DZ17" s="280">
        <v>0</v>
      </c>
      <c r="EG17" s="280" t="str">
        <f>VLOOKUP(B17,'2022. tervsor'!C:D,2,0)</f>
        <v>Hajtó- és kenőanyag beszerzése</v>
      </c>
    </row>
    <row r="18" spans="1:137" s="280" customFormat="1" x14ac:dyDescent="0.3">
      <c r="A18" s="581"/>
      <c r="B18" s="581">
        <v>76</v>
      </c>
      <c r="C18" s="280">
        <v>0</v>
      </c>
      <c r="D18" s="280">
        <v>0</v>
      </c>
      <c r="E18" s="280">
        <v>0</v>
      </c>
      <c r="F18" s="280">
        <v>0</v>
      </c>
      <c r="G18" s="280">
        <v>0</v>
      </c>
      <c r="H18" s="280">
        <v>0</v>
      </c>
      <c r="I18" s="280">
        <v>0</v>
      </c>
      <c r="J18" s="280">
        <v>0</v>
      </c>
      <c r="K18" s="280">
        <v>0</v>
      </c>
      <c r="L18" s="280">
        <v>0</v>
      </c>
      <c r="M18" s="280">
        <v>0</v>
      </c>
      <c r="N18" s="280">
        <v>0</v>
      </c>
      <c r="O18" s="280">
        <v>0</v>
      </c>
      <c r="P18" s="280">
        <v>0</v>
      </c>
      <c r="Q18" s="280">
        <v>0</v>
      </c>
      <c r="R18" s="280">
        <v>0</v>
      </c>
      <c r="S18" s="280">
        <v>0</v>
      </c>
      <c r="T18" s="280">
        <v>0</v>
      </c>
      <c r="U18" s="280">
        <v>0</v>
      </c>
      <c r="V18" s="280">
        <v>0</v>
      </c>
      <c r="W18" s="280">
        <v>0</v>
      </c>
      <c r="X18" s="280">
        <v>0</v>
      </c>
      <c r="Y18" s="280">
        <v>0</v>
      </c>
      <c r="Z18" s="280">
        <v>0</v>
      </c>
      <c r="AA18" s="280">
        <v>0</v>
      </c>
      <c r="AB18" s="280">
        <v>0</v>
      </c>
      <c r="AC18" s="280">
        <v>0</v>
      </c>
      <c r="AD18" s="280">
        <v>0</v>
      </c>
      <c r="AE18" s="280">
        <v>0</v>
      </c>
      <c r="AF18" s="280">
        <v>0</v>
      </c>
      <c r="AG18" s="280">
        <v>0</v>
      </c>
      <c r="AH18" s="280">
        <v>0</v>
      </c>
      <c r="AI18" s="280">
        <v>0</v>
      </c>
      <c r="AJ18" s="280">
        <v>0</v>
      </c>
      <c r="AK18" s="280">
        <v>0</v>
      </c>
      <c r="AL18" s="280">
        <v>0</v>
      </c>
      <c r="AM18" s="280">
        <v>0</v>
      </c>
      <c r="AN18" s="280">
        <v>0</v>
      </c>
      <c r="AO18" s="280">
        <v>0</v>
      </c>
      <c r="AP18" s="280">
        <v>0</v>
      </c>
      <c r="AQ18" s="280">
        <v>0</v>
      </c>
      <c r="AR18" s="280">
        <v>0</v>
      </c>
      <c r="AS18" s="280">
        <v>0</v>
      </c>
      <c r="AT18" s="280">
        <v>0</v>
      </c>
      <c r="AU18" s="280">
        <v>0</v>
      </c>
      <c r="AV18" s="280">
        <v>0</v>
      </c>
      <c r="AW18" s="280">
        <v>0</v>
      </c>
      <c r="AX18" s="280">
        <v>0</v>
      </c>
      <c r="AY18" s="280">
        <v>0</v>
      </c>
      <c r="AZ18" s="280">
        <v>0</v>
      </c>
      <c r="BA18" s="280">
        <v>0</v>
      </c>
      <c r="BB18" s="280">
        <v>0</v>
      </c>
      <c r="BC18" s="280">
        <v>0</v>
      </c>
      <c r="BD18" s="280">
        <v>0</v>
      </c>
      <c r="BE18" s="280">
        <v>0</v>
      </c>
      <c r="BF18" s="280">
        <v>0</v>
      </c>
      <c r="BG18" s="280">
        <v>0</v>
      </c>
      <c r="BH18" s="280">
        <v>0</v>
      </c>
      <c r="BI18" s="280">
        <v>0</v>
      </c>
      <c r="BJ18" s="280">
        <v>0</v>
      </c>
      <c r="BK18" s="280">
        <v>0</v>
      </c>
      <c r="BL18" s="280">
        <v>0</v>
      </c>
      <c r="BM18" s="280">
        <v>0</v>
      </c>
      <c r="BN18" s="280">
        <v>0</v>
      </c>
      <c r="BO18" s="280">
        <v>0</v>
      </c>
      <c r="BP18" s="280">
        <v>0</v>
      </c>
      <c r="BQ18" s="280">
        <v>0</v>
      </c>
      <c r="BR18" s="280">
        <v>0</v>
      </c>
      <c r="BS18" s="280">
        <v>0</v>
      </c>
      <c r="BT18" s="280">
        <v>0</v>
      </c>
      <c r="BU18" s="280">
        <v>0</v>
      </c>
      <c r="BV18" s="280">
        <v>19163.814132027259</v>
      </c>
      <c r="BW18" s="280">
        <v>13757.742300154434</v>
      </c>
      <c r="BX18" s="280">
        <v>20978.264118430547</v>
      </c>
      <c r="BY18" s="280">
        <v>0</v>
      </c>
      <c r="BZ18" s="280">
        <v>0</v>
      </c>
      <c r="CA18" s="280">
        <v>0</v>
      </c>
      <c r="CB18" s="280">
        <v>0</v>
      </c>
      <c r="CC18" s="280">
        <v>0</v>
      </c>
      <c r="CD18" s="280">
        <v>0</v>
      </c>
      <c r="CE18" s="280">
        <v>0</v>
      </c>
      <c r="CF18" s="280">
        <v>0</v>
      </c>
      <c r="CG18" s="280">
        <v>0</v>
      </c>
      <c r="CH18" s="280">
        <v>0</v>
      </c>
      <c r="CI18" s="280">
        <v>0</v>
      </c>
      <c r="CJ18" s="280">
        <v>0</v>
      </c>
      <c r="CK18" s="280">
        <v>0</v>
      </c>
      <c r="CL18" s="280">
        <v>0</v>
      </c>
      <c r="CM18" s="280">
        <v>0</v>
      </c>
      <c r="CN18" s="280">
        <v>0</v>
      </c>
      <c r="CO18" s="280">
        <v>0</v>
      </c>
      <c r="CP18" s="280">
        <v>0</v>
      </c>
      <c r="CQ18" s="280">
        <v>0</v>
      </c>
      <c r="CR18" s="280">
        <v>0</v>
      </c>
      <c r="CS18" s="280">
        <v>0</v>
      </c>
      <c r="CT18" s="280">
        <v>0</v>
      </c>
      <c r="CU18" s="280">
        <v>0</v>
      </c>
      <c r="CV18" s="280">
        <v>0</v>
      </c>
      <c r="CW18" s="280">
        <v>0</v>
      </c>
      <c r="CX18" s="280">
        <v>0</v>
      </c>
      <c r="CY18" s="280">
        <v>0</v>
      </c>
      <c r="CZ18" s="280">
        <v>0</v>
      </c>
      <c r="DA18" s="280">
        <v>0</v>
      </c>
      <c r="DB18" s="280">
        <v>0</v>
      </c>
      <c r="DC18" s="280">
        <v>0</v>
      </c>
      <c r="DD18" s="280">
        <v>0</v>
      </c>
      <c r="DE18" s="280">
        <v>0</v>
      </c>
      <c r="DF18" s="280">
        <v>0</v>
      </c>
      <c r="DG18" s="280">
        <v>0</v>
      </c>
      <c r="DH18" s="280">
        <v>0</v>
      </c>
      <c r="DI18" s="280">
        <v>0</v>
      </c>
      <c r="DJ18" s="280">
        <v>0</v>
      </c>
      <c r="DK18" s="280">
        <v>0</v>
      </c>
      <c r="DL18" s="280">
        <v>0</v>
      </c>
      <c r="DM18" s="280">
        <v>0</v>
      </c>
      <c r="DN18" s="280">
        <v>0</v>
      </c>
      <c r="DO18" s="280">
        <v>0</v>
      </c>
      <c r="DP18" s="280">
        <v>0</v>
      </c>
      <c r="DQ18" s="280">
        <v>0</v>
      </c>
      <c r="DR18" s="280">
        <v>0</v>
      </c>
      <c r="DS18" s="280">
        <v>0</v>
      </c>
      <c r="DT18" s="280">
        <v>0</v>
      </c>
      <c r="DU18" s="280">
        <v>0</v>
      </c>
      <c r="DV18" s="280">
        <v>0</v>
      </c>
      <c r="DW18" s="280">
        <v>0</v>
      </c>
      <c r="DX18" s="280">
        <v>0</v>
      </c>
      <c r="DY18" s="280">
        <v>0</v>
      </c>
      <c r="DZ18" s="280">
        <v>0</v>
      </c>
      <c r="EG18" s="280" t="str">
        <f>VLOOKUP(B18,'2022. tervsor'!C:D,2,0)</f>
        <v>Munka-. védő- és formaruha beszerzés</v>
      </c>
    </row>
    <row r="19" spans="1:137" s="280" customFormat="1" x14ac:dyDescent="0.3">
      <c r="A19" s="581"/>
      <c r="B19" s="581">
        <v>77</v>
      </c>
      <c r="C19" s="280">
        <v>0</v>
      </c>
      <c r="D19" s="280">
        <v>0</v>
      </c>
      <c r="E19" s="280">
        <v>0</v>
      </c>
      <c r="F19" s="280">
        <v>0</v>
      </c>
      <c r="G19" s="280">
        <v>0</v>
      </c>
      <c r="H19" s="280">
        <v>0</v>
      </c>
      <c r="I19" s="280">
        <v>0</v>
      </c>
      <c r="J19" s="280">
        <v>0</v>
      </c>
      <c r="K19" s="280">
        <v>0</v>
      </c>
      <c r="L19" s="280">
        <v>0</v>
      </c>
      <c r="M19" s="280">
        <v>0</v>
      </c>
      <c r="N19" s="280">
        <v>0</v>
      </c>
      <c r="O19" s="280">
        <v>0</v>
      </c>
      <c r="P19" s="280">
        <v>0</v>
      </c>
      <c r="Q19" s="280">
        <v>0</v>
      </c>
      <c r="R19" s="280">
        <v>0</v>
      </c>
      <c r="S19" s="280">
        <v>0</v>
      </c>
      <c r="T19" s="280">
        <v>0</v>
      </c>
      <c r="U19" s="280">
        <v>0</v>
      </c>
      <c r="V19" s="280">
        <v>0</v>
      </c>
      <c r="W19" s="280">
        <v>0</v>
      </c>
      <c r="X19" s="280">
        <v>0</v>
      </c>
      <c r="Y19" s="280">
        <v>0</v>
      </c>
      <c r="Z19" s="280">
        <v>0</v>
      </c>
      <c r="AA19" s="280">
        <v>0</v>
      </c>
      <c r="AB19" s="280">
        <v>0</v>
      </c>
      <c r="AC19" s="280">
        <v>0</v>
      </c>
      <c r="AD19" s="280">
        <v>0</v>
      </c>
      <c r="AE19" s="280">
        <v>0</v>
      </c>
      <c r="AF19" s="280">
        <v>0</v>
      </c>
      <c r="AG19" s="280">
        <v>0</v>
      </c>
      <c r="AH19" s="280">
        <v>0</v>
      </c>
      <c r="AI19" s="280">
        <v>0</v>
      </c>
      <c r="AJ19" s="280">
        <v>0</v>
      </c>
      <c r="AK19" s="280">
        <v>0</v>
      </c>
      <c r="AL19" s="280">
        <v>0</v>
      </c>
      <c r="AM19" s="280">
        <v>0</v>
      </c>
      <c r="AN19" s="280">
        <v>0</v>
      </c>
      <c r="AO19" s="280">
        <v>0</v>
      </c>
      <c r="AP19" s="280">
        <v>0</v>
      </c>
      <c r="AQ19" s="280">
        <v>0</v>
      </c>
      <c r="AR19" s="280">
        <v>0</v>
      </c>
      <c r="AS19" s="280">
        <v>0</v>
      </c>
      <c r="AT19" s="280">
        <v>0</v>
      </c>
      <c r="AU19" s="280">
        <v>0</v>
      </c>
      <c r="AV19" s="280">
        <v>0</v>
      </c>
      <c r="AW19" s="280">
        <v>0</v>
      </c>
      <c r="AX19" s="280">
        <v>0</v>
      </c>
      <c r="AY19" s="280">
        <v>0</v>
      </c>
      <c r="AZ19" s="280">
        <v>0</v>
      </c>
      <c r="BA19" s="280">
        <v>0</v>
      </c>
      <c r="BB19" s="280">
        <v>0</v>
      </c>
      <c r="BC19" s="280">
        <v>0</v>
      </c>
      <c r="BD19" s="280">
        <v>0</v>
      </c>
      <c r="BE19" s="280">
        <v>0</v>
      </c>
      <c r="BF19" s="280">
        <v>0</v>
      </c>
      <c r="BG19" s="280">
        <v>0</v>
      </c>
      <c r="BH19" s="280">
        <v>0</v>
      </c>
      <c r="BI19" s="280">
        <v>0</v>
      </c>
      <c r="BJ19" s="280">
        <v>0</v>
      </c>
      <c r="BK19" s="280">
        <v>0</v>
      </c>
      <c r="BL19" s="280">
        <v>0</v>
      </c>
      <c r="BM19" s="280">
        <v>0</v>
      </c>
      <c r="BN19" s="280">
        <v>0</v>
      </c>
      <c r="BO19" s="280">
        <v>0</v>
      </c>
      <c r="BP19" s="280">
        <v>0</v>
      </c>
      <c r="BQ19" s="280">
        <v>0</v>
      </c>
      <c r="BR19" s="280">
        <v>0</v>
      </c>
      <c r="BS19" s="280">
        <v>0</v>
      </c>
      <c r="BT19" s="280">
        <v>0</v>
      </c>
      <c r="BU19" s="280">
        <v>0</v>
      </c>
      <c r="BV19" s="280">
        <v>223577.831540318</v>
      </c>
      <c r="BW19" s="280">
        <v>298084.41650334612</v>
      </c>
      <c r="BX19" s="280">
        <v>105730.45115688995</v>
      </c>
      <c r="BY19" s="280">
        <v>0</v>
      </c>
      <c r="BZ19" s="280">
        <v>0</v>
      </c>
      <c r="CA19" s="280">
        <v>0</v>
      </c>
      <c r="CB19" s="280">
        <v>23346.53336050524</v>
      </c>
      <c r="CC19" s="280">
        <v>0</v>
      </c>
      <c r="CD19" s="280">
        <v>0</v>
      </c>
      <c r="CE19" s="280">
        <v>0</v>
      </c>
      <c r="CF19" s="280">
        <v>0</v>
      </c>
      <c r="CG19" s="280">
        <v>0</v>
      </c>
      <c r="CH19" s="280">
        <v>0</v>
      </c>
      <c r="CI19" s="280">
        <v>0</v>
      </c>
      <c r="CJ19" s="280">
        <v>0</v>
      </c>
      <c r="CK19" s="280">
        <v>0</v>
      </c>
      <c r="CL19" s="280">
        <v>257942.06650929002</v>
      </c>
      <c r="CM19" s="280">
        <v>0</v>
      </c>
      <c r="CN19" s="280">
        <v>0</v>
      </c>
      <c r="CO19" s="280">
        <v>0</v>
      </c>
      <c r="CP19" s="280">
        <v>0</v>
      </c>
      <c r="CQ19" s="280">
        <v>0</v>
      </c>
      <c r="CR19" s="280">
        <v>0</v>
      </c>
      <c r="CS19" s="280">
        <v>0</v>
      </c>
      <c r="CT19" s="280">
        <v>0</v>
      </c>
      <c r="CU19" s="280">
        <v>0</v>
      </c>
      <c r="CV19" s="280">
        <v>0</v>
      </c>
      <c r="CW19" s="280">
        <v>0</v>
      </c>
      <c r="CX19" s="280">
        <v>0</v>
      </c>
      <c r="CY19" s="280">
        <v>51156.567399047068</v>
      </c>
      <c r="CZ19" s="280">
        <v>0</v>
      </c>
      <c r="DA19" s="280">
        <v>0</v>
      </c>
      <c r="DB19" s="280">
        <v>0</v>
      </c>
      <c r="DC19" s="280">
        <v>0</v>
      </c>
      <c r="DD19" s="280">
        <v>0</v>
      </c>
      <c r="DE19" s="280">
        <v>0</v>
      </c>
      <c r="DF19" s="280">
        <v>0</v>
      </c>
      <c r="DG19" s="280">
        <v>0</v>
      </c>
      <c r="DH19" s="280">
        <v>0</v>
      </c>
      <c r="DI19" s="280">
        <v>0</v>
      </c>
      <c r="DJ19" s="280">
        <v>0</v>
      </c>
      <c r="DK19" s="280">
        <v>0</v>
      </c>
      <c r="DL19" s="280">
        <v>0</v>
      </c>
      <c r="DM19" s="280">
        <v>0</v>
      </c>
      <c r="DN19" s="280">
        <v>0</v>
      </c>
      <c r="DO19" s="280">
        <v>0</v>
      </c>
      <c r="DP19" s="280">
        <v>0</v>
      </c>
      <c r="DQ19" s="280">
        <v>0</v>
      </c>
      <c r="DR19" s="280">
        <v>0</v>
      </c>
      <c r="DS19" s="280">
        <v>0</v>
      </c>
      <c r="DT19" s="280">
        <v>0</v>
      </c>
      <c r="DU19" s="280">
        <v>0</v>
      </c>
      <c r="DV19" s="280">
        <v>0</v>
      </c>
      <c r="DW19" s="280">
        <v>0</v>
      </c>
      <c r="DX19" s="280">
        <v>0</v>
      </c>
      <c r="DY19" s="280">
        <v>0</v>
      </c>
      <c r="DZ19" s="280">
        <v>0</v>
      </c>
      <c r="EG19" s="280" t="str">
        <f>VLOOKUP(B19,'2022. tervsor'!C:D,2,0)</f>
        <v>Karbantartási anyagok. alkatrészek.szerszámok beszerz</v>
      </c>
    </row>
    <row r="20" spans="1:137" s="280" customFormat="1" x14ac:dyDescent="0.3">
      <c r="A20" s="581"/>
      <c r="B20" s="581">
        <v>79</v>
      </c>
      <c r="C20" s="280">
        <v>0</v>
      </c>
      <c r="D20" s="280">
        <v>19000.540843202201</v>
      </c>
      <c r="E20" s="280">
        <v>1525.6986848235781</v>
      </c>
      <c r="F20" s="280">
        <v>608.37084264240934</v>
      </c>
      <c r="G20" s="280">
        <v>23874.839702509133</v>
      </c>
      <c r="H20" s="280">
        <v>11369.568681078779</v>
      </c>
      <c r="I20" s="280">
        <v>118.76946355675371</v>
      </c>
      <c r="J20" s="280">
        <v>433.66427438932163</v>
      </c>
      <c r="K20" s="280">
        <v>787.71041889551225</v>
      </c>
      <c r="L20" s="280">
        <v>3538.9165062750144</v>
      </c>
      <c r="M20" s="280">
        <v>87736.33601820629</v>
      </c>
      <c r="N20" s="280">
        <v>43559.021364008673</v>
      </c>
      <c r="O20" s="280">
        <v>1773.7849830790562</v>
      </c>
      <c r="P20" s="280">
        <v>9731.4436582902454</v>
      </c>
      <c r="Q20" s="280">
        <v>398687.52643386286</v>
      </c>
      <c r="R20" s="280">
        <v>10662.080766184052</v>
      </c>
      <c r="S20" s="280">
        <v>27761.783889456488</v>
      </c>
      <c r="T20" s="280">
        <v>50243.200049093582</v>
      </c>
      <c r="U20" s="280">
        <v>6355.1440605900389</v>
      </c>
      <c r="V20" s="280">
        <v>25600.497823806814</v>
      </c>
      <c r="W20" s="280">
        <v>3208.6098342360838</v>
      </c>
      <c r="X20" s="280">
        <v>10309641.926335175</v>
      </c>
      <c r="Y20" s="280">
        <v>66221.369078339441</v>
      </c>
      <c r="Z20" s="280">
        <v>60715.895393362371</v>
      </c>
      <c r="AA20" s="280">
        <v>243638.73070366695</v>
      </c>
      <c r="AB20" s="280">
        <v>0</v>
      </c>
      <c r="AC20" s="280">
        <v>36365.586624494397</v>
      </c>
      <c r="AD20" s="280">
        <v>0</v>
      </c>
      <c r="AE20" s="280">
        <v>0</v>
      </c>
      <c r="AF20" s="280">
        <v>0</v>
      </c>
      <c r="AG20" s="280">
        <v>0</v>
      </c>
      <c r="AH20" s="280">
        <v>0</v>
      </c>
      <c r="AI20" s="280">
        <v>0</v>
      </c>
      <c r="AJ20" s="280">
        <v>0</v>
      </c>
      <c r="AK20" s="280">
        <v>0</v>
      </c>
      <c r="AL20" s="280">
        <v>0</v>
      </c>
      <c r="AM20" s="280">
        <v>0</v>
      </c>
      <c r="AN20" s="280">
        <v>122904.29914786795</v>
      </c>
      <c r="AO20" s="280">
        <v>0</v>
      </c>
      <c r="AP20" s="280">
        <v>0</v>
      </c>
      <c r="AQ20" s="280">
        <v>64434.062483365968</v>
      </c>
      <c r="AR20" s="280">
        <v>0</v>
      </c>
      <c r="AS20" s="280">
        <v>0</v>
      </c>
      <c r="AT20" s="280">
        <v>0</v>
      </c>
      <c r="AU20" s="280">
        <v>39084.662528990353</v>
      </c>
      <c r="AV20" s="280">
        <v>110163.98129657037</v>
      </c>
      <c r="AW20" s="280">
        <v>2228101.4420300014</v>
      </c>
      <c r="AX20" s="280">
        <v>471077.75220946572</v>
      </c>
      <c r="AY20" s="280">
        <v>176458.82228852806</v>
      </c>
      <c r="AZ20" s="280">
        <v>32008.496231819958</v>
      </c>
      <c r="BA20" s="280">
        <v>0</v>
      </c>
      <c r="BB20" s="280">
        <v>2486.3561887682094</v>
      </c>
      <c r="BC20" s="280">
        <v>15669.425247081155</v>
      </c>
      <c r="BD20" s="280">
        <v>0</v>
      </c>
      <c r="BE20" s="280">
        <v>0</v>
      </c>
      <c r="BF20" s="280">
        <v>0</v>
      </c>
      <c r="BG20" s="280">
        <v>0</v>
      </c>
      <c r="BH20" s="280">
        <v>0</v>
      </c>
      <c r="BI20" s="280">
        <v>60702.800246077008</v>
      </c>
      <c r="BJ20" s="280">
        <v>4636.1510902625496</v>
      </c>
      <c r="BK20" s="280">
        <v>97980.813293511907</v>
      </c>
      <c r="BL20" s="280">
        <v>77931.876092899751</v>
      </c>
      <c r="BM20" s="280">
        <v>3580.025318797304</v>
      </c>
      <c r="BN20" s="280">
        <v>225833.28459857107</v>
      </c>
      <c r="BO20" s="280">
        <v>3082.0726485315386</v>
      </c>
      <c r="BP20" s="280">
        <v>128652.88796229645</v>
      </c>
      <c r="BQ20" s="280">
        <v>40831.269497676331</v>
      </c>
      <c r="BR20" s="280">
        <v>3628.6176503248507</v>
      </c>
      <c r="BS20" s="280">
        <v>8280.0851260345153</v>
      </c>
      <c r="BT20" s="280">
        <v>1920.6117871591414</v>
      </c>
      <c r="BU20" s="280">
        <v>108005.39319955287</v>
      </c>
      <c r="BV20" s="280">
        <v>103229.07879118684</v>
      </c>
      <c r="BW20" s="280">
        <v>64569.670528724819</v>
      </c>
      <c r="BX20" s="280">
        <v>98457.986262500694</v>
      </c>
      <c r="BY20" s="280">
        <v>132916.81761321842</v>
      </c>
      <c r="BZ20" s="280">
        <v>92914.202172221325</v>
      </c>
      <c r="CA20" s="280">
        <v>0</v>
      </c>
      <c r="CB20" s="280">
        <v>31128.711147340324</v>
      </c>
      <c r="CC20" s="280">
        <v>0</v>
      </c>
      <c r="CD20" s="280">
        <v>43750.56977841862</v>
      </c>
      <c r="CE20" s="280">
        <v>0</v>
      </c>
      <c r="CF20" s="280">
        <v>24329.920751178459</v>
      </c>
      <c r="CG20" s="280">
        <v>12488.075037859193</v>
      </c>
      <c r="CH20" s="280">
        <v>39093.911032382668</v>
      </c>
      <c r="CI20" s="280">
        <v>0</v>
      </c>
      <c r="CJ20" s="280">
        <v>0</v>
      </c>
      <c r="CK20" s="280">
        <v>0</v>
      </c>
      <c r="CL20" s="280">
        <v>5168.5141576798978</v>
      </c>
      <c r="CM20" s="280">
        <v>191103.29417114251</v>
      </c>
      <c r="CN20" s="280">
        <v>8329.7784085907369</v>
      </c>
      <c r="CO20" s="280">
        <v>21037.684118483689</v>
      </c>
      <c r="CP20" s="280">
        <v>78442.110526382923</v>
      </c>
      <c r="CQ20" s="280">
        <v>21516.471472079091</v>
      </c>
      <c r="CR20" s="280">
        <v>36554.613700066366</v>
      </c>
      <c r="CS20" s="280">
        <v>31708.999655263367</v>
      </c>
      <c r="CT20" s="280">
        <v>17542.655704101282</v>
      </c>
      <c r="CU20" s="280">
        <v>7875.0234852838685</v>
      </c>
      <c r="CV20" s="280">
        <v>9718.3826304782069</v>
      </c>
      <c r="CW20" s="280">
        <v>79595.611575442803</v>
      </c>
      <c r="CX20" s="280">
        <v>0</v>
      </c>
      <c r="CY20" s="280">
        <v>20462.626959618825</v>
      </c>
      <c r="CZ20" s="280">
        <v>0</v>
      </c>
      <c r="DA20" s="280">
        <v>0</v>
      </c>
      <c r="DB20" s="280">
        <v>0</v>
      </c>
      <c r="DC20" s="280">
        <v>0</v>
      </c>
      <c r="DD20" s="280">
        <v>0</v>
      </c>
      <c r="DE20" s="280">
        <v>0</v>
      </c>
      <c r="DF20" s="280">
        <v>0</v>
      </c>
      <c r="DG20" s="280">
        <v>0</v>
      </c>
      <c r="DH20" s="280">
        <v>0</v>
      </c>
      <c r="DI20" s="280">
        <v>0</v>
      </c>
      <c r="DJ20" s="280">
        <v>0</v>
      </c>
      <c r="DK20" s="280">
        <v>0</v>
      </c>
      <c r="DL20" s="280">
        <v>0</v>
      </c>
      <c r="DM20" s="280">
        <v>0</v>
      </c>
      <c r="DN20" s="280">
        <v>0</v>
      </c>
      <c r="DO20" s="280">
        <v>0</v>
      </c>
      <c r="DP20" s="280">
        <v>0</v>
      </c>
      <c r="DQ20" s="280">
        <v>0</v>
      </c>
      <c r="DR20" s="280">
        <v>0</v>
      </c>
      <c r="DS20" s="280">
        <v>0</v>
      </c>
      <c r="DT20" s="280">
        <v>0</v>
      </c>
      <c r="DU20" s="280">
        <v>0</v>
      </c>
      <c r="DV20" s="280">
        <v>0</v>
      </c>
      <c r="DW20" s="280">
        <v>0</v>
      </c>
      <c r="DX20" s="280">
        <v>0</v>
      </c>
      <c r="DY20" s="280">
        <v>0</v>
      </c>
      <c r="DZ20" s="280">
        <v>0</v>
      </c>
      <c r="EG20" s="280" t="str">
        <f>VLOOKUP(B20,'2022. tervsor'!C:D,2,0)</f>
        <v>Tisztítószerek. tisztálkodási szerek beszerzése</v>
      </c>
    </row>
    <row r="21" spans="1:137" s="280" customFormat="1" x14ac:dyDescent="0.3">
      <c r="A21" s="581"/>
      <c r="B21" s="581">
        <v>81</v>
      </c>
      <c r="C21" s="280">
        <v>0</v>
      </c>
      <c r="D21" s="280">
        <v>0</v>
      </c>
      <c r="E21" s="280">
        <v>0</v>
      </c>
      <c r="F21" s="280">
        <v>0</v>
      </c>
      <c r="G21" s="280">
        <v>0</v>
      </c>
      <c r="H21" s="280">
        <v>0</v>
      </c>
      <c r="I21" s="280">
        <v>0</v>
      </c>
      <c r="J21" s="280">
        <v>0</v>
      </c>
      <c r="K21" s="280">
        <v>0</v>
      </c>
      <c r="L21" s="280">
        <v>0</v>
      </c>
      <c r="M21" s="280">
        <v>0</v>
      </c>
      <c r="N21" s="280">
        <v>0</v>
      </c>
      <c r="O21" s="280">
        <v>0</v>
      </c>
      <c r="P21" s="280">
        <v>0</v>
      </c>
      <c r="Q21" s="280">
        <v>0</v>
      </c>
      <c r="R21" s="280">
        <v>0</v>
      </c>
      <c r="S21" s="280">
        <v>0</v>
      </c>
      <c r="T21" s="280">
        <v>0</v>
      </c>
      <c r="U21" s="280">
        <v>0</v>
      </c>
      <c r="V21" s="280">
        <v>0</v>
      </c>
      <c r="W21" s="280">
        <v>0</v>
      </c>
      <c r="X21" s="280">
        <v>0</v>
      </c>
      <c r="Y21" s="280">
        <v>0</v>
      </c>
      <c r="Z21" s="280">
        <v>0</v>
      </c>
      <c r="AA21" s="280">
        <v>0</v>
      </c>
      <c r="AB21" s="280">
        <v>0</v>
      </c>
      <c r="AC21" s="280">
        <v>0</v>
      </c>
      <c r="AD21" s="280">
        <v>0</v>
      </c>
      <c r="AE21" s="280">
        <v>0</v>
      </c>
      <c r="AF21" s="280">
        <v>0</v>
      </c>
      <c r="AG21" s="280">
        <v>0</v>
      </c>
      <c r="AH21" s="280">
        <v>0</v>
      </c>
      <c r="AI21" s="280">
        <v>0</v>
      </c>
      <c r="AJ21" s="280">
        <v>0</v>
      </c>
      <c r="AK21" s="280">
        <v>0</v>
      </c>
      <c r="AL21" s="280">
        <v>0</v>
      </c>
      <c r="AM21" s="280">
        <v>0</v>
      </c>
      <c r="AN21" s="280">
        <v>0</v>
      </c>
      <c r="AO21" s="280">
        <v>0</v>
      </c>
      <c r="AP21" s="280">
        <v>0</v>
      </c>
      <c r="AQ21" s="280">
        <v>0</v>
      </c>
      <c r="AR21" s="280">
        <v>0</v>
      </c>
      <c r="AS21" s="280">
        <v>0</v>
      </c>
      <c r="AT21" s="280">
        <v>0</v>
      </c>
      <c r="AU21" s="280">
        <v>0</v>
      </c>
      <c r="AV21" s="280">
        <v>0</v>
      </c>
      <c r="AW21" s="280">
        <v>0</v>
      </c>
      <c r="AX21" s="280">
        <v>0</v>
      </c>
      <c r="AY21" s="280">
        <v>0</v>
      </c>
      <c r="AZ21" s="280">
        <v>0</v>
      </c>
      <c r="BA21" s="280">
        <v>0</v>
      </c>
      <c r="BB21" s="280">
        <v>0</v>
      </c>
      <c r="BC21" s="280">
        <v>0</v>
      </c>
      <c r="BD21" s="280">
        <v>0</v>
      </c>
      <c r="BE21" s="280">
        <v>0</v>
      </c>
      <c r="BF21" s="280">
        <v>0</v>
      </c>
      <c r="BG21" s="280">
        <v>0</v>
      </c>
      <c r="BH21" s="280">
        <v>0</v>
      </c>
      <c r="BI21" s="280">
        <v>0</v>
      </c>
      <c r="BJ21" s="280">
        <v>0</v>
      </c>
      <c r="BK21" s="280">
        <v>0</v>
      </c>
      <c r="BL21" s="280">
        <v>0</v>
      </c>
      <c r="BM21" s="280">
        <v>0</v>
      </c>
      <c r="BN21" s="280">
        <v>0</v>
      </c>
      <c r="BO21" s="280">
        <v>0</v>
      </c>
      <c r="BP21" s="280">
        <v>0</v>
      </c>
      <c r="BQ21" s="280">
        <v>0</v>
      </c>
      <c r="BR21" s="280">
        <v>0</v>
      </c>
      <c r="BS21" s="280">
        <v>0</v>
      </c>
      <c r="BT21" s="280">
        <v>0</v>
      </c>
      <c r="BU21" s="280">
        <v>0</v>
      </c>
      <c r="BV21" s="280">
        <v>0</v>
      </c>
      <c r="BW21" s="280">
        <v>0</v>
      </c>
      <c r="BX21" s="280">
        <v>0</v>
      </c>
      <c r="BY21" s="280">
        <v>0</v>
      </c>
      <c r="BZ21" s="280">
        <v>0</v>
      </c>
      <c r="CA21" s="280">
        <v>0</v>
      </c>
      <c r="CB21" s="280">
        <v>0</v>
      </c>
      <c r="CC21" s="280">
        <v>0</v>
      </c>
      <c r="CD21" s="280">
        <v>0</v>
      </c>
      <c r="CE21" s="280">
        <v>0</v>
      </c>
      <c r="CF21" s="280">
        <v>0</v>
      </c>
      <c r="CG21" s="280">
        <v>0</v>
      </c>
      <c r="CH21" s="280">
        <v>0</v>
      </c>
      <c r="CI21" s="280">
        <v>0</v>
      </c>
      <c r="CJ21" s="280">
        <v>0</v>
      </c>
      <c r="CK21" s="280">
        <v>0</v>
      </c>
      <c r="CL21" s="280">
        <v>0</v>
      </c>
      <c r="CM21" s="280">
        <v>0</v>
      </c>
      <c r="CN21" s="280">
        <v>0</v>
      </c>
      <c r="CO21" s="280">
        <v>0</v>
      </c>
      <c r="CP21" s="280">
        <v>0</v>
      </c>
      <c r="CQ21" s="280">
        <v>0</v>
      </c>
      <c r="CR21" s="280">
        <v>0</v>
      </c>
      <c r="CS21" s="280">
        <v>0</v>
      </c>
      <c r="CT21" s="280">
        <v>0</v>
      </c>
      <c r="CU21" s="280">
        <v>0</v>
      </c>
      <c r="CV21" s="280">
        <v>0</v>
      </c>
      <c r="CW21" s="280">
        <v>0</v>
      </c>
      <c r="CX21" s="280">
        <v>0</v>
      </c>
      <c r="CY21" s="280">
        <v>0</v>
      </c>
      <c r="CZ21" s="280">
        <v>0</v>
      </c>
      <c r="DA21" s="280">
        <v>0</v>
      </c>
      <c r="DB21" s="280">
        <v>0</v>
      </c>
      <c r="DC21" s="280">
        <v>0</v>
      </c>
      <c r="DD21" s="280">
        <v>0</v>
      </c>
      <c r="DE21" s="280">
        <v>0</v>
      </c>
      <c r="DF21" s="280">
        <v>0</v>
      </c>
      <c r="DG21" s="280">
        <v>0</v>
      </c>
      <c r="DH21" s="280">
        <v>0</v>
      </c>
      <c r="DI21" s="280">
        <v>0</v>
      </c>
      <c r="DJ21" s="280">
        <v>0</v>
      </c>
      <c r="DK21" s="280">
        <v>0</v>
      </c>
      <c r="DL21" s="280">
        <v>0</v>
      </c>
      <c r="DM21" s="280">
        <v>0</v>
      </c>
      <c r="DN21" s="280">
        <v>0</v>
      </c>
      <c r="DO21" s="280">
        <v>0</v>
      </c>
      <c r="DP21" s="280">
        <v>0</v>
      </c>
      <c r="DQ21" s="280">
        <v>0</v>
      </c>
      <c r="DR21" s="280">
        <v>0</v>
      </c>
      <c r="DS21" s="280">
        <v>0</v>
      </c>
      <c r="DT21" s="280">
        <v>0</v>
      </c>
      <c r="DU21" s="280">
        <v>0</v>
      </c>
      <c r="DV21" s="280">
        <v>0</v>
      </c>
      <c r="DW21" s="280">
        <v>0</v>
      </c>
      <c r="DX21" s="280">
        <v>0</v>
      </c>
      <c r="DY21" s="280">
        <v>0</v>
      </c>
      <c r="DZ21" s="280">
        <v>0</v>
      </c>
      <c r="EG21" s="280" t="str">
        <f>VLOOKUP(B21,'2022. tervsor'!C:D,2,0)</f>
        <v>Egyéb készletbeszerzés</v>
      </c>
    </row>
    <row r="22" spans="1:137" s="280" customFormat="1" x14ac:dyDescent="0.3">
      <c r="A22" s="581"/>
      <c r="B22" s="581">
        <v>90</v>
      </c>
      <c r="C22" s="280">
        <v>0</v>
      </c>
      <c r="D22" s="280">
        <v>0</v>
      </c>
      <c r="E22" s="280">
        <v>0</v>
      </c>
      <c r="F22" s="280">
        <v>0</v>
      </c>
      <c r="G22" s="280">
        <v>0</v>
      </c>
      <c r="H22" s="280">
        <v>0</v>
      </c>
      <c r="I22" s="280">
        <v>0</v>
      </c>
      <c r="J22" s="280">
        <v>0</v>
      </c>
      <c r="K22" s="280">
        <v>0</v>
      </c>
      <c r="L22" s="280">
        <v>0</v>
      </c>
      <c r="M22" s="280">
        <v>0</v>
      </c>
      <c r="N22" s="280">
        <v>0</v>
      </c>
      <c r="O22" s="280">
        <v>0</v>
      </c>
      <c r="P22" s="280">
        <v>0</v>
      </c>
      <c r="Q22" s="280">
        <v>0</v>
      </c>
      <c r="R22" s="280">
        <v>0</v>
      </c>
      <c r="S22" s="280">
        <v>0</v>
      </c>
      <c r="T22" s="280">
        <v>0</v>
      </c>
      <c r="U22" s="280">
        <v>0</v>
      </c>
      <c r="V22" s="280">
        <v>0</v>
      </c>
      <c r="W22" s="280">
        <v>0</v>
      </c>
      <c r="X22" s="280">
        <v>0</v>
      </c>
      <c r="Y22" s="280">
        <v>0</v>
      </c>
      <c r="Z22" s="280">
        <v>0</v>
      </c>
      <c r="AA22" s="280">
        <v>0</v>
      </c>
      <c r="AB22" s="280">
        <v>0</v>
      </c>
      <c r="AC22" s="280">
        <v>0</v>
      </c>
      <c r="AD22" s="280">
        <v>0</v>
      </c>
      <c r="AE22" s="280">
        <v>0</v>
      </c>
      <c r="AF22" s="280">
        <v>0</v>
      </c>
      <c r="AG22" s="280">
        <v>0</v>
      </c>
      <c r="AH22" s="280">
        <v>0</v>
      </c>
      <c r="AI22" s="280">
        <v>0</v>
      </c>
      <c r="AJ22" s="280">
        <v>0</v>
      </c>
      <c r="AK22" s="280">
        <v>0</v>
      </c>
      <c r="AL22" s="280">
        <v>0</v>
      </c>
      <c r="AM22" s="280">
        <v>0</v>
      </c>
      <c r="AN22" s="280">
        <v>0</v>
      </c>
      <c r="AO22" s="280">
        <v>0</v>
      </c>
      <c r="AP22" s="280">
        <v>0</v>
      </c>
      <c r="AQ22" s="280">
        <v>0</v>
      </c>
      <c r="AR22" s="280">
        <v>0</v>
      </c>
      <c r="AS22" s="280">
        <v>0</v>
      </c>
      <c r="AT22" s="280">
        <v>0</v>
      </c>
      <c r="AU22" s="280">
        <v>0</v>
      </c>
      <c r="AV22" s="280">
        <v>0</v>
      </c>
      <c r="AW22" s="280">
        <v>0</v>
      </c>
      <c r="AX22" s="280">
        <v>0</v>
      </c>
      <c r="AY22" s="280">
        <v>0</v>
      </c>
      <c r="AZ22" s="280">
        <v>0</v>
      </c>
      <c r="BA22" s="280">
        <v>0</v>
      </c>
      <c r="BB22" s="280">
        <v>0</v>
      </c>
      <c r="BC22" s="280">
        <v>0</v>
      </c>
      <c r="BD22" s="280">
        <v>0</v>
      </c>
      <c r="BE22" s="280">
        <v>0</v>
      </c>
      <c r="BF22" s="280">
        <v>0</v>
      </c>
      <c r="BG22" s="280">
        <v>0</v>
      </c>
      <c r="BH22" s="280">
        <v>0</v>
      </c>
      <c r="BI22" s="280">
        <v>0</v>
      </c>
      <c r="BJ22" s="280">
        <v>0</v>
      </c>
      <c r="BK22" s="280">
        <v>0</v>
      </c>
      <c r="BL22" s="280">
        <v>0</v>
      </c>
      <c r="BM22" s="280">
        <v>0</v>
      </c>
      <c r="BN22" s="280">
        <v>0</v>
      </c>
      <c r="BO22" s="280">
        <v>0</v>
      </c>
      <c r="BP22" s="280">
        <v>0</v>
      </c>
      <c r="BQ22" s="280">
        <v>0</v>
      </c>
      <c r="BR22" s="280">
        <v>0</v>
      </c>
      <c r="BS22" s="280">
        <v>0</v>
      </c>
      <c r="BT22" s="280">
        <v>0</v>
      </c>
      <c r="BU22" s="280">
        <v>0</v>
      </c>
      <c r="BV22" s="280">
        <v>0</v>
      </c>
      <c r="BW22" s="280">
        <v>0</v>
      </c>
      <c r="BX22" s="280">
        <v>0</v>
      </c>
      <c r="BY22" s="280">
        <v>0</v>
      </c>
      <c r="BZ22" s="280">
        <v>0</v>
      </c>
      <c r="CA22" s="280">
        <v>0</v>
      </c>
      <c r="CB22" s="280">
        <v>0</v>
      </c>
      <c r="CC22" s="280">
        <v>0</v>
      </c>
      <c r="CD22" s="280">
        <v>0</v>
      </c>
      <c r="CE22" s="280">
        <v>0</v>
      </c>
      <c r="CF22" s="280">
        <v>0</v>
      </c>
      <c r="CG22" s="280">
        <v>0</v>
      </c>
      <c r="CH22" s="280">
        <v>0</v>
      </c>
      <c r="CI22" s="280">
        <v>0</v>
      </c>
      <c r="CJ22" s="280">
        <v>0</v>
      </c>
      <c r="CK22" s="280">
        <v>0</v>
      </c>
      <c r="CL22" s="280">
        <v>0</v>
      </c>
      <c r="CM22" s="280">
        <v>0</v>
      </c>
      <c r="CN22" s="280">
        <v>0</v>
      </c>
      <c r="CO22" s="280">
        <v>0</v>
      </c>
      <c r="CP22" s="280">
        <v>0</v>
      </c>
      <c r="CQ22" s="280">
        <v>0</v>
      </c>
      <c r="CR22" s="280">
        <v>0</v>
      </c>
      <c r="CS22" s="280">
        <v>0</v>
      </c>
      <c r="CT22" s="280">
        <v>0</v>
      </c>
      <c r="CU22" s="280">
        <v>0</v>
      </c>
      <c r="CV22" s="280">
        <v>0</v>
      </c>
      <c r="CW22" s="280">
        <v>0</v>
      </c>
      <c r="CX22" s="280">
        <v>0</v>
      </c>
      <c r="CY22" s="280">
        <v>0</v>
      </c>
      <c r="CZ22" s="280">
        <v>0</v>
      </c>
      <c r="DA22" s="280">
        <v>0</v>
      </c>
      <c r="DB22" s="280">
        <v>0</v>
      </c>
      <c r="DC22" s="280">
        <v>0</v>
      </c>
      <c r="DD22" s="280">
        <v>0</v>
      </c>
      <c r="DE22" s="280">
        <v>0</v>
      </c>
      <c r="DF22" s="280">
        <v>0</v>
      </c>
      <c r="DG22" s="280">
        <v>0</v>
      </c>
      <c r="DH22" s="280">
        <v>0</v>
      </c>
      <c r="DI22" s="280">
        <v>0</v>
      </c>
      <c r="DJ22" s="280">
        <v>0</v>
      </c>
      <c r="DK22" s="280">
        <v>0</v>
      </c>
      <c r="DL22" s="280">
        <v>0</v>
      </c>
      <c r="DM22" s="280">
        <v>0</v>
      </c>
      <c r="DN22" s="280">
        <v>0</v>
      </c>
      <c r="DO22" s="280">
        <v>0</v>
      </c>
      <c r="DP22" s="280">
        <v>0</v>
      </c>
      <c r="DQ22" s="280">
        <v>0</v>
      </c>
      <c r="DR22" s="280">
        <v>0</v>
      </c>
      <c r="DS22" s="280">
        <v>0</v>
      </c>
      <c r="DT22" s="280">
        <v>0</v>
      </c>
      <c r="DU22" s="280">
        <v>0</v>
      </c>
      <c r="DV22" s="280">
        <v>0</v>
      </c>
      <c r="DW22" s="280">
        <v>0</v>
      </c>
      <c r="DX22" s="280">
        <v>0</v>
      </c>
      <c r="DY22" s="280">
        <v>0</v>
      </c>
      <c r="DZ22" s="280">
        <v>0</v>
      </c>
      <c r="EG22" s="280" t="str">
        <f>VLOOKUP(B22,'2022. tervsor'!C:D,2,0)</f>
        <v>TV előfizetési díj</v>
      </c>
    </row>
    <row r="23" spans="1:137" s="280" customFormat="1" x14ac:dyDescent="0.3">
      <c r="A23" s="581"/>
      <c r="B23" s="581">
        <v>91</v>
      </c>
      <c r="C23" s="280">
        <v>0</v>
      </c>
      <c r="D23" s="280">
        <v>0</v>
      </c>
      <c r="E23" s="280">
        <v>0</v>
      </c>
      <c r="F23" s="280">
        <v>0</v>
      </c>
      <c r="G23" s="280">
        <v>0</v>
      </c>
      <c r="H23" s="280">
        <v>0</v>
      </c>
      <c r="I23" s="280">
        <v>0</v>
      </c>
      <c r="J23" s="280">
        <v>0</v>
      </c>
      <c r="K23" s="280">
        <v>0</v>
      </c>
      <c r="L23" s="280">
        <v>0</v>
      </c>
      <c r="M23" s="280">
        <v>0</v>
      </c>
      <c r="N23" s="280">
        <v>0</v>
      </c>
      <c r="O23" s="280">
        <v>0</v>
      </c>
      <c r="P23" s="280">
        <v>0</v>
      </c>
      <c r="Q23" s="280">
        <v>0</v>
      </c>
      <c r="R23" s="280">
        <v>0</v>
      </c>
      <c r="S23" s="280">
        <v>0</v>
      </c>
      <c r="T23" s="280">
        <v>0</v>
      </c>
      <c r="U23" s="280">
        <v>0</v>
      </c>
      <c r="V23" s="280">
        <v>0</v>
      </c>
      <c r="W23" s="280">
        <v>0</v>
      </c>
      <c r="X23" s="280">
        <v>0</v>
      </c>
      <c r="Y23" s="280">
        <v>0</v>
      </c>
      <c r="Z23" s="280">
        <v>0</v>
      </c>
      <c r="AA23" s="280">
        <v>0</v>
      </c>
      <c r="AB23" s="280">
        <v>0</v>
      </c>
      <c r="AC23" s="280">
        <v>0</v>
      </c>
      <c r="AD23" s="280">
        <v>0</v>
      </c>
      <c r="AE23" s="280">
        <v>0</v>
      </c>
      <c r="AF23" s="280">
        <v>0</v>
      </c>
      <c r="AG23" s="280">
        <v>0</v>
      </c>
      <c r="AH23" s="280">
        <v>0</v>
      </c>
      <c r="AI23" s="280">
        <v>0</v>
      </c>
      <c r="AJ23" s="280">
        <v>0</v>
      </c>
      <c r="AK23" s="280">
        <v>0</v>
      </c>
      <c r="AL23" s="280">
        <v>0</v>
      </c>
      <c r="AM23" s="280">
        <v>0</v>
      </c>
      <c r="AN23" s="280">
        <v>0</v>
      </c>
      <c r="AO23" s="280">
        <v>0</v>
      </c>
      <c r="AP23" s="280">
        <v>0</v>
      </c>
      <c r="AQ23" s="280">
        <v>0</v>
      </c>
      <c r="AR23" s="280">
        <v>0</v>
      </c>
      <c r="AS23" s="280">
        <v>0</v>
      </c>
      <c r="AT23" s="280">
        <v>0</v>
      </c>
      <c r="AU23" s="280">
        <v>0</v>
      </c>
      <c r="AV23" s="280">
        <v>0</v>
      </c>
      <c r="AW23" s="280">
        <v>0</v>
      </c>
      <c r="AX23" s="280">
        <v>0</v>
      </c>
      <c r="AY23" s="280">
        <v>0</v>
      </c>
      <c r="AZ23" s="280">
        <v>0</v>
      </c>
      <c r="BA23" s="280">
        <v>0</v>
      </c>
      <c r="BB23" s="280">
        <v>0</v>
      </c>
      <c r="BC23" s="280">
        <v>0</v>
      </c>
      <c r="BD23" s="280">
        <v>0</v>
      </c>
      <c r="BE23" s="280">
        <v>0</v>
      </c>
      <c r="BF23" s="280">
        <v>0</v>
      </c>
      <c r="BG23" s="280">
        <v>0</v>
      </c>
      <c r="BH23" s="280">
        <v>0</v>
      </c>
      <c r="BI23" s="280">
        <v>0</v>
      </c>
      <c r="BJ23" s="280">
        <v>0</v>
      </c>
      <c r="BK23" s="280">
        <v>0</v>
      </c>
      <c r="BL23" s="280">
        <v>0</v>
      </c>
      <c r="BM23" s="280">
        <v>0</v>
      </c>
      <c r="BN23" s="280">
        <v>0</v>
      </c>
      <c r="BO23" s="280">
        <v>0</v>
      </c>
      <c r="BP23" s="280">
        <v>0</v>
      </c>
      <c r="BQ23" s="280">
        <v>0</v>
      </c>
      <c r="BR23" s="280">
        <v>0</v>
      </c>
      <c r="BS23" s="280">
        <v>0</v>
      </c>
      <c r="BT23" s="280">
        <v>0</v>
      </c>
      <c r="BU23" s="280">
        <v>0</v>
      </c>
      <c r="BV23" s="280">
        <v>0</v>
      </c>
      <c r="BW23" s="280">
        <v>0</v>
      </c>
      <c r="BX23" s="280">
        <v>0</v>
      </c>
      <c r="BY23" s="280">
        <v>0</v>
      </c>
      <c r="BZ23" s="280">
        <v>0</v>
      </c>
      <c r="CA23" s="280">
        <v>0</v>
      </c>
      <c r="CB23" s="280">
        <v>0</v>
      </c>
      <c r="CC23" s="280">
        <v>0</v>
      </c>
      <c r="CD23" s="280">
        <v>140001.82329093959</v>
      </c>
      <c r="CE23" s="280">
        <v>0</v>
      </c>
      <c r="CF23" s="280">
        <v>0</v>
      </c>
      <c r="CG23" s="280">
        <v>0</v>
      </c>
      <c r="CH23" s="280">
        <v>0</v>
      </c>
      <c r="CI23" s="280">
        <v>0</v>
      </c>
      <c r="CJ23" s="280">
        <v>0</v>
      </c>
      <c r="CK23" s="280">
        <v>0</v>
      </c>
      <c r="CL23" s="280">
        <v>0</v>
      </c>
      <c r="CM23" s="280">
        <v>0</v>
      </c>
      <c r="CN23" s="280">
        <v>0</v>
      </c>
      <c r="CO23" s="280">
        <v>0</v>
      </c>
      <c r="CP23" s="280">
        <v>0</v>
      </c>
      <c r="CQ23" s="280">
        <v>0</v>
      </c>
      <c r="CR23" s="280">
        <v>0</v>
      </c>
      <c r="CS23" s="280">
        <v>0</v>
      </c>
      <c r="CT23" s="280">
        <v>0</v>
      </c>
      <c r="CU23" s="280">
        <v>0</v>
      </c>
      <c r="CV23" s="280">
        <v>0</v>
      </c>
      <c r="CW23" s="280">
        <v>0</v>
      </c>
      <c r="CX23" s="280">
        <v>0</v>
      </c>
      <c r="CY23" s="280">
        <v>0</v>
      </c>
      <c r="CZ23" s="280">
        <v>0</v>
      </c>
      <c r="DA23" s="280">
        <v>0</v>
      </c>
      <c r="DB23" s="280">
        <v>0</v>
      </c>
      <c r="DC23" s="280">
        <v>0</v>
      </c>
      <c r="DD23" s="280">
        <v>0</v>
      </c>
      <c r="DE23" s="280">
        <v>0</v>
      </c>
      <c r="DF23" s="280">
        <v>0</v>
      </c>
      <c r="DG23" s="280">
        <v>0</v>
      </c>
      <c r="DH23" s="280">
        <v>0</v>
      </c>
      <c r="DI23" s="280">
        <v>0</v>
      </c>
      <c r="DJ23" s="280">
        <v>0</v>
      </c>
      <c r="DK23" s="280">
        <v>0</v>
      </c>
      <c r="DL23" s="280">
        <v>0</v>
      </c>
      <c r="DM23" s="280">
        <v>0</v>
      </c>
      <c r="DN23" s="280">
        <v>0</v>
      </c>
      <c r="DO23" s="280">
        <v>0</v>
      </c>
      <c r="DP23" s="280">
        <v>0</v>
      </c>
      <c r="DQ23" s="280">
        <v>0</v>
      </c>
      <c r="DR23" s="280">
        <v>0</v>
      </c>
      <c r="DS23" s="280">
        <v>0</v>
      </c>
      <c r="DT23" s="280">
        <v>0</v>
      </c>
      <c r="DU23" s="280">
        <v>0</v>
      </c>
      <c r="DV23" s="280">
        <v>0</v>
      </c>
      <c r="DW23" s="280">
        <v>0</v>
      </c>
      <c r="DX23" s="280">
        <v>0</v>
      </c>
      <c r="DY23" s="280">
        <v>0</v>
      </c>
      <c r="DZ23" s="280">
        <v>0</v>
      </c>
      <c r="EG23" s="280" t="str">
        <f>VLOOKUP(B23,'2022. tervsor'!C:D,2,0)</f>
        <v>Egyéb kommunikációs szolgáltatások</v>
      </c>
    </row>
    <row r="24" spans="1:137" s="280" customFormat="1" x14ac:dyDescent="0.3">
      <c r="A24" s="581"/>
      <c r="B24" s="581">
        <v>96</v>
      </c>
      <c r="C24" s="280">
        <v>445612.565</v>
      </c>
      <c r="D24" s="280">
        <v>4859077.1788038006</v>
      </c>
      <c r="E24" s="280">
        <v>366475.24706020963</v>
      </c>
      <c r="F24" s="280">
        <v>138138.45633087924</v>
      </c>
      <c r="G24" s="280">
        <v>2973858.2457505097</v>
      </c>
      <c r="H24" s="280">
        <v>1467548.1127862476</v>
      </c>
      <c r="I24" s="280">
        <v>14873.798440401157</v>
      </c>
      <c r="J24" s="280">
        <v>50931.491629252429</v>
      </c>
      <c r="K24" s="280">
        <v>64819.478369157878</v>
      </c>
      <c r="L24" s="280">
        <v>339686.88664343487</v>
      </c>
      <c r="M24" s="280">
        <v>7800490.8969061235</v>
      </c>
      <c r="N24" s="280">
        <v>880309.07689999975</v>
      </c>
      <c r="O24" s="280">
        <v>19330.911532807208</v>
      </c>
      <c r="P24" s="280">
        <v>36140.863276527612</v>
      </c>
      <c r="Q24" s="280">
        <v>3686298.7677845526</v>
      </c>
      <c r="R24" s="280">
        <v>1402474.7863000003</v>
      </c>
      <c r="S24" s="280">
        <v>0</v>
      </c>
      <c r="T24" s="280">
        <v>3148327.0356388837</v>
      </c>
      <c r="U24" s="280">
        <v>743735.98810684716</v>
      </c>
      <c r="V24" s="280">
        <v>2995953.443616847</v>
      </c>
      <c r="W24" s="280">
        <v>462208.80616809713</v>
      </c>
      <c r="X24" s="280">
        <v>108185024.16706522</v>
      </c>
      <c r="Y24" s="280">
        <v>785991.22715007549</v>
      </c>
      <c r="Z24" s="280">
        <v>1208122.5274549357</v>
      </c>
      <c r="AA24" s="280">
        <v>3411134.8999765972</v>
      </c>
      <c r="AB24" s="280">
        <v>1447017.7624454782</v>
      </c>
      <c r="AC24" s="280">
        <v>432510.02774908708</v>
      </c>
      <c r="AD24" s="280">
        <v>1639471.9033333338</v>
      </c>
      <c r="AE24" s="280">
        <v>0</v>
      </c>
      <c r="AF24" s="280">
        <v>0</v>
      </c>
      <c r="AG24" s="280">
        <v>0</v>
      </c>
      <c r="AH24" s="280">
        <v>0</v>
      </c>
      <c r="AI24" s="280">
        <v>0</v>
      </c>
      <c r="AJ24" s="280">
        <v>0</v>
      </c>
      <c r="AK24" s="280">
        <v>194199.25000000003</v>
      </c>
      <c r="AL24" s="280">
        <v>1141613.2252535699</v>
      </c>
      <c r="AM24" s="280">
        <v>2296980.8267150139</v>
      </c>
      <c r="AN24" s="280">
        <v>5181021.000553458</v>
      </c>
      <c r="AO24" s="280">
        <v>1261066.3555718802</v>
      </c>
      <c r="AP24" s="280">
        <v>0</v>
      </c>
      <c r="AQ24" s="280">
        <v>3883514.3065773011</v>
      </c>
      <c r="AR24" s="280">
        <v>440134.13576783799</v>
      </c>
      <c r="AS24" s="280">
        <v>1542288.211285647</v>
      </c>
      <c r="AT24" s="280">
        <v>1655049.849374928</v>
      </c>
      <c r="AU24" s="280">
        <v>5133682.7566019185</v>
      </c>
      <c r="AV24" s="280">
        <v>14758189.964679129</v>
      </c>
      <c r="AW24" s="280">
        <v>232455608.95999432</v>
      </c>
      <c r="AX24" s="280">
        <v>47956489.914771214</v>
      </c>
      <c r="AY24" s="280">
        <v>17790707.924220502</v>
      </c>
      <c r="AZ24" s="280">
        <v>3296439.667204828</v>
      </c>
      <c r="BA24" s="280">
        <v>0</v>
      </c>
      <c r="BB24" s="280">
        <v>560048.49250864284</v>
      </c>
      <c r="BC24" s="280">
        <v>2130891.9538558489</v>
      </c>
      <c r="BD24" s="280">
        <v>1817402.1524931889</v>
      </c>
      <c r="BE24" s="280">
        <v>1515689.7064279809</v>
      </c>
      <c r="BF24" s="280">
        <v>0</v>
      </c>
      <c r="BG24" s="280">
        <v>5640337.3032253422</v>
      </c>
      <c r="BH24" s="280">
        <v>541773.03149606299</v>
      </c>
      <c r="BI24" s="280">
        <v>4897720.586649999</v>
      </c>
      <c r="BJ24" s="280">
        <v>41980.033774339143</v>
      </c>
      <c r="BK24" s="280">
        <v>825264.11480644031</v>
      </c>
      <c r="BL24" s="280">
        <v>1880327.1551432526</v>
      </c>
      <c r="BM24" s="280">
        <v>32563.342947020828</v>
      </c>
      <c r="BN24" s="280">
        <v>20990522.362837251</v>
      </c>
      <c r="BO24" s="280">
        <v>277493.17534346209</v>
      </c>
      <c r="BP24" s="280">
        <v>10201647.672629159</v>
      </c>
      <c r="BQ24" s="280">
        <v>2335561.6916805003</v>
      </c>
      <c r="BR24" s="280">
        <v>236466.52641625004</v>
      </c>
      <c r="BS24" s="280">
        <v>811262.08293575014</v>
      </c>
      <c r="BT24" s="280">
        <v>254656.2592175001</v>
      </c>
      <c r="BU24" s="280">
        <v>16671189.55785135</v>
      </c>
      <c r="BV24" s="280">
        <v>4389450</v>
      </c>
      <c r="BW24" s="280">
        <v>1667836.7784379001</v>
      </c>
      <c r="BX24" s="280">
        <v>1656799.9168669288</v>
      </c>
      <c r="BY24" s="280">
        <v>5356747.8287154846</v>
      </c>
      <c r="BZ24" s="280">
        <v>6055672.5020000003</v>
      </c>
      <c r="CA24" s="280">
        <v>585117.8970890987</v>
      </c>
      <c r="CB24" s="280">
        <v>785419.90141551197</v>
      </c>
      <c r="CC24" s="280">
        <v>0</v>
      </c>
      <c r="CD24" s="280">
        <v>67080.701499999966</v>
      </c>
      <c r="CE24" s="280">
        <v>62148.880799999984</v>
      </c>
      <c r="CF24" s="280">
        <v>0</v>
      </c>
      <c r="CG24" s="280">
        <v>0</v>
      </c>
      <c r="CH24" s="280">
        <v>0</v>
      </c>
      <c r="CI24" s="280">
        <v>0</v>
      </c>
      <c r="CJ24" s="280">
        <v>0</v>
      </c>
      <c r="CK24" s="280">
        <v>0</v>
      </c>
      <c r="CL24" s="280">
        <v>701418.60225000011</v>
      </c>
      <c r="CM24" s="280">
        <v>9599727.4920544792</v>
      </c>
      <c r="CN24" s="280">
        <v>260181.14369404636</v>
      </c>
      <c r="CO24" s="280">
        <v>648641.01283056114</v>
      </c>
      <c r="CP24" s="280">
        <v>2364097.1886628941</v>
      </c>
      <c r="CQ24" s="280">
        <v>645742.05858327367</v>
      </c>
      <c r="CR24" s="280">
        <v>1172626.9930277632</v>
      </c>
      <c r="CS24" s="280">
        <v>1022606.1107306391</v>
      </c>
      <c r="CT24" s="280">
        <v>569644.50959197874</v>
      </c>
      <c r="CU24" s="280">
        <v>244236.89533396548</v>
      </c>
      <c r="CV24" s="280">
        <v>319609.70576343848</v>
      </c>
      <c r="CW24" s="280">
        <v>3895497.193520851</v>
      </c>
      <c r="CX24" s="280">
        <v>2186449.5043399013</v>
      </c>
      <c r="CY24" s="280">
        <v>612115.15839999996</v>
      </c>
      <c r="CZ24" s="280">
        <v>2674527.2617563116</v>
      </c>
      <c r="DA24" s="280">
        <v>24148.585900000002</v>
      </c>
      <c r="DB24" s="280">
        <v>49133.37814999999</v>
      </c>
      <c r="DC24" s="280">
        <v>89740.248650000009</v>
      </c>
      <c r="DD24" s="280">
        <v>18786.053199999995</v>
      </c>
      <c r="DE24" s="280">
        <v>50146.867000000013</v>
      </c>
      <c r="DF24" s="280">
        <v>28394.596199999996</v>
      </c>
      <c r="DG24" s="280">
        <v>0</v>
      </c>
      <c r="DH24" s="280">
        <v>2100370.7136079739</v>
      </c>
      <c r="DI24" s="280">
        <v>368519.58884212637</v>
      </c>
      <c r="DJ24" s="280">
        <v>8798643.8620959483</v>
      </c>
      <c r="DK24" s="280">
        <v>452447.82827293931</v>
      </c>
      <c r="DL24" s="280">
        <v>7345569.2138635255</v>
      </c>
      <c r="DM24" s="280">
        <v>3375868.5651444523</v>
      </c>
      <c r="DN24" s="280">
        <v>664480.91666870448</v>
      </c>
      <c r="DO24" s="280">
        <v>79768.177374729057</v>
      </c>
      <c r="DP24" s="280">
        <v>131980.07529273356</v>
      </c>
      <c r="DQ24" s="280">
        <v>55373.40972239204</v>
      </c>
      <c r="DR24" s="280">
        <v>3405430.0336402752</v>
      </c>
      <c r="DS24" s="280">
        <v>503803.65539999987</v>
      </c>
      <c r="DT24" s="280">
        <v>168667.8834645669</v>
      </c>
      <c r="DU24" s="280">
        <v>1186260.2261336304</v>
      </c>
      <c r="DV24" s="280">
        <v>1853041.6292703296</v>
      </c>
      <c r="DW24" s="280">
        <v>2223649.9551243954</v>
      </c>
      <c r="DX24" s="280">
        <v>3570998.791880473</v>
      </c>
      <c r="DY24" s="280">
        <v>4756128.7873909809</v>
      </c>
      <c r="DZ24" s="280">
        <v>2121359.7172468766</v>
      </c>
      <c r="EG24" s="280" t="str">
        <f>VLOOKUP(B24,'2022. tervsor'!C:D,2,0)</f>
        <v>Villamosenergia szolgáltatás díja</v>
      </c>
    </row>
    <row r="25" spans="1:137" s="280" customFormat="1" x14ac:dyDescent="0.3">
      <c r="A25" s="581"/>
      <c r="B25" s="581">
        <v>97</v>
      </c>
      <c r="C25" s="280">
        <v>163539.85100181855</v>
      </c>
      <c r="D25" s="280">
        <v>6917425.871072703</v>
      </c>
      <c r="E25" s="280">
        <v>521717.4500089197</v>
      </c>
      <c r="F25" s="280">
        <v>196655.14591569212</v>
      </c>
      <c r="G25" s="280">
        <v>4568223.96164768</v>
      </c>
      <c r="H25" s="280">
        <v>2254340.2878334108</v>
      </c>
      <c r="I25" s="280">
        <v>22848.043457771055</v>
      </c>
      <c r="J25" s="280">
        <v>78237.239719034202</v>
      </c>
      <c r="K25" s="280">
        <v>155975.21947722282</v>
      </c>
      <c r="L25" s="280">
        <v>817389.12485531939</v>
      </c>
      <c r="M25" s="280">
        <v>18770334.323670339</v>
      </c>
      <c r="N25" s="280">
        <v>1121667.2243074775</v>
      </c>
      <c r="O25" s="280">
        <v>42516.12425151973</v>
      </c>
      <c r="P25" s="280">
        <v>79487.686393591182</v>
      </c>
      <c r="Q25" s="280">
        <v>8107591.6246041814</v>
      </c>
      <c r="R25" s="280">
        <v>3329864.7560975607</v>
      </c>
      <c r="S25" s="280">
        <v>0</v>
      </c>
      <c r="T25" s="280">
        <v>5906391.7823143778</v>
      </c>
      <c r="U25" s="280">
        <v>2444523.4697417933</v>
      </c>
      <c r="V25" s="280">
        <v>9847148.2142706141</v>
      </c>
      <c r="W25" s="280">
        <v>1519195.3766756908</v>
      </c>
      <c r="X25" s="280">
        <v>174243928.17224985</v>
      </c>
      <c r="Y25" s="280">
        <v>1265925.6674571163</v>
      </c>
      <c r="Z25" s="280">
        <v>1945814.7420853446</v>
      </c>
      <c r="AA25" s="280">
        <v>5494009.4442232512</v>
      </c>
      <c r="AB25" s="280">
        <v>2269415.9281324325</v>
      </c>
      <c r="AC25" s="280">
        <v>696605.16128841671</v>
      </c>
      <c r="AD25" s="280">
        <v>0</v>
      </c>
      <c r="AE25" s="280">
        <v>0</v>
      </c>
      <c r="AF25" s="280">
        <v>0</v>
      </c>
      <c r="AG25" s="280">
        <v>0</v>
      </c>
      <c r="AH25" s="280">
        <v>0</v>
      </c>
      <c r="AI25" s="280">
        <v>0</v>
      </c>
      <c r="AJ25" s="280">
        <v>0</v>
      </c>
      <c r="AK25" s="280">
        <v>0</v>
      </c>
      <c r="AL25" s="280">
        <v>2178747.9358597249</v>
      </c>
      <c r="AM25" s="280">
        <v>4383745.846850289</v>
      </c>
      <c r="AN25" s="280">
        <v>10432894.010135816</v>
      </c>
      <c r="AO25" s="280">
        <v>1380724.070359264</v>
      </c>
      <c r="AP25" s="280">
        <v>0</v>
      </c>
      <c r="AQ25" s="280">
        <v>7037465.8315310683</v>
      </c>
      <c r="AR25" s="280">
        <v>1236534.2489418983</v>
      </c>
      <c r="AS25" s="280">
        <v>4332979.5169534292</v>
      </c>
      <c r="AT25" s="280">
        <v>4649777.5476740804</v>
      </c>
      <c r="AU25" s="280">
        <v>9862491.824799357</v>
      </c>
      <c r="AV25" s="280">
        <v>19233.54975694255</v>
      </c>
      <c r="AW25" s="280">
        <v>302946.80661468487</v>
      </c>
      <c r="AX25" s="280">
        <v>62499.096240906787</v>
      </c>
      <c r="AY25" s="280">
        <v>23185.666188785013</v>
      </c>
      <c r="AZ25" s="280">
        <v>4296.0713008630582</v>
      </c>
      <c r="BA25" s="280">
        <v>0</v>
      </c>
      <c r="BB25" s="280">
        <v>0</v>
      </c>
      <c r="BC25" s="280">
        <v>0</v>
      </c>
      <c r="BD25" s="280">
        <v>1118751.8469227091</v>
      </c>
      <c r="BE25" s="280">
        <v>933024.45807155909</v>
      </c>
      <c r="BF25" s="280">
        <v>0</v>
      </c>
      <c r="BG25" s="280">
        <v>2288867.6537629627</v>
      </c>
      <c r="BH25" s="280">
        <v>0</v>
      </c>
      <c r="BI25" s="280">
        <v>862874.31983745191</v>
      </c>
      <c r="BJ25" s="280">
        <v>165349.32548332828</v>
      </c>
      <c r="BK25" s="280">
        <v>3250518.2216468807</v>
      </c>
      <c r="BL25" s="280">
        <v>7406159.5200757263</v>
      </c>
      <c r="BM25" s="280">
        <v>128259.22963081153</v>
      </c>
      <c r="BN25" s="280">
        <v>32382763.806561116</v>
      </c>
      <c r="BO25" s="280">
        <v>428097.77668941062</v>
      </c>
      <c r="BP25" s="280">
        <v>24027182.113721356</v>
      </c>
      <c r="BQ25" s="280">
        <v>4723344.3108207202</v>
      </c>
      <c r="BR25" s="280">
        <v>478220.2183852754</v>
      </c>
      <c r="BS25" s="280">
        <v>1640663.2107679448</v>
      </c>
      <c r="BT25" s="280">
        <v>515006.38903029659</v>
      </c>
      <c r="BU25" s="280">
        <v>9044751.9112866614</v>
      </c>
      <c r="BV25" s="280">
        <v>0</v>
      </c>
      <c r="BW25" s="280">
        <v>3299971.5636567399</v>
      </c>
      <c r="BX25" s="280">
        <v>6163181.324274037</v>
      </c>
      <c r="BY25" s="280">
        <v>8178441.1851048376</v>
      </c>
      <c r="BZ25" s="280">
        <v>30630360.186128613</v>
      </c>
      <c r="CA25" s="280">
        <v>1193405.597884981</v>
      </c>
      <c r="CB25" s="280">
        <v>839514.8466061299</v>
      </c>
      <c r="CC25" s="280">
        <v>0</v>
      </c>
      <c r="CD25" s="280">
        <v>39061.815542939657</v>
      </c>
      <c r="CE25" s="280">
        <v>300027.1692716945</v>
      </c>
      <c r="CF25" s="280">
        <v>1711582.523453061</v>
      </c>
      <c r="CG25" s="280">
        <v>1273966.8051274878</v>
      </c>
      <c r="CH25" s="280">
        <v>3661588.34928736</v>
      </c>
      <c r="CI25" s="280">
        <v>0</v>
      </c>
      <c r="CJ25" s="280">
        <v>0</v>
      </c>
      <c r="CK25" s="280">
        <v>0</v>
      </c>
      <c r="CL25" s="280">
        <v>0</v>
      </c>
      <c r="CM25" s="280">
        <v>269386.95888218872</v>
      </c>
      <c r="CN25" s="280">
        <v>554334.99687560298</v>
      </c>
      <c r="CO25" s="280">
        <v>1381977.2206230212</v>
      </c>
      <c r="CP25" s="280">
        <v>5036882.3392986525</v>
      </c>
      <c r="CQ25" s="280">
        <v>1375800.7861174436</v>
      </c>
      <c r="CR25" s="280">
        <v>2498367.7575061992</v>
      </c>
      <c r="CS25" s="280">
        <v>2178737.2718425505</v>
      </c>
      <c r="CT25" s="280">
        <v>1213669.3803460274</v>
      </c>
      <c r="CU25" s="280">
        <v>520364.60709492525</v>
      </c>
      <c r="CV25" s="280">
        <v>680951.90423994663</v>
      </c>
      <c r="CW25" s="280">
        <v>11087130.888055202</v>
      </c>
      <c r="CX25" s="280">
        <v>8431567.1107436977</v>
      </c>
      <c r="CY25" s="280">
        <v>1264830.49247638</v>
      </c>
      <c r="CZ25" s="280">
        <v>3739641.7021216303</v>
      </c>
      <c r="DA25" s="280">
        <v>116309.04625439664</v>
      </c>
      <c r="DB25" s="280">
        <v>79143.617599839519</v>
      </c>
      <c r="DC25" s="280">
        <v>125511.4002292362</v>
      </c>
      <c r="DD25" s="280">
        <v>64300.595880263158</v>
      </c>
      <c r="DE25" s="280">
        <v>35458.139738125799</v>
      </c>
      <c r="DF25" s="280">
        <v>46222.358907381262</v>
      </c>
      <c r="DG25" s="280">
        <v>0</v>
      </c>
      <c r="DH25" s="280">
        <v>2441850.8650522837</v>
      </c>
      <c r="DI25" s="280">
        <v>428433.833595537</v>
      </c>
      <c r="DJ25" s="280">
        <v>10229135.260146294</v>
      </c>
      <c r="DK25" s="280">
        <v>526007.20134851045</v>
      </c>
      <c r="DL25" s="280">
        <v>8539818.4344146699</v>
      </c>
      <c r="DM25" s="280">
        <v>3924720.2994658519</v>
      </c>
      <c r="DN25" s="280">
        <v>772512.81912563159</v>
      </c>
      <c r="DO25" s="280">
        <v>92736.95908258672</v>
      </c>
      <c r="DP25" s="280">
        <v>153437.51411846172</v>
      </c>
      <c r="DQ25" s="280">
        <v>64376.068260469299</v>
      </c>
      <c r="DR25" s="280">
        <v>0</v>
      </c>
      <c r="DS25" s="280">
        <v>0</v>
      </c>
      <c r="DT25" s="280">
        <v>0</v>
      </c>
      <c r="DU25" s="280">
        <v>6599.9865676988893</v>
      </c>
      <c r="DV25" s="280">
        <v>10309.752947236844</v>
      </c>
      <c r="DW25" s="280">
        <v>12371.703536684212</v>
      </c>
      <c r="DX25" s="280">
        <v>0</v>
      </c>
      <c r="DY25" s="280">
        <v>0</v>
      </c>
      <c r="DZ25" s="280">
        <v>2924628.2943471433</v>
      </c>
      <c r="EG25" s="280" t="str">
        <f>VLOOKUP(B25,'2022. tervsor'!C:D,2,0)</f>
        <v>Gázenergia szolgáltatás díja</v>
      </c>
    </row>
    <row r="26" spans="1:137" s="280" customFormat="1" x14ac:dyDescent="0.3">
      <c r="A26" s="581"/>
      <c r="B26" s="581">
        <v>98</v>
      </c>
      <c r="C26" s="280">
        <v>0</v>
      </c>
      <c r="D26" s="280">
        <v>0</v>
      </c>
      <c r="E26" s="280">
        <v>0</v>
      </c>
      <c r="F26" s="280">
        <v>0</v>
      </c>
      <c r="G26" s="280">
        <v>0</v>
      </c>
      <c r="H26" s="280">
        <v>0</v>
      </c>
      <c r="I26" s="280">
        <v>0</v>
      </c>
      <c r="J26" s="280">
        <v>0</v>
      </c>
      <c r="K26" s="280">
        <v>0</v>
      </c>
      <c r="L26" s="280">
        <v>0</v>
      </c>
      <c r="M26" s="280">
        <v>0</v>
      </c>
      <c r="N26" s="280">
        <v>0</v>
      </c>
      <c r="O26" s="280">
        <v>0</v>
      </c>
      <c r="P26" s="280">
        <v>0</v>
      </c>
      <c r="Q26" s="280">
        <v>0</v>
      </c>
      <c r="R26" s="280">
        <v>0</v>
      </c>
      <c r="S26" s="280">
        <v>0</v>
      </c>
      <c r="T26" s="280">
        <v>0</v>
      </c>
      <c r="U26" s="280">
        <v>0</v>
      </c>
      <c r="V26" s="280">
        <v>0</v>
      </c>
      <c r="W26" s="280">
        <v>0</v>
      </c>
      <c r="X26" s="280">
        <v>0</v>
      </c>
      <c r="Y26" s="280">
        <v>0</v>
      </c>
      <c r="Z26" s="280">
        <v>0</v>
      </c>
      <c r="AA26" s="280">
        <v>0</v>
      </c>
      <c r="AB26" s="280">
        <v>0</v>
      </c>
      <c r="AC26" s="280">
        <v>0</v>
      </c>
      <c r="AD26" s="280">
        <v>0</v>
      </c>
      <c r="AE26" s="280">
        <v>0</v>
      </c>
      <c r="AF26" s="280">
        <v>0</v>
      </c>
      <c r="AG26" s="280">
        <v>0</v>
      </c>
      <c r="AH26" s="280">
        <v>0</v>
      </c>
      <c r="AI26" s="280">
        <v>0</v>
      </c>
      <c r="AJ26" s="280">
        <v>0</v>
      </c>
      <c r="AK26" s="280">
        <v>0</v>
      </c>
      <c r="AL26" s="280">
        <v>0</v>
      </c>
      <c r="AM26" s="280">
        <v>0</v>
      </c>
      <c r="AN26" s="280">
        <v>0</v>
      </c>
      <c r="AO26" s="280">
        <v>0</v>
      </c>
      <c r="AP26" s="280">
        <v>0</v>
      </c>
      <c r="AQ26" s="280">
        <v>0</v>
      </c>
      <c r="AR26" s="280">
        <v>0</v>
      </c>
      <c r="AS26" s="280">
        <v>0</v>
      </c>
      <c r="AT26" s="280">
        <v>0</v>
      </c>
      <c r="AU26" s="280">
        <v>0</v>
      </c>
      <c r="AV26" s="280">
        <v>9022162.0412323121</v>
      </c>
      <c r="AW26" s="280">
        <v>142107682.3411116</v>
      </c>
      <c r="AX26" s="280">
        <v>29317363.712982684</v>
      </c>
      <c r="AY26" s="280">
        <v>10876039.006457048</v>
      </c>
      <c r="AZ26" s="280">
        <v>2015220.8982163284</v>
      </c>
      <c r="BA26" s="280">
        <v>0</v>
      </c>
      <c r="BB26" s="280">
        <v>995293.26267768897</v>
      </c>
      <c r="BC26" s="280">
        <v>3786926.3707268946</v>
      </c>
      <c r="BD26" s="280">
        <v>0</v>
      </c>
      <c r="BE26" s="280">
        <v>0</v>
      </c>
      <c r="BF26" s="280">
        <v>0</v>
      </c>
      <c r="BG26" s="280">
        <v>10608547.912467591</v>
      </c>
      <c r="BH26" s="280">
        <v>2168151.5</v>
      </c>
      <c r="BI26" s="280">
        <v>0</v>
      </c>
      <c r="BJ26" s="280">
        <v>0</v>
      </c>
      <c r="BK26" s="280">
        <v>0</v>
      </c>
      <c r="BL26" s="280">
        <v>0</v>
      </c>
      <c r="BM26" s="280">
        <v>0</v>
      </c>
      <c r="BN26" s="280">
        <v>0</v>
      </c>
      <c r="BO26" s="280">
        <v>0</v>
      </c>
      <c r="BP26" s="280">
        <v>0</v>
      </c>
      <c r="BQ26" s="280">
        <v>0</v>
      </c>
      <c r="BR26" s="280">
        <v>0</v>
      </c>
      <c r="BS26" s="280">
        <v>0</v>
      </c>
      <c r="BT26" s="280">
        <v>0</v>
      </c>
      <c r="BU26" s="280">
        <v>0</v>
      </c>
      <c r="BV26" s="280">
        <v>4499711.8188976375</v>
      </c>
      <c r="BW26" s="280">
        <v>0</v>
      </c>
      <c r="BX26" s="280">
        <v>0</v>
      </c>
      <c r="BY26" s="280">
        <v>0</v>
      </c>
      <c r="BZ26" s="280">
        <v>0</v>
      </c>
      <c r="CA26" s="280">
        <v>0</v>
      </c>
      <c r="CB26" s="280">
        <v>0</v>
      </c>
      <c r="CC26" s="280">
        <v>0</v>
      </c>
      <c r="CD26" s="280">
        <v>0</v>
      </c>
      <c r="CE26" s="280">
        <v>0</v>
      </c>
      <c r="CF26" s="280">
        <v>0</v>
      </c>
      <c r="CG26" s="280">
        <v>0</v>
      </c>
      <c r="CH26" s="280">
        <v>0</v>
      </c>
      <c r="CI26" s="280">
        <v>0</v>
      </c>
      <c r="CJ26" s="280">
        <v>0</v>
      </c>
      <c r="CK26" s="280">
        <v>0</v>
      </c>
      <c r="CL26" s="280">
        <v>0</v>
      </c>
      <c r="CM26" s="280">
        <v>11491212.999999998</v>
      </c>
      <c r="CN26" s="280">
        <v>0</v>
      </c>
      <c r="CO26" s="280">
        <v>0</v>
      </c>
      <c r="CP26" s="280">
        <v>0</v>
      </c>
      <c r="CQ26" s="280">
        <v>0</v>
      </c>
      <c r="CR26" s="280">
        <v>0</v>
      </c>
      <c r="CS26" s="280">
        <v>0</v>
      </c>
      <c r="CT26" s="280">
        <v>0</v>
      </c>
      <c r="CU26" s="280">
        <v>0</v>
      </c>
      <c r="CV26" s="280">
        <v>0</v>
      </c>
      <c r="CW26" s="280">
        <v>0</v>
      </c>
      <c r="CX26" s="280">
        <v>0</v>
      </c>
      <c r="CY26" s="280">
        <v>0</v>
      </c>
      <c r="CZ26" s="280">
        <v>0</v>
      </c>
      <c r="DA26" s="280">
        <v>0</v>
      </c>
      <c r="DB26" s="280">
        <v>0</v>
      </c>
      <c r="DC26" s="280">
        <v>0</v>
      </c>
      <c r="DD26" s="280">
        <v>85323.511199999994</v>
      </c>
      <c r="DE26" s="280">
        <v>120121.89600000001</v>
      </c>
      <c r="DF26" s="280">
        <v>0</v>
      </c>
      <c r="DG26" s="280">
        <v>0</v>
      </c>
      <c r="DH26" s="280">
        <v>0</v>
      </c>
      <c r="DI26" s="280">
        <v>0</v>
      </c>
      <c r="DJ26" s="280">
        <v>0</v>
      </c>
      <c r="DK26" s="280">
        <v>0</v>
      </c>
      <c r="DL26" s="280">
        <v>0</v>
      </c>
      <c r="DM26" s="280">
        <v>0</v>
      </c>
      <c r="DN26" s="280">
        <v>0</v>
      </c>
      <c r="DO26" s="280">
        <v>0</v>
      </c>
      <c r="DP26" s="280">
        <v>0</v>
      </c>
      <c r="DQ26" s="280">
        <v>0</v>
      </c>
      <c r="DR26" s="280">
        <v>14891626.866666665</v>
      </c>
      <c r="DS26" s="280">
        <v>7144051.4285714282</v>
      </c>
      <c r="DT26" s="280">
        <v>0</v>
      </c>
      <c r="DU26" s="280">
        <v>3929778.8541653431</v>
      </c>
      <c r="DV26" s="280">
        <v>6138656.3000000017</v>
      </c>
      <c r="DW26" s="280">
        <v>7366387.5600000015</v>
      </c>
      <c r="DX26" s="280">
        <v>11363895.393338835</v>
      </c>
      <c r="DY26" s="280">
        <v>7968456.3823286546</v>
      </c>
      <c r="DZ26" s="280">
        <v>0</v>
      </c>
      <c r="EG26" s="280" t="str">
        <f>VLOOKUP(B26,'2022. tervsor'!C:D,2,0)</f>
        <v>Távhő és melegvíz szolgáltatás díja</v>
      </c>
    </row>
    <row r="27" spans="1:137" s="280" customFormat="1" x14ac:dyDescent="0.3">
      <c r="A27" s="581"/>
      <c r="B27" s="581">
        <v>99</v>
      </c>
      <c r="C27" s="280">
        <v>127799.43307086614</v>
      </c>
      <c r="D27" s="280">
        <v>491566.10117155063</v>
      </c>
      <c r="E27" s="280">
        <v>37074.284219872432</v>
      </c>
      <c r="F27" s="280">
        <v>13974.707521962708</v>
      </c>
      <c r="G27" s="280">
        <v>335531.55405354331</v>
      </c>
      <c r="H27" s="280">
        <v>165579.07547716537</v>
      </c>
      <c r="I27" s="280">
        <v>1678.1663055118113</v>
      </c>
      <c r="J27" s="280">
        <v>5746.4482582677165</v>
      </c>
      <c r="K27" s="280">
        <v>8514.4242292913386</v>
      </c>
      <c r="L27" s="280">
        <v>44619.894062362204</v>
      </c>
      <c r="M27" s="280">
        <v>1024640.9006059841</v>
      </c>
      <c r="N27" s="280">
        <v>50853.524409448823</v>
      </c>
      <c r="O27" s="280">
        <v>1361.7521390432898</v>
      </c>
      <c r="P27" s="280">
        <v>2545.917081569492</v>
      </c>
      <c r="Q27" s="280">
        <v>259678.66148804862</v>
      </c>
      <c r="R27" s="280">
        <v>578824.9322834647</v>
      </c>
      <c r="S27" s="280">
        <v>0</v>
      </c>
      <c r="T27" s="280">
        <v>624619.72913385823</v>
      </c>
      <c r="U27" s="280">
        <v>350429.24046614167</v>
      </c>
      <c r="V27" s="280">
        <v>1411616.0929511809</v>
      </c>
      <c r="W27" s="280">
        <v>217780.88390551182</v>
      </c>
      <c r="X27" s="280">
        <v>4192937.0193327358</v>
      </c>
      <c r="Y27" s="280">
        <v>30462.734916979389</v>
      </c>
      <c r="Z27" s="280">
        <v>46823.316889342117</v>
      </c>
      <c r="AA27" s="280">
        <v>132205.67181241995</v>
      </c>
      <c r="AB27" s="280">
        <v>0</v>
      </c>
      <c r="AC27" s="280">
        <v>16762.831274884131</v>
      </c>
      <c r="AD27" s="280">
        <v>372748.34645669296</v>
      </c>
      <c r="AE27" s="280">
        <v>0</v>
      </c>
      <c r="AF27" s="280">
        <v>0</v>
      </c>
      <c r="AG27" s="280">
        <v>0</v>
      </c>
      <c r="AH27" s="280">
        <v>0</v>
      </c>
      <c r="AI27" s="280">
        <v>0</v>
      </c>
      <c r="AJ27" s="280">
        <v>0</v>
      </c>
      <c r="AK27" s="280">
        <v>0</v>
      </c>
      <c r="AL27" s="280">
        <v>192877.03438110239</v>
      </c>
      <c r="AM27" s="280">
        <v>388077.88845354324</v>
      </c>
      <c r="AN27" s="280">
        <v>843476.2582677165</v>
      </c>
      <c r="AO27" s="280">
        <v>0</v>
      </c>
      <c r="AP27" s="280">
        <v>0</v>
      </c>
      <c r="AQ27" s="280">
        <v>1415378.7212598426</v>
      </c>
      <c r="AR27" s="280">
        <v>98581.28768503938</v>
      </c>
      <c r="AS27" s="280">
        <v>345441.86759055121</v>
      </c>
      <c r="AT27" s="280">
        <v>370698.23055118113</v>
      </c>
      <c r="AU27" s="280">
        <v>922285.9086614172</v>
      </c>
      <c r="AV27" s="280">
        <v>1525671.6120179256</v>
      </c>
      <c r="AW27" s="280">
        <v>24030787.277666941</v>
      </c>
      <c r="AX27" s="280">
        <v>4957644.2267038645</v>
      </c>
      <c r="AY27" s="280">
        <v>1839167.140594244</v>
      </c>
      <c r="AZ27" s="280">
        <v>340779.21703276911</v>
      </c>
      <c r="BA27" s="280">
        <v>0</v>
      </c>
      <c r="BB27" s="280">
        <v>240982.02633159154</v>
      </c>
      <c r="BC27" s="280">
        <v>916896.78269412031</v>
      </c>
      <c r="BD27" s="280">
        <v>263803.89134607388</v>
      </c>
      <c r="BE27" s="280">
        <v>220009.0068564988</v>
      </c>
      <c r="BF27" s="280">
        <v>0</v>
      </c>
      <c r="BG27" s="280">
        <v>1052103.3626967345</v>
      </c>
      <c r="BH27" s="280">
        <v>54314.759055118113</v>
      </c>
      <c r="BI27" s="280">
        <v>279451.18110236223</v>
      </c>
      <c r="BJ27" s="280">
        <v>26622.805148976386</v>
      </c>
      <c r="BK27" s="280">
        <v>523364.17457492166</v>
      </c>
      <c r="BL27" s="280">
        <v>1192461.7244664414</v>
      </c>
      <c r="BM27" s="280">
        <v>20650.948947252899</v>
      </c>
      <c r="BN27" s="280">
        <v>14628969.839562252</v>
      </c>
      <c r="BO27" s="280">
        <v>193393.9147684536</v>
      </c>
      <c r="BP27" s="280">
        <v>6388374.1606299207</v>
      </c>
      <c r="BQ27" s="280">
        <v>841667.89628976397</v>
      </c>
      <c r="BR27" s="280">
        <v>85215.596976377943</v>
      </c>
      <c r="BS27" s="280">
        <v>292355.04808818898</v>
      </c>
      <c r="BT27" s="280">
        <v>91770.642897637808</v>
      </c>
      <c r="BU27" s="280">
        <v>361565.89606299211</v>
      </c>
      <c r="BV27" s="280">
        <v>676092</v>
      </c>
      <c r="BW27" s="280">
        <v>1494584.368</v>
      </c>
      <c r="BX27" s="280">
        <v>2633566.8425196847</v>
      </c>
      <c r="BY27" s="280">
        <v>2348856.2980591203</v>
      </c>
      <c r="BZ27" s="280">
        <v>8779400.5417322833</v>
      </c>
      <c r="CA27" s="280">
        <v>72888.976377952757</v>
      </c>
      <c r="CB27" s="280">
        <v>31992.000000000004</v>
      </c>
      <c r="CC27" s="280">
        <v>0</v>
      </c>
      <c r="CD27" s="280">
        <v>19901.968503937009</v>
      </c>
      <c r="CE27" s="280">
        <v>8952.0000000000018</v>
      </c>
      <c r="CF27" s="280">
        <v>17139.212673167669</v>
      </c>
      <c r="CG27" s="280">
        <v>12757.075812847756</v>
      </c>
      <c r="CH27" s="280">
        <v>36665.91623839402</v>
      </c>
      <c r="CI27" s="280">
        <v>0</v>
      </c>
      <c r="CJ27" s="280">
        <v>0</v>
      </c>
      <c r="CK27" s="280">
        <v>0</v>
      </c>
      <c r="CL27" s="280">
        <v>322724.82677165361</v>
      </c>
      <c r="CM27" s="280">
        <v>661362.06614173227</v>
      </c>
      <c r="CN27" s="280">
        <v>111708.92032251973</v>
      </c>
      <c r="CO27" s="280">
        <v>278494.38353385834</v>
      </c>
      <c r="CP27" s="280">
        <v>1015026.4570809449</v>
      </c>
      <c r="CQ27" s="280">
        <v>277249.71589795285</v>
      </c>
      <c r="CR27" s="280">
        <v>503468.05872377963</v>
      </c>
      <c r="CS27" s="280">
        <v>439056.50856566947</v>
      </c>
      <c r="CT27" s="280">
        <v>244577.19045543307</v>
      </c>
      <c r="CU27" s="280">
        <v>104863.2483250394</v>
      </c>
      <c r="CV27" s="280">
        <v>137224.60685858267</v>
      </c>
      <c r="CW27" s="280">
        <v>1233264.5291338582</v>
      </c>
      <c r="CX27" s="280">
        <v>649158.91653543303</v>
      </c>
      <c r="CY27" s="280">
        <v>545277.58110236225</v>
      </c>
      <c r="CZ27" s="280">
        <v>287548.72440944886</v>
      </c>
      <c r="DA27" s="280">
        <v>41365.341732283465</v>
      </c>
      <c r="DB27" s="280">
        <v>56807.773228346443</v>
      </c>
      <c r="DC27" s="280">
        <v>82367.659842519686</v>
      </c>
      <c r="DD27" s="280">
        <v>0</v>
      </c>
      <c r="DE27" s="280">
        <v>0</v>
      </c>
      <c r="DF27" s="280">
        <v>0</v>
      </c>
      <c r="DG27" s="280">
        <v>0</v>
      </c>
      <c r="DH27" s="280">
        <v>246110.79966815922</v>
      </c>
      <c r="DI27" s="280">
        <v>43181.258487231571</v>
      </c>
      <c r="DJ27" s="280">
        <v>1030980.5135189795</v>
      </c>
      <c r="DK27" s="280">
        <v>53015.544400300823</v>
      </c>
      <c r="DL27" s="280">
        <v>860716.58756673522</v>
      </c>
      <c r="DM27" s="280">
        <v>395567.17619391403</v>
      </c>
      <c r="DN27" s="280">
        <v>77860.50753138127</v>
      </c>
      <c r="DO27" s="280">
        <v>9346.8309163590529</v>
      </c>
      <c r="DP27" s="280">
        <v>15464.756607066796</v>
      </c>
      <c r="DQ27" s="280">
        <v>6488.3756276151062</v>
      </c>
      <c r="DR27" s="280">
        <v>810407.99999999988</v>
      </c>
      <c r="DS27" s="280">
        <v>0</v>
      </c>
      <c r="DT27" s="280">
        <v>251940.53543307091</v>
      </c>
      <c r="DU27" s="280">
        <v>526916.50438348192</v>
      </c>
      <c r="DV27" s="280">
        <v>823089.39999999991</v>
      </c>
      <c r="DW27" s="280">
        <v>987707.27999999991</v>
      </c>
      <c r="DX27" s="280">
        <v>2237936</v>
      </c>
      <c r="DY27" s="280">
        <v>3152504</v>
      </c>
      <c r="DZ27" s="280">
        <v>1830423.9999999995</v>
      </c>
      <c r="EG27" s="280" t="str">
        <f>VLOOKUP(B27,'2022. tervsor'!C:D,2,0)</f>
        <v>Víz- és csatornadíjak</v>
      </c>
    </row>
    <row r="28" spans="1:137" s="280" customFormat="1" x14ac:dyDescent="0.3">
      <c r="A28" s="581"/>
      <c r="B28" s="581">
        <v>100</v>
      </c>
      <c r="C28" s="280">
        <v>39421.43386740001</v>
      </c>
      <c r="D28" s="280">
        <v>487475.07894669601</v>
      </c>
      <c r="E28" s="280">
        <v>36765.736253784868</v>
      </c>
      <c r="F28" s="280">
        <v>13858.404060593146</v>
      </c>
      <c r="G28" s="280">
        <v>302502.56183989963</v>
      </c>
      <c r="H28" s="280">
        <v>149279.83348752852</v>
      </c>
      <c r="I28" s="280">
        <v>1512.971285346573</v>
      </c>
      <c r="J28" s="280">
        <v>5180.780461944325</v>
      </c>
      <c r="K28" s="280">
        <v>6077.249859776789</v>
      </c>
      <c r="L28" s="280">
        <v>31847.86635376696</v>
      </c>
      <c r="M28" s="280">
        <v>731347.01793541666</v>
      </c>
      <c r="N28" s="280">
        <v>77757.113216049009</v>
      </c>
      <c r="O28" s="280">
        <v>1797.8489495848073</v>
      </c>
      <c r="P28" s="280">
        <v>3361.2389652976494</v>
      </c>
      <c r="Q28" s="280">
        <v>342839.93055731524</v>
      </c>
      <c r="R28" s="280">
        <v>123969.63541804801</v>
      </c>
      <c r="S28" s="280">
        <v>0</v>
      </c>
      <c r="T28" s="280">
        <v>303067.96385570097</v>
      </c>
      <c r="U28" s="280">
        <v>64930.098335343391</v>
      </c>
      <c r="V28" s="280">
        <v>261554.57691016857</v>
      </c>
      <c r="W28" s="280">
        <v>40352.038513490246</v>
      </c>
      <c r="X28" s="280">
        <v>10606134.773369759</v>
      </c>
      <c r="Y28" s="280">
        <v>77056.218732886453</v>
      </c>
      <c r="Z28" s="280">
        <v>118440.70330052183</v>
      </c>
      <c r="AA28" s="280">
        <v>334417.41828728019</v>
      </c>
      <c r="AB28" s="280">
        <v>141861.27447969696</v>
      </c>
      <c r="AC28" s="280">
        <v>42401.983827787619</v>
      </c>
      <c r="AD28" s="280">
        <v>125347.34396683336</v>
      </c>
      <c r="AE28" s="280">
        <v>0</v>
      </c>
      <c r="AF28" s="280">
        <v>0</v>
      </c>
      <c r="AG28" s="280">
        <v>0</v>
      </c>
      <c r="AH28" s="280">
        <v>0</v>
      </c>
      <c r="AI28" s="280">
        <v>0</v>
      </c>
      <c r="AJ28" s="280">
        <v>0</v>
      </c>
      <c r="AK28" s="280">
        <v>0</v>
      </c>
      <c r="AL28" s="280">
        <v>71855.321236223259</v>
      </c>
      <c r="AM28" s="280">
        <v>144576.36923432868</v>
      </c>
      <c r="AN28" s="280">
        <v>533834.83901951404</v>
      </c>
      <c r="AO28" s="280">
        <v>79362.466498033013</v>
      </c>
      <c r="AP28" s="280">
        <v>0</v>
      </c>
      <c r="AQ28" s="280">
        <v>408238.02795859304</v>
      </c>
      <c r="AR28" s="280">
        <v>37308.632693576074</v>
      </c>
      <c r="AS28" s="280">
        <v>130734.38233120872</v>
      </c>
      <c r="AT28" s="280">
        <v>140292.79236014144</v>
      </c>
      <c r="AU28" s="280">
        <v>551554.89173146652</v>
      </c>
      <c r="AV28" s="280">
        <v>1731012.6488089205</v>
      </c>
      <c r="AW28" s="280">
        <v>27265105.027063455</v>
      </c>
      <c r="AX28" s="280">
        <v>5624896.4699345008</v>
      </c>
      <c r="AY28" s="280">
        <v>2086701.7243845556</v>
      </c>
      <c r="AZ28" s="280">
        <v>386644.89165837131</v>
      </c>
      <c r="BA28" s="280">
        <v>0</v>
      </c>
      <c r="BB28" s="280">
        <v>49573.221170699864</v>
      </c>
      <c r="BC28" s="280">
        <v>188617.91350635694</v>
      </c>
      <c r="BD28" s="280">
        <v>166032.30656245735</v>
      </c>
      <c r="BE28" s="280">
        <v>138468.77954116135</v>
      </c>
      <c r="BF28" s="280">
        <v>0</v>
      </c>
      <c r="BG28" s="280">
        <v>431751.98452936223</v>
      </c>
      <c r="BH28" s="280">
        <v>0</v>
      </c>
      <c r="BI28" s="280">
        <v>433327.72810798528</v>
      </c>
      <c r="BJ28" s="280">
        <v>4033.6122791925641</v>
      </c>
      <c r="BK28" s="280">
        <v>79294.730560579264</v>
      </c>
      <c r="BL28" s="280">
        <v>180669.47593837287</v>
      </c>
      <c r="BM28" s="280">
        <v>3128.8183489492553</v>
      </c>
      <c r="BN28" s="280">
        <v>2271528.4211756266</v>
      </c>
      <c r="BO28" s="280">
        <v>30029.440124411682</v>
      </c>
      <c r="BP28" s="280">
        <v>1081443.6662466626</v>
      </c>
      <c r="BQ28" s="280">
        <v>218282.38362575902</v>
      </c>
      <c r="BR28" s="280">
        <v>22100.24133282607</v>
      </c>
      <c r="BS28" s="280">
        <v>75820.82795723404</v>
      </c>
      <c r="BT28" s="280">
        <v>23800.259896889616</v>
      </c>
      <c r="BU28" s="280">
        <v>1451774.5463200554</v>
      </c>
      <c r="BV28" s="280">
        <v>0</v>
      </c>
      <c r="BW28" s="280">
        <v>138975.56628818053</v>
      </c>
      <c r="BX28" s="280">
        <v>145407.38100043501</v>
      </c>
      <c r="BY28" s="280">
        <v>276846.10222232592</v>
      </c>
      <c r="BZ28" s="280">
        <v>535475.84794729506</v>
      </c>
      <c r="CA28" s="280">
        <v>23956.862835819244</v>
      </c>
      <c r="CB28" s="280">
        <v>74567.011449705766</v>
      </c>
      <c r="CC28" s="280">
        <v>0</v>
      </c>
      <c r="CD28" s="280">
        <v>5805.8985649024999</v>
      </c>
      <c r="CE28" s="280">
        <v>5236.7259841555015</v>
      </c>
      <c r="CF28" s="280">
        <v>0</v>
      </c>
      <c r="CG28" s="280">
        <v>0</v>
      </c>
      <c r="CH28" s="280">
        <v>0</v>
      </c>
      <c r="CI28" s="280">
        <v>0</v>
      </c>
      <c r="CJ28" s="280">
        <v>0</v>
      </c>
      <c r="CK28" s="280">
        <v>0</v>
      </c>
      <c r="CL28" s="280">
        <v>63281.303729876257</v>
      </c>
      <c r="CM28" s="280">
        <v>761710.86780084099</v>
      </c>
      <c r="CN28" s="280">
        <v>24899.785965311432</v>
      </c>
      <c r="CO28" s="280">
        <v>62076.068075080038</v>
      </c>
      <c r="CP28" s="280">
        <v>226248.19448146483</v>
      </c>
      <c r="CQ28" s="280">
        <v>61798.63313396235</v>
      </c>
      <c r="CR28" s="280">
        <v>112222.43368209997</v>
      </c>
      <c r="CS28" s="280">
        <v>97865.175479260259</v>
      </c>
      <c r="CT28" s="280">
        <v>54515.965929623351</v>
      </c>
      <c r="CU28" s="280">
        <v>23373.893789164205</v>
      </c>
      <c r="CV28" s="280">
        <v>30587.202258223788</v>
      </c>
      <c r="CW28" s="280">
        <v>332797.05131246633</v>
      </c>
      <c r="CX28" s="280">
        <v>191156.17309735296</v>
      </c>
      <c r="CY28" s="280">
        <v>54034.645712639009</v>
      </c>
      <c r="CZ28" s="280">
        <v>177331.55513225085</v>
      </c>
      <c r="DA28" s="280">
        <v>2006.7045636765001</v>
      </c>
      <c r="DB28" s="280">
        <v>4217.9569519427487</v>
      </c>
      <c r="DC28" s="280">
        <v>7811.8685311977488</v>
      </c>
      <c r="DD28" s="280">
        <v>1532.3113694970002</v>
      </c>
      <c r="DE28" s="280">
        <v>4306.4383902950003</v>
      </c>
      <c r="DF28" s="280">
        <v>2382.7465955769999</v>
      </c>
      <c r="DG28" s="280">
        <v>0</v>
      </c>
      <c r="DH28" s="280">
        <v>230570.77352508553</v>
      </c>
      <c r="DI28" s="280">
        <v>40454.69026394681</v>
      </c>
      <c r="DJ28" s="280">
        <v>965881.93127599452</v>
      </c>
      <c r="DK28" s="280">
        <v>49668.015778717345</v>
      </c>
      <c r="DL28" s="280">
        <v>806368.87795545824</v>
      </c>
      <c r="DM28" s="280">
        <v>370590.11599304643</v>
      </c>
      <c r="DN28" s="280">
        <v>72944.208351572495</v>
      </c>
      <c r="DO28" s="280">
        <v>8756.6495956248309</v>
      </c>
      <c r="DP28" s="280">
        <v>14488.27478548836</v>
      </c>
      <c r="DQ28" s="280">
        <v>6078.6840292977085</v>
      </c>
      <c r="DR28" s="280">
        <v>267961.49623797298</v>
      </c>
      <c r="DS28" s="280">
        <v>44468.620667684001</v>
      </c>
      <c r="DT28" s="280">
        <v>484.71673604399996</v>
      </c>
      <c r="DU28" s="280">
        <v>101699.82878935698</v>
      </c>
      <c r="DV28" s="280">
        <v>158863.97628838196</v>
      </c>
      <c r="DW28" s="280">
        <v>190636.77154605833</v>
      </c>
      <c r="DX28" s="280">
        <v>323829.24319627427</v>
      </c>
      <c r="DY28" s="280">
        <v>352217.76552443497</v>
      </c>
      <c r="DZ28" s="280">
        <v>146251.29300176949</v>
      </c>
      <c r="EG28" s="280" t="str">
        <f>VLOOKUP(B28,'2022. tervsor'!C:D,2,0)</f>
        <v>ÁFA mentes villamosenergia szolgáltatás díja</v>
      </c>
    </row>
    <row r="29" spans="1:137" s="280" customFormat="1" x14ac:dyDescent="0.3">
      <c r="A29" s="581"/>
      <c r="B29" s="581">
        <v>104</v>
      </c>
      <c r="C29" s="280">
        <v>0</v>
      </c>
      <c r="D29" s="280">
        <v>0</v>
      </c>
      <c r="E29" s="280">
        <v>0</v>
      </c>
      <c r="F29" s="280">
        <v>0</v>
      </c>
      <c r="G29" s="280">
        <v>0</v>
      </c>
      <c r="H29" s="280">
        <v>0</v>
      </c>
      <c r="I29" s="280">
        <v>0</v>
      </c>
      <c r="J29" s="280">
        <v>0</v>
      </c>
      <c r="K29" s="280">
        <v>0</v>
      </c>
      <c r="L29" s="280">
        <v>0</v>
      </c>
      <c r="M29" s="280">
        <v>0</v>
      </c>
      <c r="N29" s="280">
        <v>0</v>
      </c>
      <c r="O29" s="280">
        <v>0</v>
      </c>
      <c r="P29" s="280">
        <v>0</v>
      </c>
      <c r="Q29" s="280">
        <v>0</v>
      </c>
      <c r="R29" s="280">
        <v>0</v>
      </c>
      <c r="S29" s="280">
        <v>0</v>
      </c>
      <c r="T29" s="280">
        <v>0</v>
      </c>
      <c r="U29" s="280">
        <v>0</v>
      </c>
      <c r="V29" s="280">
        <v>0</v>
      </c>
      <c r="W29" s="280">
        <v>0</v>
      </c>
      <c r="X29" s="280">
        <v>0</v>
      </c>
      <c r="Y29" s="280">
        <v>0</v>
      </c>
      <c r="Z29" s="280">
        <v>0</v>
      </c>
      <c r="AA29" s="280">
        <v>0</v>
      </c>
      <c r="AB29" s="280">
        <v>0</v>
      </c>
      <c r="AC29" s="280">
        <v>0</v>
      </c>
      <c r="AD29" s="280">
        <v>0</v>
      </c>
      <c r="AE29" s="280">
        <v>417291181.05038416</v>
      </c>
      <c r="AF29" s="280">
        <v>2504183.4668743447</v>
      </c>
      <c r="AG29" s="280">
        <v>4145989.4045393895</v>
      </c>
      <c r="AH29" s="280">
        <v>12454385.100102047</v>
      </c>
      <c r="AI29" s="280">
        <v>9524642.8347116262</v>
      </c>
      <c r="AJ29" s="280">
        <v>1589268.7686955186</v>
      </c>
      <c r="AK29" s="280">
        <v>0</v>
      </c>
      <c r="AL29" s="280">
        <v>0</v>
      </c>
      <c r="AM29" s="280">
        <v>0</v>
      </c>
      <c r="AN29" s="280">
        <v>0</v>
      </c>
      <c r="AO29" s="280">
        <v>0</v>
      </c>
      <c r="AP29" s="280">
        <v>0</v>
      </c>
      <c r="AQ29" s="280">
        <v>0</v>
      </c>
      <c r="AR29" s="280">
        <v>0</v>
      </c>
      <c r="AS29" s="280">
        <v>0</v>
      </c>
      <c r="AT29" s="280">
        <v>0</v>
      </c>
      <c r="AU29" s="280">
        <v>0</v>
      </c>
      <c r="AV29" s="280">
        <v>0</v>
      </c>
      <c r="AW29" s="280">
        <v>0</v>
      </c>
      <c r="AX29" s="280">
        <v>0</v>
      </c>
      <c r="AY29" s="280">
        <v>0</v>
      </c>
      <c r="AZ29" s="280">
        <v>0</v>
      </c>
      <c r="BA29" s="280">
        <v>0</v>
      </c>
      <c r="BB29" s="280">
        <v>0</v>
      </c>
      <c r="BC29" s="280">
        <v>0</v>
      </c>
      <c r="BD29" s="280">
        <v>0</v>
      </c>
      <c r="BE29" s="280">
        <v>0</v>
      </c>
      <c r="BF29" s="280">
        <v>0</v>
      </c>
      <c r="BG29" s="280">
        <v>0</v>
      </c>
      <c r="BH29" s="280">
        <v>0</v>
      </c>
      <c r="BI29" s="280">
        <v>0</v>
      </c>
      <c r="BJ29" s="280">
        <v>0</v>
      </c>
      <c r="BK29" s="280">
        <v>0</v>
      </c>
      <c r="BL29" s="280">
        <v>0</v>
      </c>
      <c r="BM29" s="280">
        <v>0</v>
      </c>
      <c r="BN29" s="280">
        <v>0</v>
      </c>
      <c r="BO29" s="280">
        <v>0</v>
      </c>
      <c r="BP29" s="280">
        <v>0</v>
      </c>
      <c r="BQ29" s="280">
        <v>0</v>
      </c>
      <c r="BR29" s="280">
        <v>0</v>
      </c>
      <c r="BS29" s="280">
        <v>0</v>
      </c>
      <c r="BT29" s="280">
        <v>0</v>
      </c>
      <c r="BU29" s="280">
        <v>0</v>
      </c>
      <c r="BV29" s="280">
        <v>0</v>
      </c>
      <c r="BW29" s="280">
        <v>0</v>
      </c>
      <c r="BX29" s="280">
        <v>0</v>
      </c>
      <c r="BY29" s="280">
        <v>0</v>
      </c>
      <c r="BZ29" s="280">
        <v>0</v>
      </c>
      <c r="CA29" s="280">
        <v>0</v>
      </c>
      <c r="CB29" s="280">
        <v>0</v>
      </c>
      <c r="CC29" s="280">
        <v>0</v>
      </c>
      <c r="CD29" s="280">
        <v>0</v>
      </c>
      <c r="CE29" s="280">
        <v>0</v>
      </c>
      <c r="CF29" s="280">
        <v>0</v>
      </c>
      <c r="CG29" s="280">
        <v>0</v>
      </c>
      <c r="CH29" s="280">
        <v>0</v>
      </c>
      <c r="CI29" s="280">
        <v>0</v>
      </c>
      <c r="CJ29" s="280">
        <v>0</v>
      </c>
      <c r="CK29" s="280">
        <v>0</v>
      </c>
      <c r="CL29" s="280">
        <v>0</v>
      </c>
      <c r="CM29" s="280">
        <v>0</v>
      </c>
      <c r="CN29" s="280">
        <v>0</v>
      </c>
      <c r="CO29" s="280">
        <v>0</v>
      </c>
      <c r="CP29" s="280">
        <v>0</v>
      </c>
      <c r="CQ29" s="280">
        <v>0</v>
      </c>
      <c r="CR29" s="280">
        <v>0</v>
      </c>
      <c r="CS29" s="280">
        <v>0</v>
      </c>
      <c r="CT29" s="280">
        <v>0</v>
      </c>
      <c r="CU29" s="280">
        <v>0</v>
      </c>
      <c r="CV29" s="280">
        <v>0</v>
      </c>
      <c r="CW29" s="280">
        <v>0</v>
      </c>
      <c r="CX29" s="280">
        <v>0</v>
      </c>
      <c r="CY29" s="280">
        <v>0</v>
      </c>
      <c r="CZ29" s="280">
        <v>0</v>
      </c>
      <c r="DA29" s="280">
        <v>0</v>
      </c>
      <c r="DB29" s="280">
        <v>0</v>
      </c>
      <c r="DC29" s="280">
        <v>0</v>
      </c>
      <c r="DD29" s="280">
        <v>0</v>
      </c>
      <c r="DE29" s="280">
        <v>0</v>
      </c>
      <c r="DF29" s="280">
        <v>0</v>
      </c>
      <c r="DG29" s="280">
        <v>0</v>
      </c>
      <c r="DH29" s="280">
        <v>0</v>
      </c>
      <c r="DI29" s="280">
        <v>0</v>
      </c>
      <c r="DJ29" s="280">
        <v>0</v>
      </c>
      <c r="DK29" s="280">
        <v>0</v>
      </c>
      <c r="DL29" s="280">
        <v>0</v>
      </c>
      <c r="DM29" s="280">
        <v>0</v>
      </c>
      <c r="DN29" s="280">
        <v>0</v>
      </c>
      <c r="DO29" s="280">
        <v>0</v>
      </c>
      <c r="DP29" s="280">
        <v>0</v>
      </c>
      <c r="DQ29" s="280">
        <v>0</v>
      </c>
      <c r="DR29" s="280">
        <v>0</v>
      </c>
      <c r="DS29" s="280">
        <v>0</v>
      </c>
      <c r="DT29" s="280">
        <v>0</v>
      </c>
      <c r="DU29" s="280">
        <v>0</v>
      </c>
      <c r="DV29" s="280">
        <v>0</v>
      </c>
      <c r="DW29" s="280">
        <v>0</v>
      </c>
      <c r="DX29" s="280">
        <v>0</v>
      </c>
      <c r="DY29" s="280">
        <v>0</v>
      </c>
      <c r="DZ29" s="280">
        <v>0</v>
      </c>
      <c r="EA29" s="280">
        <v>393700787.40157479</v>
      </c>
      <c r="EB29" s="280">
        <v>86616478.31833522</v>
      </c>
      <c r="EG29" s="280" t="str">
        <f>VLOOKUP(B29,'2022. tervsor'!C:D,2,0)</f>
        <v>PPP szolgáltatás</v>
      </c>
    </row>
    <row r="30" spans="1:137" s="280" customFormat="1" x14ac:dyDescent="0.3">
      <c r="A30" s="581"/>
      <c r="B30" s="581">
        <v>105</v>
      </c>
      <c r="C30" s="280">
        <v>2390362.2047244096</v>
      </c>
      <c r="D30" s="280">
        <v>1251687.2288031257</v>
      </c>
      <c r="E30" s="280">
        <v>100507.53684091197</v>
      </c>
      <c r="F30" s="280">
        <v>40077.280978248418</v>
      </c>
      <c r="G30" s="280">
        <v>56258.882373581895</v>
      </c>
      <c r="H30" s="280">
        <v>26791.351692298431</v>
      </c>
      <c r="I30" s="280">
        <v>279.86940909641368</v>
      </c>
      <c r="J30" s="280">
        <v>1021.890312416612</v>
      </c>
      <c r="K30" s="280">
        <v>4730.7623288337745</v>
      </c>
      <c r="L30" s="280">
        <v>21253.715186665093</v>
      </c>
      <c r="M30" s="280">
        <v>526919.21212215023</v>
      </c>
      <c r="N30" s="280">
        <v>0</v>
      </c>
      <c r="O30" s="280">
        <v>0</v>
      </c>
      <c r="P30" s="280">
        <v>0</v>
      </c>
      <c r="Q30" s="280">
        <v>0</v>
      </c>
      <c r="R30" s="280">
        <v>0</v>
      </c>
      <c r="S30" s="280">
        <v>3242988.166309637</v>
      </c>
      <c r="T30" s="280">
        <v>0</v>
      </c>
      <c r="U30" s="280">
        <v>0</v>
      </c>
      <c r="V30" s="280">
        <v>0</v>
      </c>
      <c r="W30" s="280">
        <v>0</v>
      </c>
      <c r="X30" s="280">
        <v>0</v>
      </c>
      <c r="Y30" s="280">
        <v>0</v>
      </c>
      <c r="Z30" s="280">
        <v>0</v>
      </c>
      <c r="AA30" s="280">
        <v>0</v>
      </c>
      <c r="AB30" s="280">
        <v>0</v>
      </c>
      <c r="AC30" s="280">
        <v>0</v>
      </c>
      <c r="AD30" s="280">
        <v>0</v>
      </c>
      <c r="AE30" s="280">
        <v>0</v>
      </c>
      <c r="AF30" s="280">
        <v>0</v>
      </c>
      <c r="AG30" s="280">
        <v>0</v>
      </c>
      <c r="AH30" s="280">
        <v>0</v>
      </c>
      <c r="AI30" s="280">
        <v>0</v>
      </c>
      <c r="AJ30" s="280">
        <v>0</v>
      </c>
      <c r="AK30" s="280">
        <v>0</v>
      </c>
      <c r="AL30" s="280">
        <v>0</v>
      </c>
      <c r="AM30" s="280">
        <v>0</v>
      </c>
      <c r="AN30" s="280">
        <v>142922.67827240791</v>
      </c>
      <c r="AO30" s="280">
        <v>0</v>
      </c>
      <c r="AP30" s="280">
        <v>0</v>
      </c>
      <c r="AQ30" s="280">
        <v>0</v>
      </c>
      <c r="AR30" s="280">
        <v>0</v>
      </c>
      <c r="AS30" s="280">
        <v>0</v>
      </c>
      <c r="AT30" s="280">
        <v>0</v>
      </c>
      <c r="AU30" s="280">
        <v>0</v>
      </c>
      <c r="AV30" s="280">
        <v>0</v>
      </c>
      <c r="AW30" s="280">
        <v>0</v>
      </c>
      <c r="AX30" s="280">
        <v>0</v>
      </c>
      <c r="AY30" s="280">
        <v>0</v>
      </c>
      <c r="AZ30" s="280">
        <v>0</v>
      </c>
      <c r="BA30" s="280">
        <v>0</v>
      </c>
      <c r="BB30" s="280">
        <v>0</v>
      </c>
      <c r="BC30" s="280">
        <v>0</v>
      </c>
      <c r="BD30" s="280">
        <v>0</v>
      </c>
      <c r="BE30" s="280">
        <v>0</v>
      </c>
      <c r="BF30" s="280">
        <v>0</v>
      </c>
      <c r="BG30" s="280">
        <v>0</v>
      </c>
      <c r="BH30" s="280">
        <v>0</v>
      </c>
      <c r="BI30" s="280">
        <v>0</v>
      </c>
      <c r="BJ30" s="280">
        <v>901.9421211965323</v>
      </c>
      <c r="BK30" s="280">
        <v>19061.721858919591</v>
      </c>
      <c r="BL30" s="280">
        <v>15161.292258073227</v>
      </c>
      <c r="BM30" s="280">
        <v>696.47765292965721</v>
      </c>
      <c r="BN30" s="280">
        <v>0</v>
      </c>
      <c r="BO30" s="280">
        <v>0</v>
      </c>
      <c r="BP30" s="280">
        <v>0</v>
      </c>
      <c r="BQ30" s="280">
        <v>0</v>
      </c>
      <c r="BR30" s="280">
        <v>0</v>
      </c>
      <c r="BS30" s="280">
        <v>0</v>
      </c>
      <c r="BT30" s="280">
        <v>0</v>
      </c>
      <c r="BU30" s="280">
        <v>0</v>
      </c>
      <c r="BV30" s="280">
        <v>0</v>
      </c>
      <c r="BW30" s="280">
        <v>0</v>
      </c>
      <c r="BX30" s="280">
        <v>0</v>
      </c>
      <c r="BY30" s="280">
        <v>71846.928439577532</v>
      </c>
      <c r="BZ30" s="280">
        <v>0</v>
      </c>
      <c r="CA30" s="280">
        <v>0</v>
      </c>
      <c r="CB30" s="280">
        <v>0</v>
      </c>
      <c r="CC30" s="280">
        <v>0</v>
      </c>
      <c r="CD30" s="280">
        <v>0</v>
      </c>
      <c r="CE30" s="280">
        <v>0</v>
      </c>
      <c r="CF30" s="280">
        <v>0</v>
      </c>
      <c r="CG30" s="280">
        <v>0</v>
      </c>
      <c r="CH30" s="280">
        <v>0</v>
      </c>
      <c r="CI30" s="280">
        <v>0</v>
      </c>
      <c r="CJ30" s="280">
        <v>0</v>
      </c>
      <c r="CK30" s="280">
        <v>0</v>
      </c>
      <c r="CL30" s="280">
        <v>0</v>
      </c>
      <c r="CM30" s="280">
        <v>72712.472904142021</v>
      </c>
      <c r="CN30" s="280">
        <v>6242.0921410054498</v>
      </c>
      <c r="CO30" s="280">
        <v>15765.024741295518</v>
      </c>
      <c r="CP30" s="280">
        <v>58782.221761821784</v>
      </c>
      <c r="CQ30" s="280">
        <v>16123.813970791516</v>
      </c>
      <c r="CR30" s="280">
        <v>27392.957615697043</v>
      </c>
      <c r="CS30" s="280">
        <v>23761.796273371761</v>
      </c>
      <c r="CT30" s="280">
        <v>13145.952741071913</v>
      </c>
      <c r="CU30" s="280">
        <v>5901.3121113794768</v>
      </c>
      <c r="CV30" s="280">
        <v>7282.6715028131312</v>
      </c>
      <c r="CW30" s="280">
        <v>97942.400043582355</v>
      </c>
      <c r="CX30" s="280">
        <v>0</v>
      </c>
      <c r="CY30" s="280">
        <v>0</v>
      </c>
      <c r="CZ30" s="280">
        <v>0</v>
      </c>
      <c r="DA30" s="280">
        <v>0</v>
      </c>
      <c r="DB30" s="280">
        <v>0</v>
      </c>
      <c r="DC30" s="280">
        <v>0</v>
      </c>
      <c r="DD30" s="280">
        <v>10943.063634444439</v>
      </c>
      <c r="DE30" s="280">
        <v>470797.49063270277</v>
      </c>
      <c r="DF30" s="280">
        <v>939884.30381387495</v>
      </c>
      <c r="DG30" s="280">
        <v>0</v>
      </c>
      <c r="DH30" s="280">
        <v>0</v>
      </c>
      <c r="DI30" s="280">
        <v>0</v>
      </c>
      <c r="DJ30" s="280">
        <v>0</v>
      </c>
      <c r="DK30" s="280">
        <v>0</v>
      </c>
      <c r="DL30" s="280">
        <v>0</v>
      </c>
      <c r="DM30" s="280">
        <v>0</v>
      </c>
      <c r="DN30" s="280">
        <v>0</v>
      </c>
      <c r="DO30" s="280">
        <v>0</v>
      </c>
      <c r="DP30" s="280">
        <v>0</v>
      </c>
      <c r="DQ30" s="280">
        <v>0</v>
      </c>
      <c r="DR30" s="280">
        <v>0</v>
      </c>
      <c r="DS30" s="280">
        <v>0</v>
      </c>
      <c r="DT30" s="280">
        <v>0</v>
      </c>
      <c r="DU30" s="280">
        <v>0</v>
      </c>
      <c r="DV30" s="280">
        <v>0</v>
      </c>
      <c r="DW30" s="280">
        <v>0</v>
      </c>
      <c r="DX30" s="280">
        <v>0</v>
      </c>
      <c r="DY30" s="280">
        <v>0</v>
      </c>
      <c r="DZ30" s="280">
        <v>0</v>
      </c>
      <c r="EG30" s="280" t="str">
        <f>VLOOKUP(B30,'2022. tervsor'!C:D,2,0)</f>
        <v>Egyéb kül. bérleti és lízing díjak (PPP nélkül)</v>
      </c>
    </row>
    <row r="31" spans="1:137" s="280" customFormat="1" x14ac:dyDescent="0.3">
      <c r="A31" s="581"/>
      <c r="B31" s="581">
        <v>108</v>
      </c>
      <c r="C31" s="280">
        <v>2401574.8031496066</v>
      </c>
      <c r="D31" s="280">
        <v>39144765.046584964</v>
      </c>
      <c r="E31" s="280">
        <v>3143232.4501788965</v>
      </c>
      <c r="F31" s="280">
        <v>1253360.8328812451</v>
      </c>
      <c r="G31" s="280">
        <v>19623920.15578955</v>
      </c>
      <c r="H31" s="280">
        <v>9345214.9117385298</v>
      </c>
      <c r="I31" s="280">
        <v>97622.538991905501</v>
      </c>
      <c r="J31" s="280">
        <v>356450.27154423471</v>
      </c>
      <c r="K31" s="280">
        <v>593784.85453357652</v>
      </c>
      <c r="L31" s="280">
        <v>2667674.5317541892</v>
      </c>
      <c r="M31" s="280">
        <v>66136623.650258049</v>
      </c>
      <c r="N31" s="280">
        <v>3257696.4456736175</v>
      </c>
      <c r="O31" s="280">
        <v>165461.66642308573</v>
      </c>
      <c r="P31" s="280">
        <v>907765.54078612884</v>
      </c>
      <c r="Q31" s="280">
        <v>37190247.484976523</v>
      </c>
      <c r="R31" s="280">
        <v>7711767.3960181978</v>
      </c>
      <c r="S31" s="280">
        <v>0</v>
      </c>
      <c r="T31" s="280">
        <v>11306386.879450886</v>
      </c>
      <c r="U31" s="280">
        <v>212261.81162370727</v>
      </c>
      <c r="V31" s="280">
        <v>855056.62731514766</v>
      </c>
      <c r="W31" s="280">
        <v>107167.56846348519</v>
      </c>
      <c r="X31" s="280">
        <v>40192497.810251005</v>
      </c>
      <c r="Y31" s="280">
        <v>258166.31175852258</v>
      </c>
      <c r="Z31" s="280">
        <v>236703.03101522187</v>
      </c>
      <c r="AA31" s="280">
        <v>949834.06991909433</v>
      </c>
      <c r="AB31" s="280">
        <v>0</v>
      </c>
      <c r="AC31" s="280">
        <v>141772.50492472301</v>
      </c>
      <c r="AD31" s="280">
        <v>194630.98075724836</v>
      </c>
      <c r="AE31" s="280">
        <v>0</v>
      </c>
      <c r="AF31" s="280">
        <v>0</v>
      </c>
      <c r="AG31" s="280">
        <v>0</v>
      </c>
      <c r="AH31" s="280">
        <v>0</v>
      </c>
      <c r="AI31" s="280">
        <v>0</v>
      </c>
      <c r="AJ31" s="280">
        <v>0</v>
      </c>
      <c r="AK31" s="280">
        <v>0</v>
      </c>
      <c r="AL31" s="280">
        <v>146530.39622544587</v>
      </c>
      <c r="AM31" s="280">
        <v>220356.97223694343</v>
      </c>
      <c r="AN31" s="280">
        <v>19659540.904731225</v>
      </c>
      <c r="AO31" s="280">
        <v>0</v>
      </c>
      <c r="AP31" s="280">
        <v>0</v>
      </c>
      <c r="AQ31" s="280">
        <v>32537271.380935755</v>
      </c>
      <c r="AR31" s="280">
        <v>297314.11485469498</v>
      </c>
      <c r="AS31" s="280">
        <v>963172.83664728259</v>
      </c>
      <c r="AT31" s="280">
        <v>461930.60351979831</v>
      </c>
      <c r="AU31" s="280">
        <v>32232130.719070885</v>
      </c>
      <c r="AV31" s="280">
        <v>17157768.857569449</v>
      </c>
      <c r="AW31" s="280">
        <v>347021313.89616078</v>
      </c>
      <c r="AX31" s="280">
        <v>73369200.089040518</v>
      </c>
      <c r="AY31" s="280">
        <v>27483027.120768599</v>
      </c>
      <c r="AZ31" s="280">
        <v>4985244.4815467745</v>
      </c>
      <c r="BA31" s="280">
        <v>0</v>
      </c>
      <c r="BB31" s="280">
        <v>371074.84808371763</v>
      </c>
      <c r="BC31" s="280">
        <v>2338574.6657643784</v>
      </c>
      <c r="BD31" s="280">
        <v>0</v>
      </c>
      <c r="BE31" s="280">
        <v>0</v>
      </c>
      <c r="BF31" s="280">
        <v>0</v>
      </c>
      <c r="BG31" s="280">
        <v>0</v>
      </c>
      <c r="BH31" s="280">
        <v>0</v>
      </c>
      <c r="BI31" s="280">
        <v>41143040.889571816</v>
      </c>
      <c r="BJ31" s="280">
        <v>594857.70250534837</v>
      </c>
      <c r="BK31" s="280">
        <v>12574053.771150649</v>
      </c>
      <c r="BL31" s="280">
        <v>9999323.9784444794</v>
      </c>
      <c r="BM31" s="280">
        <v>459347.76382150647</v>
      </c>
      <c r="BN31" s="280">
        <v>74918767.423882857</v>
      </c>
      <c r="BO31" s="280">
        <v>1022458.1569067169</v>
      </c>
      <c r="BP31" s="280">
        <v>38732231.016651005</v>
      </c>
      <c r="BQ31" s="280">
        <v>23342884.009476677</v>
      </c>
      <c r="BR31" s="280">
        <v>2074449.3611959126</v>
      </c>
      <c r="BS31" s="280">
        <v>4733653.1306384243</v>
      </c>
      <c r="BT31" s="280">
        <v>1097997.1655654968</v>
      </c>
      <c r="BU31" s="280">
        <v>16332647.563231852</v>
      </c>
      <c r="BV31" s="280">
        <v>2382700.8904153891</v>
      </c>
      <c r="BW31" s="280">
        <v>1077689.8135120973</v>
      </c>
      <c r="BX31" s="280">
        <v>2818698.3060918595</v>
      </c>
      <c r="BY31" s="280">
        <v>28692741.786147755</v>
      </c>
      <c r="BZ31" s="280">
        <v>8725912.1725452412</v>
      </c>
      <c r="CA31" s="280">
        <v>1267157.1326654966</v>
      </c>
      <c r="CB31" s="280">
        <v>688722.73413490481</v>
      </c>
      <c r="CC31" s="280">
        <v>0</v>
      </c>
      <c r="CD31" s="280">
        <v>1619646.0931970575</v>
      </c>
      <c r="CE31" s="280">
        <v>826679.97243345482</v>
      </c>
      <c r="CF31" s="280">
        <v>5468050.1389016202</v>
      </c>
      <c r="CG31" s="280">
        <v>2806643.7677184902</v>
      </c>
      <c r="CH31" s="280">
        <v>8786196.5452753641</v>
      </c>
      <c r="CI31" s="280">
        <v>0</v>
      </c>
      <c r="CJ31" s="280">
        <v>0</v>
      </c>
      <c r="CK31" s="280">
        <v>0</v>
      </c>
      <c r="CL31" s="280">
        <v>4155733.2937607826</v>
      </c>
      <c r="CM31" s="280">
        <v>21421238.311136466</v>
      </c>
      <c r="CN31" s="280">
        <v>1318660.9380925458</v>
      </c>
      <c r="CO31" s="280">
        <v>3330409.3955685152</v>
      </c>
      <c r="CP31" s="280">
        <v>12417923.020137021</v>
      </c>
      <c r="CQ31" s="280">
        <v>3406204.7108661989</v>
      </c>
      <c r="CR31" s="280">
        <v>5786845.5592560386</v>
      </c>
      <c r="CS31" s="280">
        <v>5019751.6885037944</v>
      </c>
      <c r="CT31" s="280">
        <v>2777122.4746563742</v>
      </c>
      <c r="CU31" s="280">
        <v>1246670.1210077137</v>
      </c>
      <c r="CV31" s="280">
        <v>1538486.4911930861</v>
      </c>
      <c r="CW31" s="280">
        <v>33937446.756764211</v>
      </c>
      <c r="CX31" s="280">
        <v>863990.7758079319</v>
      </c>
      <c r="CY31" s="280">
        <v>3846973.8684083396</v>
      </c>
      <c r="CZ31" s="280">
        <v>147963.6217060083</v>
      </c>
      <c r="DA31" s="280">
        <v>172162.10820735537</v>
      </c>
      <c r="DB31" s="280">
        <v>36214.259649728847</v>
      </c>
      <c r="DC31" s="280">
        <v>217233.95097847414</v>
      </c>
      <c r="DD31" s="280">
        <v>4617.3264280356279</v>
      </c>
      <c r="DE31" s="280">
        <v>226562.79626212837</v>
      </c>
      <c r="DF31" s="280">
        <v>185876.45680092453</v>
      </c>
      <c r="DG31" s="280">
        <v>0</v>
      </c>
      <c r="DH31" s="280">
        <v>11907043.638452915</v>
      </c>
      <c r="DI31" s="280">
        <v>4659523.3402682086</v>
      </c>
      <c r="DJ31" s="280">
        <v>49292945.044431828</v>
      </c>
      <c r="DK31" s="280">
        <v>0</v>
      </c>
      <c r="DL31" s="280">
        <v>33596638.372422747</v>
      </c>
      <c r="DM31" s="280">
        <v>16262349.798637284</v>
      </c>
      <c r="DN31" s="280">
        <v>4144959.958389225</v>
      </c>
      <c r="DO31" s="280">
        <v>424191.51095162646</v>
      </c>
      <c r="DP31" s="280">
        <v>899759.48675547645</v>
      </c>
      <c r="DQ31" s="280">
        <v>315621.43750293634</v>
      </c>
      <c r="DR31" s="280">
        <v>50329740.046254478</v>
      </c>
      <c r="DS31" s="280">
        <v>2101112.1665986711</v>
      </c>
      <c r="DT31" s="280">
        <v>67874.80314960629</v>
      </c>
      <c r="DU31" s="280">
        <v>0</v>
      </c>
      <c r="DV31" s="280">
        <v>2200003.9370078738</v>
      </c>
      <c r="DW31" s="280">
        <v>1366908.6614173227</v>
      </c>
      <c r="DX31" s="280">
        <v>45013197.856653936</v>
      </c>
      <c r="DY31" s="280">
        <v>55440588.020504817</v>
      </c>
      <c r="DZ31" s="280">
        <v>27436235.552477777</v>
      </c>
      <c r="EG31" s="280" t="str">
        <f>VLOOKUP(B31,'2022. tervsor'!C:D,2,0)</f>
        <v>Ingatlanok karbantartása. kisjavítása</v>
      </c>
    </row>
    <row r="32" spans="1:137" s="280" customFormat="1" x14ac:dyDescent="0.3">
      <c r="A32" s="581"/>
      <c r="B32" s="581">
        <v>109</v>
      </c>
      <c r="C32" s="280">
        <v>39370.078740157485</v>
      </c>
      <c r="D32" s="280">
        <v>364937.05446177028</v>
      </c>
      <c r="E32" s="280">
        <v>29303.58607317819</v>
      </c>
      <c r="F32" s="280">
        <v>11684.775984351874</v>
      </c>
      <c r="G32" s="280">
        <v>239560.14157497667</v>
      </c>
      <c r="H32" s="280">
        <v>114082.25214594448</v>
      </c>
      <c r="I32" s="280">
        <v>1191.7327973284669</v>
      </c>
      <c r="J32" s="280">
        <v>4351.3873292224534</v>
      </c>
      <c r="K32" s="280">
        <v>6727.3489330282518</v>
      </c>
      <c r="L32" s="280">
        <v>30223.703548249359</v>
      </c>
      <c r="M32" s="280">
        <v>749301.94185762212</v>
      </c>
      <c r="N32" s="280">
        <v>0</v>
      </c>
      <c r="O32" s="280">
        <v>3462.3365394711932</v>
      </c>
      <c r="P32" s="280">
        <v>18995.274670448514</v>
      </c>
      <c r="Q32" s="280">
        <v>778217.42983029166</v>
      </c>
      <c r="R32" s="280">
        <v>12186.758315748373</v>
      </c>
      <c r="S32" s="280">
        <v>0</v>
      </c>
      <c r="T32" s="280">
        <v>58181.625656850367</v>
      </c>
      <c r="U32" s="280">
        <v>262670.56010654505</v>
      </c>
      <c r="V32" s="280">
        <v>1058118.7520336702</v>
      </c>
      <c r="W32" s="280">
        <v>132618.13332425241</v>
      </c>
      <c r="X32" s="280">
        <v>2681262.1859699539</v>
      </c>
      <c r="Y32" s="280">
        <v>17222.407342718318</v>
      </c>
      <c r="Z32" s="280">
        <v>15790.580853218786</v>
      </c>
      <c r="AA32" s="280">
        <v>63363.918974213761</v>
      </c>
      <c r="AB32" s="280">
        <v>0</v>
      </c>
      <c r="AC32" s="280">
        <v>9457.7166679088004</v>
      </c>
      <c r="AD32" s="280">
        <v>270141.19145339751</v>
      </c>
      <c r="AE32" s="280">
        <v>0</v>
      </c>
      <c r="AF32" s="280">
        <v>0</v>
      </c>
      <c r="AG32" s="280">
        <v>0</v>
      </c>
      <c r="AH32" s="280">
        <v>0</v>
      </c>
      <c r="AI32" s="280">
        <v>0</v>
      </c>
      <c r="AJ32" s="280">
        <v>0</v>
      </c>
      <c r="AK32" s="280">
        <v>0</v>
      </c>
      <c r="AL32" s="280">
        <v>328871.25290089549</v>
      </c>
      <c r="AM32" s="280">
        <v>494566.82989864697</v>
      </c>
      <c r="AN32" s="280">
        <v>638628.49121553206</v>
      </c>
      <c r="AO32" s="280">
        <v>0</v>
      </c>
      <c r="AP32" s="280">
        <v>0</v>
      </c>
      <c r="AQ32" s="280">
        <v>307184.56033476099</v>
      </c>
      <c r="AR32" s="280">
        <v>142297.36460959839</v>
      </c>
      <c r="AS32" s="280">
        <v>460983.68516894238</v>
      </c>
      <c r="AT32" s="280">
        <v>221084.38257468276</v>
      </c>
      <c r="AU32" s="280">
        <v>137984.49259234755</v>
      </c>
      <c r="AV32" s="280">
        <v>106359.08686563498</v>
      </c>
      <c r="AW32" s="280">
        <v>2151146.2460706574</v>
      </c>
      <c r="AX32" s="280">
        <v>454807.45138315414</v>
      </c>
      <c r="AY32" s="280">
        <v>170364.20604179351</v>
      </c>
      <c r="AZ32" s="280">
        <v>30902.972015813251</v>
      </c>
      <c r="BA32" s="280">
        <v>0</v>
      </c>
      <c r="BB32" s="280">
        <v>27626.179875202321</v>
      </c>
      <c r="BC32" s="280">
        <v>174104.72496756836</v>
      </c>
      <c r="BD32" s="280">
        <v>0</v>
      </c>
      <c r="BE32" s="280">
        <v>0</v>
      </c>
      <c r="BF32" s="280">
        <v>0</v>
      </c>
      <c r="BG32" s="280">
        <v>0</v>
      </c>
      <c r="BH32" s="280">
        <v>0</v>
      </c>
      <c r="BI32" s="280">
        <v>315654.56127960043</v>
      </c>
      <c r="BJ32" s="280">
        <v>21589.291222509892</v>
      </c>
      <c r="BK32" s="280">
        <v>456269.92546789581</v>
      </c>
      <c r="BL32" s="280">
        <v>362907.49281660886</v>
      </c>
      <c r="BM32" s="280">
        <v>16671.20153909755</v>
      </c>
      <c r="BN32" s="280">
        <v>868291.34040073922</v>
      </c>
      <c r="BO32" s="280">
        <v>11850.055654829013</v>
      </c>
      <c r="BP32" s="280">
        <v>190620.69566413591</v>
      </c>
      <c r="BQ32" s="280">
        <v>75104.016332288389</v>
      </c>
      <c r="BR32" s="280">
        <v>6674.3885905662728</v>
      </c>
      <c r="BS32" s="280">
        <v>15230.181578699738</v>
      </c>
      <c r="BT32" s="280">
        <v>3532.7253060058451</v>
      </c>
      <c r="BU32" s="280">
        <v>1455401.4748021613</v>
      </c>
      <c r="BV32" s="280">
        <v>85658.416407335448</v>
      </c>
      <c r="BW32" s="280">
        <v>145942.13032003827</v>
      </c>
      <c r="BX32" s="280">
        <v>684652.92124833481</v>
      </c>
      <c r="BY32" s="280">
        <v>313884.86096682632</v>
      </c>
      <c r="BZ32" s="280">
        <v>17034.270398240576</v>
      </c>
      <c r="CA32" s="280">
        <v>744454.81544097932</v>
      </c>
      <c r="CB32" s="280">
        <v>149729.10061870699</v>
      </c>
      <c r="CC32" s="280">
        <v>0</v>
      </c>
      <c r="CD32" s="280">
        <v>0</v>
      </c>
      <c r="CE32" s="280">
        <v>131507.69426347202</v>
      </c>
      <c r="CF32" s="280">
        <v>31928.965999129869</v>
      </c>
      <c r="CG32" s="280">
        <v>16388.517141350545</v>
      </c>
      <c r="CH32" s="280">
        <v>51304.242578163517</v>
      </c>
      <c r="CI32" s="280">
        <v>0</v>
      </c>
      <c r="CJ32" s="280">
        <v>0</v>
      </c>
      <c r="CK32" s="280">
        <v>0</v>
      </c>
      <c r="CL32" s="280">
        <v>1232676.4756182847</v>
      </c>
      <c r="CM32" s="280">
        <v>2842282.7899993691</v>
      </c>
      <c r="CN32" s="280">
        <v>17776.966115894866</v>
      </c>
      <c r="CO32" s="280">
        <v>44897.496594324934</v>
      </c>
      <c r="CP32" s="280">
        <v>167406.94319654891</v>
      </c>
      <c r="CQ32" s="280">
        <v>45919.298873339518</v>
      </c>
      <c r="CR32" s="280">
        <v>78012.895091605053</v>
      </c>
      <c r="CS32" s="280">
        <v>67671.645605744969</v>
      </c>
      <c r="CT32" s="280">
        <v>37438.594490460047</v>
      </c>
      <c r="CU32" s="280">
        <v>16806.452560057034</v>
      </c>
      <c r="CV32" s="280">
        <v>20740.45073577666</v>
      </c>
      <c r="CW32" s="280">
        <v>202555.70829330262</v>
      </c>
      <c r="CX32" s="280">
        <v>1493385.6166368774</v>
      </c>
      <c r="CY32" s="280">
        <v>342953.62784321152</v>
      </c>
      <c r="CZ32" s="280">
        <v>346388.8253811177</v>
      </c>
      <c r="DA32" s="280">
        <v>229624.1521308253</v>
      </c>
      <c r="DB32" s="280">
        <v>61001.834249748666</v>
      </c>
      <c r="DC32" s="280">
        <v>52164.647944930541</v>
      </c>
      <c r="DD32" s="280">
        <v>3809.294303129393</v>
      </c>
      <c r="DE32" s="280">
        <v>186914.30691625591</v>
      </c>
      <c r="DF32" s="280">
        <v>190523.36822094765</v>
      </c>
      <c r="DG32" s="280">
        <v>0</v>
      </c>
      <c r="DH32" s="280">
        <v>84156.574998779121</v>
      </c>
      <c r="DI32" s="280">
        <v>32932.568095869741</v>
      </c>
      <c r="DJ32" s="280">
        <v>348392.56094986619</v>
      </c>
      <c r="DK32" s="280">
        <v>0</v>
      </c>
      <c r="DL32" s="280">
        <v>237454.24160241146</v>
      </c>
      <c r="DM32" s="280">
        <v>114938.9976253769</v>
      </c>
      <c r="DN32" s="280">
        <v>29295.738236703241</v>
      </c>
      <c r="DO32" s="280">
        <v>2998.0997625607338</v>
      </c>
      <c r="DP32" s="280">
        <v>6359.3179824642566</v>
      </c>
      <c r="DQ32" s="280">
        <v>2230.7484530131014</v>
      </c>
      <c r="DR32" s="280">
        <v>192525.90389508515</v>
      </c>
      <c r="DS32" s="280">
        <v>8068.1807312099963</v>
      </c>
      <c r="DT32" s="280">
        <v>0</v>
      </c>
      <c r="DU32" s="280">
        <v>0</v>
      </c>
      <c r="DV32" s="280">
        <v>0</v>
      </c>
      <c r="DW32" s="280">
        <v>0</v>
      </c>
      <c r="DX32" s="280">
        <v>168121.49336540821</v>
      </c>
      <c r="DY32" s="280">
        <v>207067.1468564817</v>
      </c>
      <c r="DZ32" s="280">
        <v>102845.71434783093</v>
      </c>
      <c r="EG32" s="280" t="str">
        <f>VLOOKUP(B32,'2022. tervsor'!C:D,2,0)</f>
        <v>Gépek berendezések karbantartása, kisjavítása ktg.</v>
      </c>
    </row>
    <row r="33" spans="1:137" s="280" customFormat="1" x14ac:dyDescent="0.3">
      <c r="A33" s="581"/>
      <c r="B33" s="581">
        <v>112</v>
      </c>
      <c r="C33" s="280">
        <v>0</v>
      </c>
      <c r="D33" s="280">
        <v>0</v>
      </c>
      <c r="E33" s="280">
        <v>0</v>
      </c>
      <c r="F33" s="280">
        <v>0</v>
      </c>
      <c r="G33" s="280">
        <v>0</v>
      </c>
      <c r="H33" s="280">
        <v>0</v>
      </c>
      <c r="I33" s="280">
        <v>0</v>
      </c>
      <c r="J33" s="280">
        <v>0</v>
      </c>
      <c r="K33" s="280">
        <v>0</v>
      </c>
      <c r="L33" s="280">
        <v>0</v>
      </c>
      <c r="M33" s="280">
        <v>0</v>
      </c>
      <c r="N33" s="280">
        <v>0</v>
      </c>
      <c r="O33" s="280">
        <v>0</v>
      </c>
      <c r="P33" s="280">
        <v>0</v>
      </c>
      <c r="Q33" s="280">
        <v>0</v>
      </c>
      <c r="R33" s="280">
        <v>0</v>
      </c>
      <c r="S33" s="280">
        <v>0</v>
      </c>
      <c r="T33" s="280">
        <v>0</v>
      </c>
      <c r="U33" s="280">
        <v>0</v>
      </c>
      <c r="V33" s="280">
        <v>0</v>
      </c>
      <c r="W33" s="280">
        <v>0</v>
      </c>
      <c r="X33" s="280">
        <v>0</v>
      </c>
      <c r="Y33" s="280">
        <v>0</v>
      </c>
      <c r="Z33" s="280">
        <v>0</v>
      </c>
      <c r="AA33" s="280">
        <v>0</v>
      </c>
      <c r="AB33" s="280">
        <v>0</v>
      </c>
      <c r="AC33" s="280">
        <v>0</v>
      </c>
      <c r="AD33" s="280">
        <v>0</v>
      </c>
      <c r="AE33" s="280">
        <v>0</v>
      </c>
      <c r="AF33" s="280">
        <v>0</v>
      </c>
      <c r="AG33" s="280">
        <v>0</v>
      </c>
      <c r="AH33" s="280">
        <v>0</v>
      </c>
      <c r="AI33" s="280">
        <v>0</v>
      </c>
      <c r="AJ33" s="280">
        <v>0</v>
      </c>
      <c r="AK33" s="280">
        <v>0</v>
      </c>
      <c r="AL33" s="280">
        <v>0</v>
      </c>
      <c r="AM33" s="280">
        <v>0</v>
      </c>
      <c r="AN33" s="280">
        <v>0</v>
      </c>
      <c r="AO33" s="280">
        <v>0</v>
      </c>
      <c r="AP33" s="280">
        <v>0</v>
      </c>
      <c r="AQ33" s="280">
        <v>0</v>
      </c>
      <c r="AR33" s="280">
        <v>0</v>
      </c>
      <c r="AS33" s="280">
        <v>0</v>
      </c>
      <c r="AT33" s="280">
        <v>0</v>
      </c>
      <c r="AU33" s="280">
        <v>0</v>
      </c>
      <c r="AV33" s="280">
        <v>0</v>
      </c>
      <c r="AW33" s="280">
        <v>0</v>
      </c>
      <c r="AX33" s="280">
        <v>0</v>
      </c>
      <c r="AY33" s="280">
        <v>0</v>
      </c>
      <c r="AZ33" s="280">
        <v>0</v>
      </c>
      <c r="BA33" s="280">
        <v>0</v>
      </c>
      <c r="BB33" s="280">
        <v>0</v>
      </c>
      <c r="BC33" s="280">
        <v>0</v>
      </c>
      <c r="BD33" s="280">
        <v>0</v>
      </c>
      <c r="BE33" s="280">
        <v>0</v>
      </c>
      <c r="BF33" s="280">
        <v>0</v>
      </c>
      <c r="BG33" s="280">
        <v>0</v>
      </c>
      <c r="BH33" s="280">
        <v>3124517.3228346459</v>
      </c>
      <c r="BI33" s="280">
        <v>0</v>
      </c>
      <c r="BJ33" s="280">
        <v>0</v>
      </c>
      <c r="BK33" s="280">
        <v>0</v>
      </c>
      <c r="BL33" s="280">
        <v>0</v>
      </c>
      <c r="BM33" s="280">
        <v>0</v>
      </c>
      <c r="BN33" s="280">
        <v>0</v>
      </c>
      <c r="BO33" s="280">
        <v>0</v>
      </c>
      <c r="BP33" s="280">
        <v>0</v>
      </c>
      <c r="BQ33" s="280">
        <v>0</v>
      </c>
      <c r="BR33" s="280">
        <v>0</v>
      </c>
      <c r="BS33" s="280">
        <v>0</v>
      </c>
      <c r="BT33" s="280">
        <v>0</v>
      </c>
      <c r="BU33" s="280">
        <v>0</v>
      </c>
      <c r="BV33" s="280">
        <v>0</v>
      </c>
      <c r="BW33" s="280">
        <v>0</v>
      </c>
      <c r="BX33" s="280">
        <v>0</v>
      </c>
      <c r="BY33" s="280">
        <v>0</v>
      </c>
      <c r="BZ33" s="280">
        <v>0</v>
      </c>
      <c r="CA33" s="280">
        <v>0</v>
      </c>
      <c r="CB33" s="280">
        <v>0</v>
      </c>
      <c r="CC33" s="280">
        <v>0</v>
      </c>
      <c r="CD33" s="280">
        <v>0</v>
      </c>
      <c r="CE33" s="280">
        <v>0</v>
      </c>
      <c r="CF33" s="280">
        <v>0</v>
      </c>
      <c r="CG33" s="280">
        <v>0</v>
      </c>
      <c r="CH33" s="280">
        <v>0</v>
      </c>
      <c r="CI33" s="280">
        <v>0</v>
      </c>
      <c r="CJ33" s="280">
        <v>0</v>
      </c>
      <c r="CK33" s="280">
        <v>0</v>
      </c>
      <c r="CL33" s="280">
        <v>0</v>
      </c>
      <c r="CM33" s="280">
        <v>0</v>
      </c>
      <c r="CN33" s="280">
        <v>0</v>
      </c>
      <c r="CO33" s="280">
        <v>0</v>
      </c>
      <c r="CP33" s="280">
        <v>0</v>
      </c>
      <c r="CQ33" s="280">
        <v>0</v>
      </c>
      <c r="CR33" s="280">
        <v>0</v>
      </c>
      <c r="CS33" s="280">
        <v>0</v>
      </c>
      <c r="CT33" s="280">
        <v>0</v>
      </c>
      <c r="CU33" s="280">
        <v>0</v>
      </c>
      <c r="CV33" s="280">
        <v>0</v>
      </c>
      <c r="CW33" s="280">
        <v>0</v>
      </c>
      <c r="CX33" s="280">
        <v>0</v>
      </c>
      <c r="CY33" s="280">
        <v>0</v>
      </c>
      <c r="CZ33" s="280">
        <v>0</v>
      </c>
      <c r="DA33" s="280">
        <v>0</v>
      </c>
      <c r="DB33" s="280">
        <v>0</v>
      </c>
      <c r="DC33" s="280">
        <v>0</v>
      </c>
      <c r="DD33" s="280">
        <v>0</v>
      </c>
      <c r="DE33" s="280">
        <v>0</v>
      </c>
      <c r="DF33" s="280">
        <v>0</v>
      </c>
      <c r="DG33" s="280">
        <v>0</v>
      </c>
      <c r="DH33" s="280">
        <v>0</v>
      </c>
      <c r="DI33" s="280">
        <v>0</v>
      </c>
      <c r="DJ33" s="280">
        <v>0</v>
      </c>
      <c r="DK33" s="280">
        <v>0</v>
      </c>
      <c r="DL33" s="280">
        <v>0</v>
      </c>
      <c r="DM33" s="280">
        <v>0</v>
      </c>
      <c r="DN33" s="280">
        <v>0</v>
      </c>
      <c r="DO33" s="280">
        <v>0</v>
      </c>
      <c r="DP33" s="280">
        <v>0</v>
      </c>
      <c r="DQ33" s="280">
        <v>0</v>
      </c>
      <c r="DR33" s="280">
        <v>0</v>
      </c>
      <c r="DS33" s="280">
        <v>0</v>
      </c>
      <c r="DT33" s="280">
        <v>0</v>
      </c>
      <c r="DU33" s="280">
        <v>0</v>
      </c>
      <c r="DV33" s="280">
        <v>0</v>
      </c>
      <c r="DW33" s="280">
        <v>0</v>
      </c>
      <c r="DX33" s="280">
        <v>0</v>
      </c>
      <c r="DY33" s="280">
        <v>0</v>
      </c>
      <c r="DZ33" s="280">
        <v>0</v>
      </c>
      <c r="EG33" s="280" t="str">
        <f>VLOOKUP(B33,'2022. tervsor'!C:D,2,0)</f>
        <v>AHT-n belüli közvetített szolgáltatások</v>
      </c>
    </row>
    <row r="34" spans="1:137" s="280" customFormat="1" x14ac:dyDescent="0.3">
      <c r="A34" s="581"/>
      <c r="B34" s="581">
        <v>118</v>
      </c>
      <c r="C34" s="280">
        <v>0</v>
      </c>
      <c r="D34" s="280">
        <v>0</v>
      </c>
      <c r="E34" s="280">
        <v>0</v>
      </c>
      <c r="F34" s="280">
        <v>0</v>
      </c>
      <c r="G34" s="280">
        <v>0</v>
      </c>
      <c r="H34" s="280">
        <v>0</v>
      </c>
      <c r="I34" s="280">
        <v>0</v>
      </c>
      <c r="J34" s="280">
        <v>0</v>
      </c>
      <c r="K34" s="280">
        <v>0</v>
      </c>
      <c r="L34" s="280">
        <v>0</v>
      </c>
      <c r="M34" s="280">
        <v>0</v>
      </c>
      <c r="N34" s="280">
        <v>0</v>
      </c>
      <c r="O34" s="280">
        <v>0</v>
      </c>
      <c r="P34" s="280">
        <v>0</v>
      </c>
      <c r="Q34" s="280">
        <v>0</v>
      </c>
      <c r="R34" s="280">
        <v>0</v>
      </c>
      <c r="S34" s="280">
        <v>0</v>
      </c>
      <c r="T34" s="280">
        <v>0</v>
      </c>
      <c r="U34" s="280">
        <v>0</v>
      </c>
      <c r="V34" s="280">
        <v>0</v>
      </c>
      <c r="W34" s="280">
        <v>0</v>
      </c>
      <c r="X34" s="280">
        <v>0</v>
      </c>
      <c r="Y34" s="280">
        <v>0</v>
      </c>
      <c r="Z34" s="280">
        <v>0</v>
      </c>
      <c r="AA34" s="280">
        <v>0</v>
      </c>
      <c r="AB34" s="280">
        <v>0</v>
      </c>
      <c r="AC34" s="280">
        <v>0</v>
      </c>
      <c r="AD34" s="280">
        <v>0</v>
      </c>
      <c r="AE34" s="280">
        <v>0</v>
      </c>
      <c r="AF34" s="280">
        <v>0</v>
      </c>
      <c r="AG34" s="280">
        <v>0</v>
      </c>
      <c r="AH34" s="280">
        <v>0</v>
      </c>
      <c r="AI34" s="280">
        <v>0</v>
      </c>
      <c r="AJ34" s="280">
        <v>0</v>
      </c>
      <c r="AK34" s="280">
        <v>0</v>
      </c>
      <c r="AL34" s="280">
        <v>0</v>
      </c>
      <c r="AM34" s="280">
        <v>0</v>
      </c>
      <c r="AN34" s="280">
        <v>0</v>
      </c>
      <c r="AO34" s="280">
        <v>0</v>
      </c>
      <c r="AP34" s="280">
        <v>0</v>
      </c>
      <c r="AQ34" s="280">
        <v>0</v>
      </c>
      <c r="AR34" s="280">
        <v>0</v>
      </c>
      <c r="AS34" s="280">
        <v>0</v>
      </c>
      <c r="AT34" s="280">
        <v>0</v>
      </c>
      <c r="AU34" s="280">
        <v>0</v>
      </c>
      <c r="AV34" s="280">
        <v>0</v>
      </c>
      <c r="AW34" s="280">
        <v>0</v>
      </c>
      <c r="AX34" s="280">
        <v>0</v>
      </c>
      <c r="AY34" s="280">
        <v>0</v>
      </c>
      <c r="AZ34" s="280">
        <v>0</v>
      </c>
      <c r="BA34" s="280">
        <v>0</v>
      </c>
      <c r="BB34" s="280">
        <v>0</v>
      </c>
      <c r="BC34" s="280">
        <v>0</v>
      </c>
      <c r="BD34" s="280">
        <v>0</v>
      </c>
      <c r="BE34" s="280">
        <v>0</v>
      </c>
      <c r="BF34" s="280">
        <v>0</v>
      </c>
      <c r="BG34" s="280">
        <v>0</v>
      </c>
      <c r="BH34" s="280">
        <v>0</v>
      </c>
      <c r="BI34" s="280">
        <v>0</v>
      </c>
      <c r="BJ34" s="280">
        <v>0</v>
      </c>
      <c r="BK34" s="280">
        <v>0</v>
      </c>
      <c r="BL34" s="280">
        <v>0</v>
      </c>
      <c r="BM34" s="280">
        <v>0</v>
      </c>
      <c r="BN34" s="280">
        <v>0</v>
      </c>
      <c r="BO34" s="280">
        <v>0</v>
      </c>
      <c r="BP34" s="280">
        <v>3349477.9380983883</v>
      </c>
      <c r="BQ34" s="280">
        <v>0</v>
      </c>
      <c r="BR34" s="280">
        <v>0</v>
      </c>
      <c r="BS34" s="280">
        <v>0</v>
      </c>
      <c r="BT34" s="280">
        <v>0</v>
      </c>
      <c r="BU34" s="280">
        <v>0</v>
      </c>
      <c r="BV34" s="280">
        <v>0</v>
      </c>
      <c r="BW34" s="280">
        <v>0</v>
      </c>
      <c r="BX34" s="280">
        <v>0</v>
      </c>
      <c r="BY34" s="280">
        <v>0</v>
      </c>
      <c r="BZ34" s="280">
        <v>0</v>
      </c>
      <c r="CA34" s="280">
        <v>0</v>
      </c>
      <c r="CB34" s="280">
        <v>0</v>
      </c>
      <c r="CC34" s="280">
        <v>0</v>
      </c>
      <c r="CD34" s="280">
        <v>0</v>
      </c>
      <c r="CE34" s="280">
        <v>0</v>
      </c>
      <c r="CF34" s="280">
        <v>0</v>
      </c>
      <c r="CG34" s="280">
        <v>0</v>
      </c>
      <c r="CH34" s="280">
        <v>0</v>
      </c>
      <c r="CI34" s="280">
        <v>0</v>
      </c>
      <c r="CJ34" s="280">
        <v>0</v>
      </c>
      <c r="CK34" s="280">
        <v>0</v>
      </c>
      <c r="CL34" s="280">
        <v>0</v>
      </c>
      <c r="CM34" s="280">
        <v>0</v>
      </c>
      <c r="CN34" s="280">
        <v>0</v>
      </c>
      <c r="CO34" s="280">
        <v>0</v>
      </c>
      <c r="CP34" s="280">
        <v>0</v>
      </c>
      <c r="CQ34" s="280">
        <v>0</v>
      </c>
      <c r="CR34" s="280">
        <v>0</v>
      </c>
      <c r="CS34" s="280">
        <v>0</v>
      </c>
      <c r="CT34" s="280">
        <v>0</v>
      </c>
      <c r="CU34" s="280">
        <v>0</v>
      </c>
      <c r="CV34" s="280">
        <v>0</v>
      </c>
      <c r="CW34" s="280">
        <v>0</v>
      </c>
      <c r="CX34" s="280">
        <v>0</v>
      </c>
      <c r="CY34" s="280">
        <v>0</v>
      </c>
      <c r="CZ34" s="280">
        <v>0</v>
      </c>
      <c r="DA34" s="280">
        <v>0</v>
      </c>
      <c r="DB34" s="280">
        <v>0</v>
      </c>
      <c r="DC34" s="280">
        <v>0</v>
      </c>
      <c r="DD34" s="280">
        <v>0</v>
      </c>
      <c r="DE34" s="280">
        <v>0</v>
      </c>
      <c r="DF34" s="280">
        <v>0</v>
      </c>
      <c r="DG34" s="280">
        <v>0</v>
      </c>
      <c r="DH34" s="280">
        <v>0</v>
      </c>
      <c r="DI34" s="280">
        <v>0</v>
      </c>
      <c r="DJ34" s="280">
        <v>0</v>
      </c>
      <c r="DK34" s="280">
        <v>0</v>
      </c>
      <c r="DL34" s="280">
        <v>0</v>
      </c>
      <c r="DM34" s="280">
        <v>0</v>
      </c>
      <c r="DN34" s="280">
        <v>0</v>
      </c>
      <c r="DO34" s="280">
        <v>0</v>
      </c>
      <c r="DP34" s="280">
        <v>0</v>
      </c>
      <c r="DQ34" s="280">
        <v>0</v>
      </c>
      <c r="DR34" s="280">
        <v>0</v>
      </c>
      <c r="DS34" s="280">
        <v>0</v>
      </c>
      <c r="DT34" s="280">
        <v>0</v>
      </c>
      <c r="DU34" s="280">
        <v>0</v>
      </c>
      <c r="DV34" s="280">
        <v>0</v>
      </c>
      <c r="DW34" s="280">
        <v>0</v>
      </c>
      <c r="DX34" s="280">
        <v>0</v>
      </c>
      <c r="DY34" s="280">
        <v>0</v>
      </c>
      <c r="DZ34" s="280">
        <v>0</v>
      </c>
      <c r="EG34" s="280" t="str">
        <f>VLOOKUP(B34,'2022. tervsor'!C:D,2,0)</f>
        <v>ÁFA-s számlázott(okt.kut.)szellemi tev.kiad.</v>
      </c>
    </row>
    <row r="35" spans="1:137" s="280" customFormat="1" x14ac:dyDescent="0.3">
      <c r="A35" s="581"/>
      <c r="B35" s="581">
        <v>123</v>
      </c>
      <c r="C35" s="280">
        <v>0</v>
      </c>
      <c r="D35" s="280">
        <v>0</v>
      </c>
      <c r="E35" s="280">
        <v>0</v>
      </c>
      <c r="F35" s="280">
        <v>0</v>
      </c>
      <c r="G35" s="280">
        <v>0</v>
      </c>
      <c r="H35" s="280">
        <v>0</v>
      </c>
      <c r="I35" s="280">
        <v>0</v>
      </c>
      <c r="J35" s="280">
        <v>0</v>
      </c>
      <c r="K35" s="280">
        <v>0</v>
      </c>
      <c r="L35" s="280">
        <v>0</v>
      </c>
      <c r="M35" s="280">
        <v>0</v>
      </c>
      <c r="N35" s="280">
        <v>0</v>
      </c>
      <c r="O35" s="280">
        <v>1529.1249854129794</v>
      </c>
      <c r="P35" s="280">
        <v>8389.175567491593</v>
      </c>
      <c r="Q35" s="280">
        <v>343696.14347746799</v>
      </c>
      <c r="R35" s="280">
        <v>0</v>
      </c>
      <c r="S35" s="280">
        <v>0</v>
      </c>
      <c r="T35" s="280">
        <v>0</v>
      </c>
      <c r="U35" s="280">
        <v>0</v>
      </c>
      <c r="V35" s="280">
        <v>0</v>
      </c>
      <c r="W35" s="280">
        <v>0</v>
      </c>
      <c r="X35" s="280">
        <v>2114798.3438636251</v>
      </c>
      <c r="Y35" s="280">
        <v>13583.870580172192</v>
      </c>
      <c r="Z35" s="280">
        <v>12454.542644792282</v>
      </c>
      <c r="AA35" s="280">
        <v>49977.175528957334</v>
      </c>
      <c r="AB35" s="280">
        <v>0</v>
      </c>
      <c r="AC35" s="280">
        <v>7459.6075127167987</v>
      </c>
      <c r="AD35" s="280">
        <v>0</v>
      </c>
      <c r="AE35" s="280">
        <v>0</v>
      </c>
      <c r="AF35" s="280">
        <v>0</v>
      </c>
      <c r="AG35" s="280">
        <v>0</v>
      </c>
      <c r="AH35" s="280">
        <v>0</v>
      </c>
      <c r="AI35" s="280">
        <v>0</v>
      </c>
      <c r="AJ35" s="280">
        <v>0</v>
      </c>
      <c r="AK35" s="280">
        <v>0</v>
      </c>
      <c r="AL35" s="280">
        <v>0</v>
      </c>
      <c r="AM35" s="280">
        <v>0</v>
      </c>
      <c r="AN35" s="280">
        <v>0</v>
      </c>
      <c r="AO35" s="280">
        <v>0</v>
      </c>
      <c r="AP35" s="280">
        <v>0</v>
      </c>
      <c r="AQ35" s="280">
        <v>0</v>
      </c>
      <c r="AR35" s="280">
        <v>0</v>
      </c>
      <c r="AS35" s="280">
        <v>0</v>
      </c>
      <c r="AT35" s="280">
        <v>0</v>
      </c>
      <c r="AU35" s="280">
        <v>0</v>
      </c>
      <c r="AV35" s="280">
        <v>0</v>
      </c>
      <c r="AW35" s="280">
        <v>0</v>
      </c>
      <c r="AX35" s="280">
        <v>0</v>
      </c>
      <c r="AY35" s="280">
        <v>0</v>
      </c>
      <c r="AZ35" s="280">
        <v>0</v>
      </c>
      <c r="BA35" s="280">
        <v>0</v>
      </c>
      <c r="BB35" s="280">
        <v>0</v>
      </c>
      <c r="BC35" s="280">
        <v>0</v>
      </c>
      <c r="BD35" s="280">
        <v>0</v>
      </c>
      <c r="BE35" s="280">
        <v>0</v>
      </c>
      <c r="BF35" s="280">
        <v>0</v>
      </c>
      <c r="BG35" s="280">
        <v>0</v>
      </c>
      <c r="BH35" s="280">
        <v>0</v>
      </c>
      <c r="BI35" s="280">
        <v>0</v>
      </c>
      <c r="BJ35" s="280">
        <v>0</v>
      </c>
      <c r="BK35" s="280">
        <v>0</v>
      </c>
      <c r="BL35" s="280">
        <v>0</v>
      </c>
      <c r="BM35" s="280">
        <v>0</v>
      </c>
      <c r="BN35" s="280">
        <v>0</v>
      </c>
      <c r="BO35" s="280">
        <v>0</v>
      </c>
      <c r="BP35" s="280">
        <v>0</v>
      </c>
      <c r="BQ35" s="280">
        <v>0</v>
      </c>
      <c r="BR35" s="280">
        <v>0</v>
      </c>
      <c r="BS35" s="280">
        <v>0</v>
      </c>
      <c r="BT35" s="280">
        <v>0</v>
      </c>
      <c r="BU35" s="280">
        <v>2160107.8639910575</v>
      </c>
      <c r="BV35" s="280">
        <v>0</v>
      </c>
      <c r="BW35" s="280">
        <v>0</v>
      </c>
      <c r="BX35" s="280">
        <v>0</v>
      </c>
      <c r="BY35" s="280">
        <v>0</v>
      </c>
      <c r="BZ35" s="280">
        <v>0</v>
      </c>
      <c r="CA35" s="280">
        <v>0</v>
      </c>
      <c r="CB35" s="280">
        <v>0</v>
      </c>
      <c r="CC35" s="280">
        <v>0</v>
      </c>
      <c r="CD35" s="280">
        <v>0</v>
      </c>
      <c r="CE35" s="280">
        <v>0</v>
      </c>
      <c r="CF35" s="280">
        <v>0</v>
      </c>
      <c r="CG35" s="280">
        <v>0</v>
      </c>
      <c r="CH35" s="280">
        <v>0</v>
      </c>
      <c r="CI35" s="280">
        <v>0</v>
      </c>
      <c r="CJ35" s="280">
        <v>0</v>
      </c>
      <c r="CK35" s="280">
        <v>0</v>
      </c>
      <c r="CL35" s="280">
        <v>0</v>
      </c>
      <c r="CM35" s="280">
        <v>0</v>
      </c>
      <c r="CN35" s="280">
        <v>0</v>
      </c>
      <c r="CO35" s="280">
        <v>0</v>
      </c>
      <c r="CP35" s="280">
        <v>0</v>
      </c>
      <c r="CQ35" s="280">
        <v>0</v>
      </c>
      <c r="CR35" s="280">
        <v>0</v>
      </c>
      <c r="CS35" s="280">
        <v>0</v>
      </c>
      <c r="CT35" s="280">
        <v>0</v>
      </c>
      <c r="CU35" s="280">
        <v>0</v>
      </c>
      <c r="CV35" s="280">
        <v>0</v>
      </c>
      <c r="CW35" s="280">
        <v>0</v>
      </c>
      <c r="CX35" s="280">
        <v>0</v>
      </c>
      <c r="CY35" s="280">
        <v>0</v>
      </c>
      <c r="CZ35" s="280">
        <v>0</v>
      </c>
      <c r="DA35" s="280">
        <v>0</v>
      </c>
      <c r="DB35" s="280">
        <v>0</v>
      </c>
      <c r="DC35" s="280">
        <v>0</v>
      </c>
      <c r="DD35" s="280">
        <v>0</v>
      </c>
      <c r="DE35" s="280">
        <v>0</v>
      </c>
      <c r="DF35" s="280">
        <v>0</v>
      </c>
      <c r="DG35" s="280">
        <v>0</v>
      </c>
      <c r="DH35" s="280">
        <v>22595.535528077256</v>
      </c>
      <c r="DI35" s="280">
        <v>8842.1969697773893</v>
      </c>
      <c r="DJ35" s="280">
        <v>93541.312592328366</v>
      </c>
      <c r="DK35" s="280">
        <v>0</v>
      </c>
      <c r="DL35" s="280">
        <v>63755.039371525825</v>
      </c>
      <c r="DM35" s="280">
        <v>30860.431338174927</v>
      </c>
      <c r="DN35" s="280">
        <v>7865.7299700977928</v>
      </c>
      <c r="DO35" s="280">
        <v>804.9718005116514</v>
      </c>
      <c r="DP35" s="280">
        <v>1707.4387284558134</v>
      </c>
      <c r="DQ35" s="280">
        <v>598.9425772732809</v>
      </c>
      <c r="DR35" s="280">
        <v>96262.951947542548</v>
      </c>
      <c r="DS35" s="280">
        <v>4034.0903656049964</v>
      </c>
      <c r="DT35" s="280">
        <v>0</v>
      </c>
      <c r="DU35" s="280">
        <v>0</v>
      </c>
      <c r="DV35" s="280">
        <v>0</v>
      </c>
      <c r="DW35" s="280">
        <v>0</v>
      </c>
      <c r="DX35" s="280">
        <v>56040.497788469409</v>
      </c>
      <c r="DY35" s="280">
        <v>69022.382285493892</v>
      </c>
      <c r="DZ35" s="280">
        <v>34281.904782610305</v>
      </c>
      <c r="EG35" s="280" t="str">
        <f>VLOOKUP(B35,'2022. tervsor'!C:D,2,0)</f>
        <v>Anyag- és áruszállítás költségei</v>
      </c>
    </row>
    <row r="36" spans="1:137" s="280" customFormat="1" x14ac:dyDescent="0.3">
      <c r="A36" s="581"/>
      <c r="B36" s="581">
        <v>124</v>
      </c>
      <c r="C36" s="280">
        <v>0</v>
      </c>
      <c r="D36" s="280">
        <v>0</v>
      </c>
      <c r="E36" s="280">
        <v>0</v>
      </c>
      <c r="F36" s="280">
        <v>0</v>
      </c>
      <c r="G36" s="280">
        <v>0</v>
      </c>
      <c r="H36" s="280">
        <v>0</v>
      </c>
      <c r="I36" s="280">
        <v>0</v>
      </c>
      <c r="J36" s="280">
        <v>0</v>
      </c>
      <c r="K36" s="280">
        <v>0</v>
      </c>
      <c r="L36" s="280">
        <v>0</v>
      </c>
      <c r="M36" s="280">
        <v>0</v>
      </c>
      <c r="N36" s="280">
        <v>0</v>
      </c>
      <c r="O36" s="280">
        <v>0</v>
      </c>
      <c r="P36" s="280">
        <v>0</v>
      </c>
      <c r="Q36" s="280">
        <v>0</v>
      </c>
      <c r="R36" s="280">
        <v>0</v>
      </c>
      <c r="S36" s="280">
        <v>0</v>
      </c>
      <c r="T36" s="280">
        <v>0</v>
      </c>
      <c r="U36" s="280">
        <v>0</v>
      </c>
      <c r="V36" s="280">
        <v>0</v>
      </c>
      <c r="W36" s="280">
        <v>0</v>
      </c>
      <c r="X36" s="280">
        <v>3021140.4912337512</v>
      </c>
      <c r="Y36" s="280">
        <v>19405.529400245989</v>
      </c>
      <c r="Z36" s="280">
        <v>17792.203778274688</v>
      </c>
      <c r="AA36" s="280">
        <v>71395.965041367599</v>
      </c>
      <c r="AB36" s="280">
        <v>0</v>
      </c>
      <c r="AC36" s="280">
        <v>10656.582161023998</v>
      </c>
      <c r="AD36" s="280">
        <v>0</v>
      </c>
      <c r="AE36" s="280">
        <v>0</v>
      </c>
      <c r="AF36" s="280">
        <v>0</v>
      </c>
      <c r="AG36" s="280">
        <v>0</v>
      </c>
      <c r="AH36" s="280">
        <v>0</v>
      </c>
      <c r="AI36" s="280">
        <v>0</v>
      </c>
      <c r="AJ36" s="280">
        <v>0</v>
      </c>
      <c r="AK36" s="280">
        <v>0</v>
      </c>
      <c r="AL36" s="280">
        <v>0</v>
      </c>
      <c r="AM36" s="280">
        <v>0</v>
      </c>
      <c r="AN36" s="280">
        <v>0</v>
      </c>
      <c r="AO36" s="280">
        <v>0</v>
      </c>
      <c r="AP36" s="280">
        <v>0</v>
      </c>
      <c r="AQ36" s="280">
        <v>0</v>
      </c>
      <c r="AR36" s="280">
        <v>0</v>
      </c>
      <c r="AS36" s="280">
        <v>0</v>
      </c>
      <c r="AT36" s="280">
        <v>0</v>
      </c>
      <c r="AU36" s="280">
        <v>0</v>
      </c>
      <c r="AV36" s="280">
        <v>0</v>
      </c>
      <c r="AW36" s="280">
        <v>0</v>
      </c>
      <c r="AX36" s="280">
        <v>0</v>
      </c>
      <c r="AY36" s="280">
        <v>0</v>
      </c>
      <c r="AZ36" s="280">
        <v>0</v>
      </c>
      <c r="BA36" s="280">
        <v>0</v>
      </c>
      <c r="BB36" s="280">
        <v>0</v>
      </c>
      <c r="BC36" s="280">
        <v>0</v>
      </c>
      <c r="BD36" s="280">
        <v>0</v>
      </c>
      <c r="BE36" s="280">
        <v>0</v>
      </c>
      <c r="BF36" s="280">
        <v>0</v>
      </c>
      <c r="BG36" s="280">
        <v>0</v>
      </c>
      <c r="BH36" s="280">
        <v>0</v>
      </c>
      <c r="BI36" s="280">
        <v>0</v>
      </c>
      <c r="BJ36" s="280">
        <v>0</v>
      </c>
      <c r="BK36" s="280">
        <v>0</v>
      </c>
      <c r="BL36" s="280">
        <v>0</v>
      </c>
      <c r="BM36" s="280">
        <v>0</v>
      </c>
      <c r="BN36" s="280">
        <v>0</v>
      </c>
      <c r="BO36" s="280">
        <v>0</v>
      </c>
      <c r="BP36" s="280">
        <v>0</v>
      </c>
      <c r="BQ36" s="280">
        <v>0</v>
      </c>
      <c r="BR36" s="280">
        <v>0</v>
      </c>
      <c r="BS36" s="280">
        <v>0</v>
      </c>
      <c r="BT36" s="280">
        <v>0</v>
      </c>
      <c r="BU36" s="280">
        <v>504025.16826457996</v>
      </c>
      <c r="BV36" s="280">
        <v>0</v>
      </c>
      <c r="BW36" s="280">
        <v>0</v>
      </c>
      <c r="BX36" s="280">
        <v>0</v>
      </c>
      <c r="BY36" s="280">
        <v>0</v>
      </c>
      <c r="BZ36" s="280">
        <v>0</v>
      </c>
      <c r="CA36" s="280">
        <v>0</v>
      </c>
      <c r="CB36" s="280">
        <v>233465.33360505244</v>
      </c>
      <c r="CC36" s="280">
        <v>0</v>
      </c>
      <c r="CD36" s="280">
        <v>0</v>
      </c>
      <c r="CE36" s="280">
        <v>0</v>
      </c>
      <c r="CF36" s="280">
        <v>0</v>
      </c>
      <c r="CG36" s="280">
        <v>0</v>
      </c>
      <c r="CH36" s="280">
        <v>0</v>
      </c>
      <c r="CI36" s="280">
        <v>0</v>
      </c>
      <c r="CJ36" s="280">
        <v>0</v>
      </c>
      <c r="CK36" s="280">
        <v>0</v>
      </c>
      <c r="CL36" s="280">
        <v>0</v>
      </c>
      <c r="CM36" s="280">
        <v>0</v>
      </c>
      <c r="CN36" s="280">
        <v>0</v>
      </c>
      <c r="CO36" s="280">
        <v>0</v>
      </c>
      <c r="CP36" s="280">
        <v>0</v>
      </c>
      <c r="CQ36" s="280">
        <v>0</v>
      </c>
      <c r="CR36" s="280">
        <v>0</v>
      </c>
      <c r="CS36" s="280">
        <v>0</v>
      </c>
      <c r="CT36" s="280">
        <v>0</v>
      </c>
      <c r="CU36" s="280">
        <v>0</v>
      </c>
      <c r="CV36" s="280">
        <v>0</v>
      </c>
      <c r="CW36" s="280">
        <v>0</v>
      </c>
      <c r="CX36" s="280">
        <v>0</v>
      </c>
      <c r="CY36" s="280">
        <v>0</v>
      </c>
      <c r="CZ36" s="280">
        <v>0</v>
      </c>
      <c r="DA36" s="280">
        <v>0</v>
      </c>
      <c r="DB36" s="280">
        <v>0</v>
      </c>
      <c r="DC36" s="280">
        <v>0</v>
      </c>
      <c r="DD36" s="280">
        <v>0</v>
      </c>
      <c r="DE36" s="280">
        <v>0</v>
      </c>
      <c r="DF36" s="280">
        <v>0</v>
      </c>
      <c r="DG36" s="280">
        <v>0</v>
      </c>
      <c r="DH36" s="280">
        <v>9038.2142112309029</v>
      </c>
      <c r="DI36" s="280">
        <v>3536.8787879109559</v>
      </c>
      <c r="DJ36" s="280">
        <v>37416.525036931343</v>
      </c>
      <c r="DK36" s="280">
        <v>0</v>
      </c>
      <c r="DL36" s="280">
        <v>25502.015748610331</v>
      </c>
      <c r="DM36" s="280">
        <v>12344.172535269972</v>
      </c>
      <c r="DN36" s="280">
        <v>3146.2919880391173</v>
      </c>
      <c r="DO36" s="280">
        <v>321.98872020466058</v>
      </c>
      <c r="DP36" s="280">
        <v>682.97549138232523</v>
      </c>
      <c r="DQ36" s="280">
        <v>239.57703090931236</v>
      </c>
      <c r="DR36" s="280">
        <v>38505.180779017035</v>
      </c>
      <c r="DS36" s="280">
        <v>1613.6361462419989</v>
      </c>
      <c r="DT36" s="280">
        <v>0</v>
      </c>
      <c r="DU36" s="280">
        <v>0</v>
      </c>
      <c r="DV36" s="280">
        <v>0</v>
      </c>
      <c r="DW36" s="280">
        <v>0</v>
      </c>
      <c r="DX36" s="280">
        <v>28020.248894234704</v>
      </c>
      <c r="DY36" s="280">
        <v>34511.191142746946</v>
      </c>
      <c r="DZ36" s="280">
        <v>17140.952391305153</v>
      </c>
      <c r="EG36" s="280" t="str">
        <f>VLOOKUP(B36,'2022. tervsor'!C:D,2,0)</f>
        <v>Egyéb szállítás költségei</v>
      </c>
    </row>
    <row r="37" spans="1:137" s="280" customFormat="1" x14ac:dyDescent="0.3">
      <c r="A37" s="581"/>
      <c r="B37" s="581">
        <v>126</v>
      </c>
      <c r="C37" s="280">
        <v>590551.18110236223</v>
      </c>
      <c r="D37" s="280">
        <v>12111136.005568238</v>
      </c>
      <c r="E37" s="280">
        <v>972495.70040664263</v>
      </c>
      <c r="F37" s="280">
        <v>387781.69936675427</v>
      </c>
      <c r="G37" s="280">
        <v>12061453.683965195</v>
      </c>
      <c r="H37" s="280">
        <v>5743851.1739654047</v>
      </c>
      <c r="I37" s="280">
        <v>60001.759241492393</v>
      </c>
      <c r="J37" s="280">
        <v>219085.09649124311</v>
      </c>
      <c r="K37" s="280">
        <v>338269.22608373669</v>
      </c>
      <c r="L37" s="280">
        <v>1519729.2292148841</v>
      </c>
      <c r="M37" s="280">
        <v>37676920.061454833</v>
      </c>
      <c r="N37" s="280">
        <v>2383764.5055193156</v>
      </c>
      <c r="O37" s="280">
        <v>65427.083614611227</v>
      </c>
      <c r="P37" s="280">
        <v>358949.92008366605</v>
      </c>
      <c r="Q37" s="280">
        <v>14705819.688929163</v>
      </c>
      <c r="R37" s="280">
        <v>711485.20621751994</v>
      </c>
      <c r="S37" s="280">
        <v>656163.10798407008</v>
      </c>
      <c r="T37" s="280">
        <v>8255118.0941174319</v>
      </c>
      <c r="U37" s="280">
        <v>0</v>
      </c>
      <c r="V37" s="280">
        <v>0</v>
      </c>
      <c r="W37" s="280">
        <v>0</v>
      </c>
      <c r="X37" s="280">
        <v>0</v>
      </c>
      <c r="Y37" s="280">
        <v>0</v>
      </c>
      <c r="Z37" s="280">
        <v>0</v>
      </c>
      <c r="AA37" s="280">
        <v>0</v>
      </c>
      <c r="AB37" s="280">
        <v>0</v>
      </c>
      <c r="AC37" s="280">
        <v>0</v>
      </c>
      <c r="AD37" s="280">
        <v>0</v>
      </c>
      <c r="AE37" s="280">
        <v>0</v>
      </c>
      <c r="AF37" s="280">
        <v>0</v>
      </c>
      <c r="AG37" s="280">
        <v>0</v>
      </c>
      <c r="AH37" s="280">
        <v>0</v>
      </c>
      <c r="AI37" s="280">
        <v>0</v>
      </c>
      <c r="AJ37" s="280">
        <v>0</v>
      </c>
      <c r="AK37" s="280">
        <v>0</v>
      </c>
      <c r="AL37" s="280">
        <v>0</v>
      </c>
      <c r="AM37" s="280">
        <v>0</v>
      </c>
      <c r="AN37" s="280">
        <v>18727741.277940001</v>
      </c>
      <c r="AO37" s="280">
        <v>0</v>
      </c>
      <c r="AP37" s="280">
        <v>0</v>
      </c>
      <c r="AQ37" s="280">
        <v>13967941.016536305</v>
      </c>
      <c r="AR37" s="280">
        <v>0</v>
      </c>
      <c r="AS37" s="280">
        <v>0</v>
      </c>
      <c r="AT37" s="280">
        <v>0</v>
      </c>
      <c r="AU37" s="280">
        <v>14626423.531631993</v>
      </c>
      <c r="AV37" s="280">
        <v>5832663.6265825722</v>
      </c>
      <c r="AW37" s="280">
        <v>117967470.71330792</v>
      </c>
      <c r="AX37" s="280">
        <v>24941346.874597464</v>
      </c>
      <c r="AY37" s="280">
        <v>9342663.0214202106</v>
      </c>
      <c r="AZ37" s="280">
        <v>1694699.0251772408</v>
      </c>
      <c r="BA37" s="280">
        <v>0</v>
      </c>
      <c r="BB37" s="280">
        <v>314938.45057730644</v>
      </c>
      <c r="BC37" s="280">
        <v>1984793.8646302794</v>
      </c>
      <c r="BD37" s="280">
        <v>0</v>
      </c>
      <c r="BE37" s="280">
        <v>0</v>
      </c>
      <c r="BF37" s="280">
        <v>0</v>
      </c>
      <c r="BG37" s="280">
        <v>0</v>
      </c>
      <c r="BH37" s="280">
        <v>0</v>
      </c>
      <c r="BI37" s="280">
        <v>2209685.1237176214</v>
      </c>
      <c r="BJ37" s="280">
        <v>101707.41900307077</v>
      </c>
      <c r="BK37" s="280">
        <v>2149493.2839517351</v>
      </c>
      <c r="BL37" s="280">
        <v>1709661.7045384259</v>
      </c>
      <c r="BM37" s="280">
        <v>78538.237441243371</v>
      </c>
      <c r="BN37" s="280">
        <v>39659739.148938924</v>
      </c>
      <c r="BO37" s="280">
        <v>541258.55493851146</v>
      </c>
      <c r="BP37" s="280">
        <v>26566716.017511643</v>
      </c>
      <c r="BQ37" s="280">
        <v>5778062.4386338228</v>
      </c>
      <c r="BR37" s="280">
        <v>513488.30461171234</v>
      </c>
      <c r="BS37" s="280">
        <v>1171720.82680783</v>
      </c>
      <c r="BT37" s="280">
        <v>271787.16123957775</v>
      </c>
      <c r="BU37" s="280">
        <v>15192758.64340377</v>
      </c>
      <c r="BV37" s="280">
        <v>2855450.7982359305</v>
      </c>
      <c r="BW37" s="280">
        <v>2832965.7517184429</v>
      </c>
      <c r="BX37" s="280">
        <v>5931525.2452711146</v>
      </c>
      <c r="BY37" s="280">
        <v>9771703.1580137294</v>
      </c>
      <c r="BZ37" s="280">
        <v>1039898.2284235592</v>
      </c>
      <c r="CA37" s="280">
        <v>0</v>
      </c>
      <c r="CB37" s="280">
        <v>1374980.8525647188</v>
      </c>
      <c r="CC37" s="280">
        <v>0</v>
      </c>
      <c r="CD37" s="280">
        <v>0</v>
      </c>
      <c r="CE37" s="280">
        <v>0</v>
      </c>
      <c r="CF37" s="280">
        <v>812095.65154519142</v>
      </c>
      <c r="CG37" s="280">
        <v>416832.90044930711</v>
      </c>
      <c r="CH37" s="280">
        <v>1304895.1320466092</v>
      </c>
      <c r="CI37" s="280">
        <v>0</v>
      </c>
      <c r="CJ37" s="280">
        <v>0</v>
      </c>
      <c r="CK37" s="280">
        <v>0</v>
      </c>
      <c r="CL37" s="280">
        <v>0</v>
      </c>
      <c r="CM37" s="280">
        <v>14273164.388368132</v>
      </c>
      <c r="CN37" s="280">
        <v>912300.6871948539</v>
      </c>
      <c r="CO37" s="280">
        <v>2304106.1522701443</v>
      </c>
      <c r="CP37" s="280">
        <v>8591199.8888744842</v>
      </c>
      <c r="CQ37" s="280">
        <v>2356544.2857089415</v>
      </c>
      <c r="CR37" s="280">
        <v>4003563.7880017799</v>
      </c>
      <c r="CS37" s="280">
        <v>3472858.5511859157</v>
      </c>
      <c r="CT37" s="280">
        <v>1921320.8406082878</v>
      </c>
      <c r="CU37" s="280">
        <v>862494.65290584706</v>
      </c>
      <c r="CV37" s="280">
        <v>1064384.515086734</v>
      </c>
      <c r="CW37" s="280">
        <v>23045322.991130766</v>
      </c>
      <c r="CX37" s="280">
        <v>0</v>
      </c>
      <c r="CY37" s="280">
        <v>0</v>
      </c>
      <c r="CZ37" s="280">
        <v>0</v>
      </c>
      <c r="DA37" s="280">
        <v>0</v>
      </c>
      <c r="DB37" s="280">
        <v>0</v>
      </c>
      <c r="DC37" s="280">
        <v>6361.5424323086027</v>
      </c>
      <c r="DD37" s="280">
        <v>0</v>
      </c>
      <c r="DE37" s="280">
        <v>0</v>
      </c>
      <c r="DF37" s="280">
        <v>0</v>
      </c>
      <c r="DG37" s="280">
        <v>0</v>
      </c>
      <c r="DH37" s="280">
        <v>12011.172088159507</v>
      </c>
      <c r="DI37" s="280">
        <v>4700.2714013760824</v>
      </c>
      <c r="DJ37" s="280">
        <v>49724.017450379244</v>
      </c>
      <c r="DK37" s="280">
        <v>0</v>
      </c>
      <c r="DL37" s="280">
        <v>33890.444792832226</v>
      </c>
      <c r="DM37" s="280">
        <v>16404.565895641394</v>
      </c>
      <c r="DN37" s="280">
        <v>4181.2081042487998</v>
      </c>
      <c r="DO37" s="280">
        <v>427.90111391902002</v>
      </c>
      <c r="DP37" s="280">
        <v>907.62798571369638</v>
      </c>
      <c r="DQ37" s="280">
        <v>318.38158284037428</v>
      </c>
      <c r="DR37" s="280">
        <v>51170.766903020667</v>
      </c>
      <c r="DS37" s="280">
        <v>2144.4127110976729</v>
      </c>
      <c r="DT37" s="280">
        <v>0</v>
      </c>
      <c r="DU37" s="280">
        <v>0</v>
      </c>
      <c r="DV37" s="280">
        <v>0</v>
      </c>
      <c r="DW37" s="280">
        <v>0</v>
      </c>
      <c r="DX37" s="280">
        <v>28020.248894234704</v>
      </c>
      <c r="DY37" s="280">
        <v>34511.191142746946</v>
      </c>
      <c r="DZ37" s="280">
        <v>17140.952391305153</v>
      </c>
      <c r="EG37" s="280" t="str">
        <f>VLOOKUP(B37,'2022. tervsor'!C:D,2,0)</f>
        <v>Takarítás</v>
      </c>
    </row>
    <row r="38" spans="1:137" s="280" customFormat="1" x14ac:dyDescent="0.3">
      <c r="A38" s="581"/>
      <c r="B38" s="581">
        <v>127</v>
      </c>
      <c r="C38" s="280">
        <v>39370.078740157485</v>
      </c>
      <c r="D38" s="280">
        <v>0</v>
      </c>
      <c r="E38" s="280">
        <v>0</v>
      </c>
      <c r="F38" s="280">
        <v>0</v>
      </c>
      <c r="G38" s="280">
        <v>95499.35881003653</v>
      </c>
      <c r="H38" s="280">
        <v>45478.274724315117</v>
      </c>
      <c r="I38" s="280">
        <v>475.07785422701483</v>
      </c>
      <c r="J38" s="280">
        <v>1734.6570975572865</v>
      </c>
      <c r="K38" s="280">
        <v>2888.2715359502117</v>
      </c>
      <c r="L38" s="280">
        <v>12976.027189675053</v>
      </c>
      <c r="M38" s="280">
        <v>321699.89873342309</v>
      </c>
      <c r="N38" s="280">
        <v>69694.434182413883</v>
      </c>
      <c r="O38" s="280">
        <v>550.48499474867265</v>
      </c>
      <c r="P38" s="280">
        <v>3020.1032042969732</v>
      </c>
      <c r="Q38" s="280">
        <v>123730.61165188847</v>
      </c>
      <c r="R38" s="280">
        <v>34118.658451788964</v>
      </c>
      <c r="S38" s="280">
        <v>0</v>
      </c>
      <c r="T38" s="280">
        <v>76980.621387219231</v>
      </c>
      <c r="U38" s="280">
        <v>0</v>
      </c>
      <c r="V38" s="280">
        <v>0</v>
      </c>
      <c r="W38" s="280">
        <v>0</v>
      </c>
      <c r="X38" s="280">
        <v>0</v>
      </c>
      <c r="Y38" s="280">
        <v>0</v>
      </c>
      <c r="Z38" s="280">
        <v>0</v>
      </c>
      <c r="AA38" s="280">
        <v>0</v>
      </c>
      <c r="AB38" s="280">
        <v>0</v>
      </c>
      <c r="AC38" s="280">
        <v>0</v>
      </c>
      <c r="AD38" s="280">
        <v>0</v>
      </c>
      <c r="AE38" s="280">
        <v>0</v>
      </c>
      <c r="AF38" s="280">
        <v>0</v>
      </c>
      <c r="AG38" s="280">
        <v>0</v>
      </c>
      <c r="AH38" s="280">
        <v>0</v>
      </c>
      <c r="AI38" s="280">
        <v>0</v>
      </c>
      <c r="AJ38" s="280">
        <v>0</v>
      </c>
      <c r="AK38" s="280">
        <v>0</v>
      </c>
      <c r="AL38" s="280">
        <v>0</v>
      </c>
      <c r="AM38" s="280">
        <v>0</v>
      </c>
      <c r="AN38" s="280">
        <v>104616.13943466521</v>
      </c>
      <c r="AO38" s="280">
        <v>0</v>
      </c>
      <c r="AP38" s="280">
        <v>0</v>
      </c>
      <c r="AQ38" s="280">
        <v>0</v>
      </c>
      <c r="AR38" s="280">
        <v>0</v>
      </c>
      <c r="AS38" s="280">
        <v>0</v>
      </c>
      <c r="AT38" s="280">
        <v>0</v>
      </c>
      <c r="AU38" s="280">
        <v>0</v>
      </c>
      <c r="AV38" s="280">
        <v>0</v>
      </c>
      <c r="AW38" s="280">
        <v>0</v>
      </c>
      <c r="AX38" s="280">
        <v>0</v>
      </c>
      <c r="AY38" s="280">
        <v>0</v>
      </c>
      <c r="AZ38" s="280">
        <v>0</v>
      </c>
      <c r="BA38" s="280">
        <v>0</v>
      </c>
      <c r="BB38" s="280">
        <v>0</v>
      </c>
      <c r="BC38" s="280">
        <v>0</v>
      </c>
      <c r="BD38" s="280">
        <v>0</v>
      </c>
      <c r="BE38" s="280">
        <v>0</v>
      </c>
      <c r="BF38" s="280">
        <v>0</v>
      </c>
      <c r="BG38" s="280">
        <v>0</v>
      </c>
      <c r="BH38" s="280">
        <v>0</v>
      </c>
      <c r="BI38" s="280">
        <v>0</v>
      </c>
      <c r="BJ38" s="280">
        <v>0</v>
      </c>
      <c r="BK38" s="280">
        <v>0</v>
      </c>
      <c r="BL38" s="280">
        <v>0</v>
      </c>
      <c r="BM38" s="280">
        <v>0</v>
      </c>
      <c r="BN38" s="280">
        <v>0</v>
      </c>
      <c r="BO38" s="280">
        <v>0</v>
      </c>
      <c r="BP38" s="280">
        <v>0</v>
      </c>
      <c r="BQ38" s="280">
        <v>0</v>
      </c>
      <c r="BR38" s="280">
        <v>0</v>
      </c>
      <c r="BS38" s="280">
        <v>0</v>
      </c>
      <c r="BT38" s="280">
        <v>0</v>
      </c>
      <c r="BU38" s="280">
        <v>0</v>
      </c>
      <c r="BV38" s="280">
        <v>0</v>
      </c>
      <c r="BW38" s="280">
        <v>0</v>
      </c>
      <c r="BX38" s="280">
        <v>0</v>
      </c>
      <c r="BY38" s="280">
        <v>0</v>
      </c>
      <c r="BZ38" s="280">
        <v>18582.840434444268</v>
      </c>
      <c r="CA38" s="280">
        <v>0</v>
      </c>
      <c r="CB38" s="280">
        <v>0</v>
      </c>
      <c r="CC38" s="280">
        <v>0</v>
      </c>
      <c r="CD38" s="280">
        <v>361160.95352084574</v>
      </c>
      <c r="CE38" s="280">
        <v>37318.695898424528</v>
      </c>
      <c r="CF38" s="280">
        <v>17030.944525824922</v>
      </c>
      <c r="CG38" s="280">
        <v>8741.6525265014334</v>
      </c>
      <c r="CH38" s="280">
        <v>27365.737722667865</v>
      </c>
      <c r="CI38" s="280">
        <v>0</v>
      </c>
      <c r="CJ38" s="280">
        <v>0</v>
      </c>
      <c r="CK38" s="280">
        <v>0</v>
      </c>
      <c r="CL38" s="280">
        <v>85980.688836429981</v>
      </c>
      <c r="CM38" s="280">
        <v>274147.58023240918</v>
      </c>
      <c r="CN38" s="280">
        <v>10158.266351939923</v>
      </c>
      <c r="CO38" s="280">
        <v>25655.712339614245</v>
      </c>
      <c r="CP38" s="280">
        <v>95661.110398027944</v>
      </c>
      <c r="CQ38" s="280">
        <v>26239.599356194012</v>
      </c>
      <c r="CR38" s="280">
        <v>44578.797195202882</v>
      </c>
      <c r="CS38" s="280">
        <v>38669.51177471142</v>
      </c>
      <c r="CT38" s="280">
        <v>21393.482565977167</v>
      </c>
      <c r="CU38" s="280">
        <v>9603.6871771754486</v>
      </c>
      <c r="CV38" s="280">
        <v>11851.686134729518</v>
      </c>
      <c r="CW38" s="280">
        <v>265379.72855368385</v>
      </c>
      <c r="CX38" s="280">
        <v>0</v>
      </c>
      <c r="CY38" s="280">
        <v>0</v>
      </c>
      <c r="CZ38" s="280">
        <v>0</v>
      </c>
      <c r="DA38" s="280">
        <v>0</v>
      </c>
      <c r="DB38" s="280">
        <v>9522.2375414241833</v>
      </c>
      <c r="DC38" s="280">
        <v>0</v>
      </c>
      <c r="DD38" s="280">
        <v>0</v>
      </c>
      <c r="DE38" s="280">
        <v>0</v>
      </c>
      <c r="DF38" s="280">
        <v>0</v>
      </c>
      <c r="DG38" s="280">
        <v>0</v>
      </c>
      <c r="DH38" s="280">
        <v>0</v>
      </c>
      <c r="DI38" s="280">
        <v>0</v>
      </c>
      <c r="DJ38" s="280">
        <v>0</v>
      </c>
      <c r="DK38" s="280">
        <v>0</v>
      </c>
      <c r="DL38" s="280">
        <v>0</v>
      </c>
      <c r="DM38" s="280">
        <v>0</v>
      </c>
      <c r="DN38" s="280">
        <v>0</v>
      </c>
      <c r="DO38" s="280">
        <v>0</v>
      </c>
      <c r="DP38" s="280">
        <v>0</v>
      </c>
      <c r="DQ38" s="280">
        <v>0</v>
      </c>
      <c r="DR38" s="280">
        <v>0</v>
      </c>
      <c r="DS38" s="280">
        <v>0</v>
      </c>
      <c r="DT38" s="280">
        <v>0</v>
      </c>
      <c r="DU38" s="280">
        <v>0</v>
      </c>
      <c r="DV38" s="280">
        <v>0</v>
      </c>
      <c r="DW38" s="280">
        <v>0</v>
      </c>
      <c r="DX38" s="280">
        <v>0</v>
      </c>
      <c r="DY38" s="280">
        <v>0</v>
      </c>
      <c r="DZ38" s="280">
        <v>0</v>
      </c>
      <c r="EG38" s="280" t="str">
        <f>VLOOKUP(B38,'2022. tervsor'!C:D,2,0)</f>
        <v>Rovarirtás</v>
      </c>
    </row>
    <row r="39" spans="1:137" s="280" customFormat="1" x14ac:dyDescent="0.3">
      <c r="A39" s="581"/>
      <c r="B39" s="581">
        <v>128</v>
      </c>
      <c r="C39" s="280">
        <v>0</v>
      </c>
      <c r="D39" s="280">
        <v>839595.64626367483</v>
      </c>
      <c r="E39" s="280">
        <v>63322.933670895814</v>
      </c>
      <c r="F39" s="280">
        <v>23868.821640232283</v>
      </c>
      <c r="G39" s="280">
        <v>815325.77007874008</v>
      </c>
      <c r="H39" s="280">
        <v>402349.30393700791</v>
      </c>
      <c r="I39" s="280">
        <v>4077.8645669291336</v>
      </c>
      <c r="J39" s="280">
        <v>13963.596850393698</v>
      </c>
      <c r="K39" s="280">
        <v>19524.346141732283</v>
      </c>
      <c r="L39" s="280">
        <v>102317.45952755904</v>
      </c>
      <c r="M39" s="280">
        <v>2349594.4148031492</v>
      </c>
      <c r="N39" s="280">
        <v>61785.826771653534</v>
      </c>
      <c r="O39" s="280">
        <v>4788.0128045326965</v>
      </c>
      <c r="P39" s="280">
        <v>8951.6169913251179</v>
      </c>
      <c r="Q39" s="280">
        <v>913047.77177894523</v>
      </c>
      <c r="R39" s="280">
        <v>370714.96062992123</v>
      </c>
      <c r="S39" s="280">
        <v>0</v>
      </c>
      <c r="T39" s="280">
        <v>1235725.9842519683</v>
      </c>
      <c r="U39" s="280">
        <v>382763.75433070865</v>
      </c>
      <c r="V39" s="280">
        <v>1541867.5527559051</v>
      </c>
      <c r="W39" s="280">
        <v>237875.77952755903</v>
      </c>
      <c r="X39" s="280">
        <v>14981683.199210547</v>
      </c>
      <c r="Y39" s="280">
        <v>108845.67113778001</v>
      </c>
      <c r="Z39" s="280">
        <v>167303.27613745164</v>
      </c>
      <c r="AA39" s="280">
        <v>472380.93086064962</v>
      </c>
      <c r="AB39" s="280">
        <v>0</v>
      </c>
      <c r="AC39" s="280">
        <v>59894.872382819231</v>
      </c>
      <c r="AD39" s="280">
        <v>0</v>
      </c>
      <c r="AE39" s="280">
        <v>0</v>
      </c>
      <c r="AF39" s="280">
        <v>0</v>
      </c>
      <c r="AG39" s="280">
        <v>0</v>
      </c>
      <c r="AH39" s="280">
        <v>0</v>
      </c>
      <c r="AI39" s="280">
        <v>0</v>
      </c>
      <c r="AJ39" s="280">
        <v>0</v>
      </c>
      <c r="AK39" s="280">
        <v>0</v>
      </c>
      <c r="AL39" s="280">
        <v>512823.40787401586</v>
      </c>
      <c r="AM39" s="280">
        <v>1031825.4110236218</v>
      </c>
      <c r="AN39" s="280">
        <v>1544655.118110236</v>
      </c>
      <c r="AO39" s="280">
        <v>0</v>
      </c>
      <c r="AP39" s="280">
        <v>0</v>
      </c>
      <c r="AQ39" s="280">
        <v>1112144.881889764</v>
      </c>
      <c r="AR39" s="280">
        <v>224282.93228346456</v>
      </c>
      <c r="AS39" s="280">
        <v>785917.05196850374</v>
      </c>
      <c r="AT39" s="280">
        <v>843377.96850393689</v>
      </c>
      <c r="AU39" s="280">
        <v>1698718.1102362201</v>
      </c>
      <c r="AV39" s="280">
        <v>792710.54079300945</v>
      </c>
      <c r="AW39" s="280">
        <v>12485949.288500827</v>
      </c>
      <c r="AX39" s="280">
        <v>2575899.5612507905</v>
      </c>
      <c r="AY39" s="280">
        <v>955596.9758792799</v>
      </c>
      <c r="AZ39" s="280">
        <v>177062.53121388666</v>
      </c>
      <c r="BA39" s="280">
        <v>0</v>
      </c>
      <c r="BB39" s="280">
        <v>38059.711623138435</v>
      </c>
      <c r="BC39" s="280">
        <v>144810.91253462847</v>
      </c>
      <c r="BD39" s="280">
        <v>0</v>
      </c>
      <c r="BE39" s="280">
        <v>0</v>
      </c>
      <c r="BF39" s="280">
        <v>0</v>
      </c>
      <c r="BG39" s="280">
        <v>0</v>
      </c>
      <c r="BH39" s="280">
        <v>0</v>
      </c>
      <c r="BI39" s="280">
        <v>370714.96062992123</v>
      </c>
      <c r="BJ39" s="280">
        <v>17100.428976377956</v>
      </c>
      <c r="BK39" s="280">
        <v>336168.62858808204</v>
      </c>
      <c r="BL39" s="280">
        <v>765945.09527376341</v>
      </c>
      <c r="BM39" s="280">
        <v>13264.570874150841</v>
      </c>
      <c r="BN39" s="280">
        <v>10435239.026820451</v>
      </c>
      <c r="BO39" s="280">
        <v>137953.09916379888</v>
      </c>
      <c r="BP39" s="280">
        <v>6965285.0393700786</v>
      </c>
      <c r="BQ39" s="280">
        <v>837454.62519685039</v>
      </c>
      <c r="BR39" s="280">
        <v>84789.01968503937</v>
      </c>
      <c r="BS39" s="280">
        <v>290891.55984251964</v>
      </c>
      <c r="BT39" s="280">
        <v>91311.251968503959</v>
      </c>
      <c r="BU39" s="280">
        <v>3397442.3999999994</v>
      </c>
      <c r="BV39" s="280">
        <v>0</v>
      </c>
      <c r="BW39" s="280">
        <v>1206711.0236220472</v>
      </c>
      <c r="BX39" s="280">
        <v>896385.82677165361</v>
      </c>
      <c r="BY39" s="280">
        <v>1132478.7401574801</v>
      </c>
      <c r="BZ39" s="280">
        <v>2046390.5511811022</v>
      </c>
      <c r="CA39" s="280">
        <v>69921.259842519677</v>
      </c>
      <c r="CB39" s="280">
        <v>153291.33858267718</v>
      </c>
      <c r="CC39" s="280">
        <v>0</v>
      </c>
      <c r="CD39" s="280">
        <v>123453.5433070866</v>
      </c>
      <c r="CE39" s="280">
        <v>0</v>
      </c>
      <c r="CF39" s="280">
        <v>149213.78197226077</v>
      </c>
      <c r="CG39" s="280">
        <v>111062.95051242021</v>
      </c>
      <c r="CH39" s="280">
        <v>319213.03129484656</v>
      </c>
      <c r="CI39" s="280">
        <v>0</v>
      </c>
      <c r="CJ39" s="280">
        <v>0</v>
      </c>
      <c r="CK39" s="280">
        <v>0</v>
      </c>
      <c r="CL39" s="280">
        <v>16485.039370078739</v>
      </c>
      <c r="CM39" s="280">
        <v>1482859.8425196847</v>
      </c>
      <c r="CN39" s="280">
        <v>88724.560314960632</v>
      </c>
      <c r="CO39" s="280">
        <v>221193.54173228348</v>
      </c>
      <c r="CP39" s="280">
        <v>806182.49511811009</v>
      </c>
      <c r="CQ39" s="280">
        <v>220204.96724409447</v>
      </c>
      <c r="CR39" s="280">
        <v>399878.38047244091</v>
      </c>
      <c r="CS39" s="280">
        <v>348719.65070866141</v>
      </c>
      <c r="CT39" s="280">
        <v>194254.88692913385</v>
      </c>
      <c r="CU39" s="280">
        <v>83287.400629921249</v>
      </c>
      <c r="CV39" s="280">
        <v>108990.33732283463</v>
      </c>
      <c r="CW39" s="280">
        <v>1853584.2519685039</v>
      </c>
      <c r="CX39" s="280">
        <v>926787.40157480305</v>
      </c>
      <c r="CY39" s="280">
        <v>185357.48031496062</v>
      </c>
      <c r="CZ39" s="280">
        <v>926787.40157480305</v>
      </c>
      <c r="DA39" s="280">
        <v>0</v>
      </c>
      <c r="DB39" s="280">
        <v>0</v>
      </c>
      <c r="DC39" s="280">
        <v>0</v>
      </c>
      <c r="DD39" s="280">
        <v>0</v>
      </c>
      <c r="DE39" s="280">
        <v>0</v>
      </c>
      <c r="DF39" s="280">
        <v>22148.031496062991</v>
      </c>
      <c r="DG39" s="280">
        <v>0</v>
      </c>
      <c r="DH39" s="280">
        <v>123729.29494283567</v>
      </c>
      <c r="DI39" s="280">
        <v>21708.867203606616</v>
      </c>
      <c r="DJ39" s="280">
        <v>518313.26463326055</v>
      </c>
      <c r="DK39" s="280">
        <v>26652.938182738635</v>
      </c>
      <c r="DL39" s="280">
        <v>432715.08876826259</v>
      </c>
      <c r="DM39" s="280">
        <v>198866.72132630312</v>
      </c>
      <c r="DN39" s="280">
        <v>39143.449672824368</v>
      </c>
      <c r="DO39" s="280">
        <v>4699.0087423645227</v>
      </c>
      <c r="DP39" s="280">
        <v>7774.7235555485768</v>
      </c>
      <c r="DQ39" s="280">
        <v>3261.9541394020307</v>
      </c>
      <c r="DR39" s="280">
        <v>854127.55905511801</v>
      </c>
      <c r="DS39" s="280">
        <v>48774.015748031496</v>
      </c>
      <c r="DT39" s="280">
        <v>0</v>
      </c>
      <c r="DU39" s="280">
        <v>140650.97582866743</v>
      </c>
      <c r="DV39" s="280">
        <v>219709.05511811023</v>
      </c>
      <c r="DW39" s="280">
        <v>263650.86614173232</v>
      </c>
      <c r="DX39" s="280">
        <v>1379744.0944881889</v>
      </c>
      <c r="DY39" s="280">
        <v>1379744.0944881891</v>
      </c>
      <c r="DZ39" s="280">
        <v>689869.29133858252</v>
      </c>
      <c r="EG39" s="280" t="str">
        <f>VLOOKUP(B39,'2022. tervsor'!C:D,2,0)</f>
        <v>Kommunális hulladék szállítási költségei</v>
      </c>
    </row>
    <row r="40" spans="1:137" s="280" customFormat="1" x14ac:dyDescent="0.3">
      <c r="A40" s="581"/>
      <c r="B40" s="581">
        <v>129</v>
      </c>
      <c r="C40" s="280">
        <v>0</v>
      </c>
      <c r="D40" s="280">
        <v>0</v>
      </c>
      <c r="E40" s="280">
        <v>0</v>
      </c>
      <c r="F40" s="280">
        <v>0</v>
      </c>
      <c r="G40" s="280">
        <v>0</v>
      </c>
      <c r="H40" s="280">
        <v>0</v>
      </c>
      <c r="I40" s="280">
        <v>0</v>
      </c>
      <c r="J40" s="280">
        <v>0</v>
      </c>
      <c r="K40" s="280">
        <v>0</v>
      </c>
      <c r="L40" s="280">
        <v>0</v>
      </c>
      <c r="M40" s="280">
        <v>0</v>
      </c>
      <c r="N40" s="280">
        <v>0</v>
      </c>
      <c r="O40" s="280">
        <v>0</v>
      </c>
      <c r="P40" s="280">
        <v>0</v>
      </c>
      <c r="Q40" s="280">
        <v>0</v>
      </c>
      <c r="R40" s="280">
        <v>0</v>
      </c>
      <c r="S40" s="280">
        <v>0</v>
      </c>
      <c r="T40" s="280">
        <v>0</v>
      </c>
      <c r="U40" s="280">
        <v>0</v>
      </c>
      <c r="V40" s="280">
        <v>0</v>
      </c>
      <c r="W40" s="280">
        <v>0</v>
      </c>
      <c r="X40" s="280">
        <v>0</v>
      </c>
      <c r="Y40" s="280">
        <v>0</v>
      </c>
      <c r="Z40" s="280">
        <v>0</v>
      </c>
      <c r="AA40" s="280">
        <v>0</v>
      </c>
      <c r="AB40" s="280">
        <v>0</v>
      </c>
      <c r="AC40" s="280">
        <v>0</v>
      </c>
      <c r="AD40" s="280">
        <v>0</v>
      </c>
      <c r="AE40" s="280">
        <v>0</v>
      </c>
      <c r="AF40" s="280">
        <v>0</v>
      </c>
      <c r="AG40" s="280">
        <v>0</v>
      </c>
      <c r="AH40" s="280">
        <v>0</v>
      </c>
      <c r="AI40" s="280">
        <v>0</v>
      </c>
      <c r="AJ40" s="280">
        <v>0</v>
      </c>
      <c r="AK40" s="280">
        <v>0</v>
      </c>
      <c r="AL40" s="280">
        <v>0</v>
      </c>
      <c r="AM40" s="280">
        <v>0</v>
      </c>
      <c r="AN40" s="280">
        <v>0</v>
      </c>
      <c r="AO40" s="280">
        <v>0</v>
      </c>
      <c r="AP40" s="280">
        <v>0</v>
      </c>
      <c r="AQ40" s="280">
        <v>0</v>
      </c>
      <c r="AR40" s="280">
        <v>0</v>
      </c>
      <c r="AS40" s="280">
        <v>0</v>
      </c>
      <c r="AT40" s="280">
        <v>0</v>
      </c>
      <c r="AU40" s="280">
        <v>0</v>
      </c>
      <c r="AV40" s="280">
        <v>0</v>
      </c>
      <c r="AW40" s="280">
        <v>0</v>
      </c>
      <c r="AX40" s="280">
        <v>0</v>
      </c>
      <c r="AY40" s="280">
        <v>0</v>
      </c>
      <c r="AZ40" s="280">
        <v>0</v>
      </c>
      <c r="BA40" s="280">
        <v>0</v>
      </c>
      <c r="BB40" s="280">
        <v>0</v>
      </c>
      <c r="BC40" s="280">
        <v>0</v>
      </c>
      <c r="BD40" s="280">
        <v>0</v>
      </c>
      <c r="BE40" s="280">
        <v>0</v>
      </c>
      <c r="BF40" s="280">
        <v>0</v>
      </c>
      <c r="BG40" s="280">
        <v>0</v>
      </c>
      <c r="BH40" s="280">
        <v>0</v>
      </c>
      <c r="BI40" s="280">
        <v>0</v>
      </c>
      <c r="BJ40" s="280">
        <v>0</v>
      </c>
      <c r="BK40" s="280">
        <v>0</v>
      </c>
      <c r="BL40" s="280">
        <v>0</v>
      </c>
      <c r="BM40" s="280">
        <v>0</v>
      </c>
      <c r="BN40" s="280">
        <v>0</v>
      </c>
      <c r="BO40" s="280">
        <v>0</v>
      </c>
      <c r="BP40" s="280">
        <v>5654.3307086614168</v>
      </c>
      <c r="BQ40" s="280">
        <v>0</v>
      </c>
      <c r="BR40" s="280">
        <v>0</v>
      </c>
      <c r="BS40" s="280">
        <v>0</v>
      </c>
      <c r="BT40" s="280">
        <v>0</v>
      </c>
      <c r="BU40" s="280">
        <v>141365.23571923788</v>
      </c>
      <c r="BV40" s="280">
        <v>0</v>
      </c>
      <c r="BW40" s="280">
        <v>39451.181102362207</v>
      </c>
      <c r="BX40" s="280">
        <v>14709.763779527555</v>
      </c>
      <c r="BY40" s="280">
        <v>0</v>
      </c>
      <c r="BZ40" s="280">
        <v>0</v>
      </c>
      <c r="CA40" s="280">
        <v>0</v>
      </c>
      <c r="CB40" s="280">
        <v>9338.6133442020964</v>
      </c>
      <c r="CC40" s="280">
        <v>0</v>
      </c>
      <c r="CD40" s="280">
        <v>0</v>
      </c>
      <c r="CE40" s="280">
        <v>13145.331773881313</v>
      </c>
      <c r="CF40" s="280">
        <v>0</v>
      </c>
      <c r="CG40" s="280">
        <v>0</v>
      </c>
      <c r="CH40" s="280">
        <v>0</v>
      </c>
      <c r="CI40" s="280">
        <v>0</v>
      </c>
      <c r="CJ40" s="280">
        <v>0</v>
      </c>
      <c r="CK40" s="280">
        <v>0</v>
      </c>
      <c r="CL40" s="280">
        <v>10747.586104553748</v>
      </c>
      <c r="CM40" s="280">
        <v>0</v>
      </c>
      <c r="CN40" s="280">
        <v>0</v>
      </c>
      <c r="CO40" s="280">
        <v>0</v>
      </c>
      <c r="CP40" s="280">
        <v>0</v>
      </c>
      <c r="CQ40" s="280">
        <v>0</v>
      </c>
      <c r="CR40" s="280">
        <v>0</v>
      </c>
      <c r="CS40" s="280">
        <v>0</v>
      </c>
      <c r="CT40" s="280">
        <v>0</v>
      </c>
      <c r="CU40" s="280">
        <v>0</v>
      </c>
      <c r="CV40" s="280">
        <v>0</v>
      </c>
      <c r="CW40" s="280">
        <v>0</v>
      </c>
      <c r="CX40" s="280">
        <v>0</v>
      </c>
      <c r="CY40" s="280">
        <v>0</v>
      </c>
      <c r="CZ40" s="280">
        <v>0</v>
      </c>
      <c r="DA40" s="280">
        <v>0</v>
      </c>
      <c r="DB40" s="280">
        <v>0</v>
      </c>
      <c r="DC40" s="280">
        <v>0</v>
      </c>
      <c r="DD40" s="280">
        <v>0</v>
      </c>
      <c r="DE40" s="280">
        <v>0</v>
      </c>
      <c r="DF40" s="280">
        <v>0</v>
      </c>
      <c r="DG40" s="280">
        <v>0</v>
      </c>
      <c r="DH40" s="280">
        <v>0</v>
      </c>
      <c r="DI40" s="280">
        <v>0</v>
      </c>
      <c r="DJ40" s="280">
        <v>0</v>
      </c>
      <c r="DK40" s="280">
        <v>0</v>
      </c>
      <c r="DL40" s="280">
        <v>0</v>
      </c>
      <c r="DM40" s="280">
        <v>0</v>
      </c>
      <c r="DN40" s="280">
        <v>0</v>
      </c>
      <c r="DO40" s="280">
        <v>0</v>
      </c>
      <c r="DP40" s="280">
        <v>0</v>
      </c>
      <c r="DQ40" s="280">
        <v>0</v>
      </c>
      <c r="DR40" s="280">
        <v>0</v>
      </c>
      <c r="DS40" s="280">
        <v>0</v>
      </c>
      <c r="DT40" s="280">
        <v>0</v>
      </c>
      <c r="DU40" s="280">
        <v>0</v>
      </c>
      <c r="DV40" s="280">
        <v>0</v>
      </c>
      <c r="DW40" s="280">
        <v>0</v>
      </c>
      <c r="DX40" s="280">
        <v>0</v>
      </c>
      <c r="DY40" s="280">
        <v>0</v>
      </c>
      <c r="DZ40" s="280">
        <v>0</v>
      </c>
      <c r="EG40" s="280" t="str">
        <f>VLOOKUP(B40,'2022. tervsor'!C:D,2,0)</f>
        <v>Kéményseprési díjak költségei</v>
      </c>
    </row>
    <row r="41" spans="1:137" s="280" customFormat="1" x14ac:dyDescent="0.3">
      <c r="A41" s="581"/>
      <c r="B41" s="581">
        <v>131</v>
      </c>
      <c r="C41" s="280">
        <v>118110.23622047246</v>
      </c>
      <c r="D41" s="280">
        <v>930669.9245004172</v>
      </c>
      <c r="E41" s="280">
        <v>74730.603277703485</v>
      </c>
      <c r="F41" s="280">
        <v>29798.754196664471</v>
      </c>
      <c r="G41" s="280">
        <v>954993.58810036536</v>
      </c>
      <c r="H41" s="280">
        <v>454782.74724315119</v>
      </c>
      <c r="I41" s="280">
        <v>4750.7785422701481</v>
      </c>
      <c r="J41" s="280">
        <v>17346.570975572868</v>
      </c>
      <c r="K41" s="280">
        <v>29932.627614947705</v>
      </c>
      <c r="L41" s="280">
        <v>134477.1725772653</v>
      </c>
      <c r="M41" s="280">
        <v>3333939.7465571021</v>
      </c>
      <c r="N41" s="280">
        <v>0</v>
      </c>
      <c r="O41" s="280">
        <v>981.69824063513306</v>
      </c>
      <c r="P41" s="280">
        <v>5385.8507143296029</v>
      </c>
      <c r="Q41" s="280">
        <v>220652.92411253447</v>
      </c>
      <c r="R41" s="280">
        <v>168367.0497949656</v>
      </c>
      <c r="S41" s="280">
        <v>0</v>
      </c>
      <c r="T41" s="280">
        <v>181815.06801765494</v>
      </c>
      <c r="U41" s="280">
        <v>0</v>
      </c>
      <c r="V41" s="280">
        <v>0</v>
      </c>
      <c r="W41" s="280">
        <v>0</v>
      </c>
      <c r="X41" s="280">
        <v>4607239.24913147</v>
      </c>
      <c r="Y41" s="280">
        <v>29593.432335375132</v>
      </c>
      <c r="Z41" s="280">
        <v>27133.110761868898</v>
      </c>
      <c r="AA41" s="280">
        <v>108878.84668808561</v>
      </c>
      <c r="AB41" s="280">
        <v>0</v>
      </c>
      <c r="AC41" s="280">
        <v>16251.287795561599</v>
      </c>
      <c r="AD41" s="280">
        <v>295890.81991533836</v>
      </c>
      <c r="AE41" s="280">
        <v>0</v>
      </c>
      <c r="AF41" s="280">
        <v>0</v>
      </c>
      <c r="AG41" s="280">
        <v>0</v>
      </c>
      <c r="AH41" s="280">
        <v>0</v>
      </c>
      <c r="AI41" s="280">
        <v>0</v>
      </c>
      <c r="AJ41" s="280">
        <v>0</v>
      </c>
      <c r="AK41" s="280">
        <v>0</v>
      </c>
      <c r="AL41" s="280">
        <v>0</v>
      </c>
      <c r="AM41" s="280">
        <v>0</v>
      </c>
      <c r="AN41" s="280">
        <v>1251440.2515933928</v>
      </c>
      <c r="AO41" s="280">
        <v>0</v>
      </c>
      <c r="AP41" s="280">
        <v>0</v>
      </c>
      <c r="AQ41" s="280">
        <v>5686306.0141570466</v>
      </c>
      <c r="AR41" s="280">
        <v>0</v>
      </c>
      <c r="AS41" s="280">
        <v>0</v>
      </c>
      <c r="AT41" s="280">
        <v>0</v>
      </c>
      <c r="AU41" s="280">
        <v>2227825.7641524505</v>
      </c>
      <c r="AV41" s="280">
        <v>1021407.3853874116</v>
      </c>
      <c r="AW41" s="280">
        <v>20658288.140069563</v>
      </c>
      <c r="AX41" s="280">
        <v>4367691.5951605039</v>
      </c>
      <c r="AY41" s="280">
        <v>1636073.2626125456</v>
      </c>
      <c r="AZ41" s="280">
        <v>296773.17451256508</v>
      </c>
      <c r="BA41" s="280">
        <v>0</v>
      </c>
      <c r="BB41" s="280">
        <v>0</v>
      </c>
      <c r="BC41" s="280">
        <v>0</v>
      </c>
      <c r="BD41" s="280">
        <v>0</v>
      </c>
      <c r="BE41" s="280">
        <v>0</v>
      </c>
      <c r="BF41" s="280">
        <v>0</v>
      </c>
      <c r="BG41" s="280">
        <v>0</v>
      </c>
      <c r="BH41" s="280">
        <v>0</v>
      </c>
      <c r="BI41" s="280">
        <v>477381.57070155343</v>
      </c>
      <c r="BJ41" s="280">
        <v>13686.044458939325</v>
      </c>
      <c r="BK41" s="280">
        <v>289242.0330464461</v>
      </c>
      <c r="BL41" s="280">
        <v>230057.02364104262</v>
      </c>
      <c r="BM41" s="280">
        <v>10568.33237814379</v>
      </c>
      <c r="BN41" s="280">
        <v>10711174.019840408</v>
      </c>
      <c r="BO41" s="280">
        <v>146181.35913354476</v>
      </c>
      <c r="BP41" s="280">
        <v>2702348.0050510028</v>
      </c>
      <c r="BQ41" s="280">
        <v>4072639.3016165583</v>
      </c>
      <c r="BR41" s="280">
        <v>361929.74245127314</v>
      </c>
      <c r="BS41" s="280">
        <v>825881.7450419449</v>
      </c>
      <c r="BT41" s="280">
        <v>191567.86315393585</v>
      </c>
      <c r="BU41" s="280">
        <v>928846.38151615462</v>
      </c>
      <c r="BV41" s="280">
        <v>0</v>
      </c>
      <c r="BW41" s="280">
        <v>0</v>
      </c>
      <c r="BX41" s="280">
        <v>0</v>
      </c>
      <c r="BY41" s="280">
        <v>0</v>
      </c>
      <c r="BZ41" s="280">
        <v>0</v>
      </c>
      <c r="CA41" s="280">
        <v>3430164.11914847</v>
      </c>
      <c r="CB41" s="280">
        <v>2187712.5897328407</v>
      </c>
      <c r="CC41" s="280">
        <v>0</v>
      </c>
      <c r="CD41" s="280">
        <v>2585658.6739045405</v>
      </c>
      <c r="CE41" s="280">
        <v>48906.109293542206</v>
      </c>
      <c r="CF41" s="280">
        <v>0</v>
      </c>
      <c r="CG41" s="280">
        <v>0</v>
      </c>
      <c r="CH41" s="280">
        <v>0</v>
      </c>
      <c r="CI41" s="280">
        <v>0</v>
      </c>
      <c r="CJ41" s="280">
        <v>0</v>
      </c>
      <c r="CK41" s="280">
        <v>0</v>
      </c>
      <c r="CL41" s="280">
        <v>358252.87015179166</v>
      </c>
      <c r="CM41" s="280">
        <v>1801856.9805254673</v>
      </c>
      <c r="CN41" s="280">
        <v>0</v>
      </c>
      <c r="CO41" s="280">
        <v>0</v>
      </c>
      <c r="CP41" s="280">
        <v>0</v>
      </c>
      <c r="CQ41" s="280">
        <v>0</v>
      </c>
      <c r="CR41" s="280">
        <v>0</v>
      </c>
      <c r="CS41" s="280">
        <v>0</v>
      </c>
      <c r="CT41" s="280">
        <v>0</v>
      </c>
      <c r="CU41" s="280">
        <v>0</v>
      </c>
      <c r="CV41" s="280">
        <v>0</v>
      </c>
      <c r="CW41" s="280">
        <v>3451840.3982267743</v>
      </c>
      <c r="CX41" s="280">
        <v>0</v>
      </c>
      <c r="CY41" s="280">
        <v>0</v>
      </c>
      <c r="CZ41" s="280">
        <v>0</v>
      </c>
      <c r="DA41" s="280">
        <v>173618.26136720937</v>
      </c>
      <c r="DB41" s="280">
        <v>46123.338091273385</v>
      </c>
      <c r="DC41" s="280">
        <v>39441.563080313339</v>
      </c>
      <c r="DD41" s="280">
        <v>808.03212490623491</v>
      </c>
      <c r="DE41" s="280">
        <v>39648.489345872469</v>
      </c>
      <c r="DF41" s="280">
        <v>171935.7225408552</v>
      </c>
      <c r="DG41" s="280">
        <v>0</v>
      </c>
      <c r="DH41" s="280">
        <v>48856.948157812731</v>
      </c>
      <c r="DI41" s="280">
        <v>19118.943138868086</v>
      </c>
      <c r="DJ41" s="280">
        <v>202258.67425263161</v>
      </c>
      <c r="DK41" s="280">
        <v>0</v>
      </c>
      <c r="DL41" s="280">
        <v>137853.63261266347</v>
      </c>
      <c r="DM41" s="280">
        <v>66727.628214140947</v>
      </c>
      <c r="DN41" s="280">
        <v>17007.588109380962</v>
      </c>
      <c r="DO41" s="280">
        <v>1740.5414214338625</v>
      </c>
      <c r="DP41" s="280">
        <v>3691.8906097688728</v>
      </c>
      <c r="DQ41" s="280">
        <v>1295.0569996885351</v>
      </c>
      <c r="DR41" s="280">
        <v>1536565.744143958</v>
      </c>
      <c r="DS41" s="280">
        <v>5244.3174752864961</v>
      </c>
      <c r="DT41" s="280">
        <v>0</v>
      </c>
      <c r="DU41" s="280">
        <v>0</v>
      </c>
      <c r="DV41" s="280">
        <v>0</v>
      </c>
      <c r="DW41" s="280">
        <v>0</v>
      </c>
      <c r="DX41" s="280">
        <v>84060.746682704092</v>
      </c>
      <c r="DY41" s="280">
        <v>103533.57342824085</v>
      </c>
      <c r="DZ41" s="280">
        <v>51422.857173915458</v>
      </c>
      <c r="EG41" s="280" t="s">
        <v>374</v>
      </c>
    </row>
    <row r="42" spans="1:137" s="280" customFormat="1" x14ac:dyDescent="0.3">
      <c r="A42" s="581"/>
      <c r="B42" s="581">
        <v>132</v>
      </c>
      <c r="C42" s="280">
        <v>0</v>
      </c>
      <c r="D42" s="280">
        <v>0</v>
      </c>
      <c r="E42" s="280">
        <v>0</v>
      </c>
      <c r="F42" s="280">
        <v>0</v>
      </c>
      <c r="G42" s="280">
        <v>0</v>
      </c>
      <c r="H42" s="280">
        <v>0</v>
      </c>
      <c r="I42" s="280">
        <v>0</v>
      </c>
      <c r="J42" s="280">
        <v>0</v>
      </c>
      <c r="K42" s="280">
        <v>0</v>
      </c>
      <c r="L42" s="280">
        <v>0</v>
      </c>
      <c r="M42" s="280">
        <v>0</v>
      </c>
      <c r="N42" s="280">
        <v>0</v>
      </c>
      <c r="O42" s="280">
        <v>0</v>
      </c>
      <c r="P42" s="280">
        <v>0</v>
      </c>
      <c r="Q42" s="280">
        <v>0</v>
      </c>
      <c r="R42" s="280">
        <v>0</v>
      </c>
      <c r="S42" s="280">
        <v>0</v>
      </c>
      <c r="T42" s="280">
        <v>0</v>
      </c>
      <c r="U42" s="280">
        <v>0</v>
      </c>
      <c r="V42" s="280">
        <v>0</v>
      </c>
      <c r="W42" s="280">
        <v>0</v>
      </c>
      <c r="X42" s="280">
        <v>0</v>
      </c>
      <c r="Y42" s="280">
        <v>0</v>
      </c>
      <c r="Z42" s="280">
        <v>0</v>
      </c>
      <c r="AA42" s="280">
        <v>0</v>
      </c>
      <c r="AB42" s="280">
        <v>0</v>
      </c>
      <c r="AC42" s="280">
        <v>0</v>
      </c>
      <c r="AD42" s="280">
        <v>0</v>
      </c>
      <c r="AE42" s="280">
        <v>0</v>
      </c>
      <c r="AF42" s="280">
        <v>0</v>
      </c>
      <c r="AG42" s="280">
        <v>0</v>
      </c>
      <c r="AH42" s="280">
        <v>0</v>
      </c>
      <c r="AI42" s="280">
        <v>0</v>
      </c>
      <c r="AJ42" s="280">
        <v>0</v>
      </c>
      <c r="AK42" s="280">
        <v>0</v>
      </c>
      <c r="AL42" s="280">
        <v>0</v>
      </c>
      <c r="AM42" s="280">
        <v>0</v>
      </c>
      <c r="AN42" s="280">
        <v>0</v>
      </c>
      <c r="AO42" s="280">
        <v>0</v>
      </c>
      <c r="AP42" s="280">
        <v>0</v>
      </c>
      <c r="AQ42" s="280">
        <v>0</v>
      </c>
      <c r="AR42" s="280">
        <v>0</v>
      </c>
      <c r="AS42" s="280">
        <v>0</v>
      </c>
      <c r="AT42" s="280">
        <v>0</v>
      </c>
      <c r="AU42" s="280">
        <v>0</v>
      </c>
      <c r="AV42" s="280">
        <v>0</v>
      </c>
      <c r="AW42" s="280">
        <v>0</v>
      </c>
      <c r="AX42" s="280">
        <v>0</v>
      </c>
      <c r="AY42" s="280">
        <v>0</v>
      </c>
      <c r="AZ42" s="280">
        <v>0</v>
      </c>
      <c r="BA42" s="280">
        <v>0</v>
      </c>
      <c r="BB42" s="280">
        <v>0</v>
      </c>
      <c r="BC42" s="280">
        <v>0</v>
      </c>
      <c r="BD42" s="280">
        <v>0</v>
      </c>
      <c r="BE42" s="280">
        <v>0</v>
      </c>
      <c r="BF42" s="280">
        <v>0</v>
      </c>
      <c r="BG42" s="280">
        <v>0</v>
      </c>
      <c r="BH42" s="280">
        <v>0</v>
      </c>
      <c r="BI42" s="280">
        <v>0</v>
      </c>
      <c r="BJ42" s="280">
        <v>0</v>
      </c>
      <c r="BK42" s="280">
        <v>0</v>
      </c>
      <c r="BL42" s="280">
        <v>0</v>
      </c>
      <c r="BM42" s="280">
        <v>0</v>
      </c>
      <c r="BN42" s="280">
        <v>0</v>
      </c>
      <c r="BO42" s="280">
        <v>0</v>
      </c>
      <c r="BP42" s="280">
        <v>0</v>
      </c>
      <c r="BQ42" s="280">
        <v>0</v>
      </c>
      <c r="BR42" s="280">
        <v>0</v>
      </c>
      <c r="BS42" s="280">
        <v>0</v>
      </c>
      <c r="BT42" s="280">
        <v>0</v>
      </c>
      <c r="BU42" s="280">
        <v>0</v>
      </c>
      <c r="BV42" s="280">
        <v>0</v>
      </c>
      <c r="BW42" s="280">
        <v>0</v>
      </c>
      <c r="BX42" s="280">
        <v>0</v>
      </c>
      <c r="BY42" s="280">
        <v>0</v>
      </c>
      <c r="BZ42" s="280">
        <v>0</v>
      </c>
      <c r="CA42" s="280">
        <v>0</v>
      </c>
      <c r="CB42" s="280">
        <v>0</v>
      </c>
      <c r="CC42" s="280">
        <v>0</v>
      </c>
      <c r="CD42" s="280">
        <v>218752.84889209311</v>
      </c>
      <c r="CE42" s="280">
        <v>0</v>
      </c>
      <c r="CF42" s="280">
        <v>0</v>
      </c>
      <c r="CG42" s="280">
        <v>0</v>
      </c>
      <c r="CH42" s="280">
        <v>0</v>
      </c>
      <c r="CI42" s="280">
        <v>0</v>
      </c>
      <c r="CJ42" s="280">
        <v>0</v>
      </c>
      <c r="CK42" s="280">
        <v>0</v>
      </c>
      <c r="CL42" s="280">
        <v>0</v>
      </c>
      <c r="CM42" s="280">
        <v>0</v>
      </c>
      <c r="CN42" s="280">
        <v>0</v>
      </c>
      <c r="CO42" s="280">
        <v>0</v>
      </c>
      <c r="CP42" s="280">
        <v>0</v>
      </c>
      <c r="CQ42" s="280">
        <v>0</v>
      </c>
      <c r="CR42" s="280">
        <v>0</v>
      </c>
      <c r="CS42" s="280">
        <v>0</v>
      </c>
      <c r="CT42" s="280">
        <v>0</v>
      </c>
      <c r="CU42" s="280">
        <v>0</v>
      </c>
      <c r="CV42" s="280">
        <v>0</v>
      </c>
      <c r="CW42" s="280">
        <v>0</v>
      </c>
      <c r="CX42" s="280">
        <v>0</v>
      </c>
      <c r="CY42" s="280">
        <v>0</v>
      </c>
      <c r="CZ42" s="280">
        <v>0</v>
      </c>
      <c r="DA42" s="280">
        <v>0</v>
      </c>
      <c r="DB42" s="280">
        <v>0</v>
      </c>
      <c r="DC42" s="280">
        <v>0</v>
      </c>
      <c r="DD42" s="280">
        <v>0</v>
      </c>
      <c r="DE42" s="280">
        <v>0</v>
      </c>
      <c r="DF42" s="280">
        <v>0</v>
      </c>
      <c r="DG42" s="280">
        <v>0</v>
      </c>
      <c r="DH42" s="280">
        <v>0</v>
      </c>
      <c r="DI42" s="280">
        <v>0</v>
      </c>
      <c r="DJ42" s="280">
        <v>0</v>
      </c>
      <c r="DK42" s="280">
        <v>0</v>
      </c>
      <c r="DL42" s="280">
        <v>0</v>
      </c>
      <c r="DM42" s="280">
        <v>0</v>
      </c>
      <c r="DN42" s="280">
        <v>0</v>
      </c>
      <c r="DO42" s="280">
        <v>0</v>
      </c>
      <c r="DP42" s="280">
        <v>0</v>
      </c>
      <c r="DQ42" s="280">
        <v>0</v>
      </c>
      <c r="DR42" s="280">
        <v>0</v>
      </c>
      <c r="DS42" s="280">
        <v>0</v>
      </c>
      <c r="DT42" s="280">
        <v>0</v>
      </c>
      <c r="DU42" s="280">
        <v>0</v>
      </c>
      <c r="DV42" s="280">
        <v>0</v>
      </c>
      <c r="DW42" s="280">
        <v>0</v>
      </c>
      <c r="DX42" s="280">
        <v>0</v>
      </c>
      <c r="DY42" s="280">
        <v>0</v>
      </c>
      <c r="DZ42" s="280">
        <v>0</v>
      </c>
      <c r="EG42" s="280" t="str">
        <f>VLOOKUP(B42,'2022. tervsor'!C:D,2,0)</f>
        <v>Egyéb üzemelt. Kiadások (mosás, rakodás)</v>
      </c>
    </row>
    <row r="43" spans="1:137" s="280" customFormat="1" x14ac:dyDescent="0.3">
      <c r="A43" s="581"/>
      <c r="B43" s="581">
        <v>133</v>
      </c>
      <c r="C43" s="280">
        <v>0</v>
      </c>
      <c r="D43" s="280">
        <v>85502.433794409924</v>
      </c>
      <c r="E43" s="280">
        <v>6865.6440817061011</v>
      </c>
      <c r="F43" s="280">
        <v>2737.6687918908424</v>
      </c>
      <c r="G43" s="280">
        <v>76074.311731281065</v>
      </c>
      <c r="H43" s="280">
        <v>36227.766254015805</v>
      </c>
      <c r="I43" s="280">
        <v>378.44464328796886</v>
      </c>
      <c r="J43" s="280">
        <v>1381.8191706286466</v>
      </c>
      <c r="K43" s="280">
        <v>1574.0882943323929</v>
      </c>
      <c r="L43" s="280">
        <v>7071.846345460247</v>
      </c>
      <c r="M43" s="280">
        <v>175324.25140131512</v>
      </c>
      <c r="N43" s="280">
        <v>0</v>
      </c>
      <c r="O43" s="280">
        <v>596.35874431106208</v>
      </c>
      <c r="P43" s="280">
        <v>3271.7784713217211</v>
      </c>
      <c r="Q43" s="280">
        <v>134041.49595621252</v>
      </c>
      <c r="R43" s="280">
        <v>69303.524980196336</v>
      </c>
      <c r="S43" s="280">
        <v>0</v>
      </c>
      <c r="T43" s="280">
        <v>98940.41683267655</v>
      </c>
      <c r="U43" s="280">
        <v>96598.189720968585</v>
      </c>
      <c r="V43" s="280">
        <v>389127.56692186353</v>
      </c>
      <c r="W43" s="280">
        <v>48770.869480388472</v>
      </c>
      <c r="X43" s="280">
        <v>8296142.4231426166</v>
      </c>
      <c r="Y43" s="280">
        <v>53288.165898957493</v>
      </c>
      <c r="Z43" s="280">
        <v>48857.925341255643</v>
      </c>
      <c r="AA43" s="280">
        <v>196055.46188254675</v>
      </c>
      <c r="AB43" s="280">
        <v>0</v>
      </c>
      <c r="AC43" s="280">
        <v>29263.294311636735</v>
      </c>
      <c r="AD43" s="280">
        <v>0</v>
      </c>
      <c r="AE43" s="280">
        <v>0</v>
      </c>
      <c r="AF43" s="280">
        <v>0</v>
      </c>
      <c r="AG43" s="280">
        <v>0</v>
      </c>
      <c r="AH43" s="280">
        <v>0</v>
      </c>
      <c r="AI43" s="280">
        <v>0</v>
      </c>
      <c r="AJ43" s="280">
        <v>0</v>
      </c>
      <c r="AK43" s="280">
        <v>0</v>
      </c>
      <c r="AL43" s="280">
        <v>573915.98866893456</v>
      </c>
      <c r="AM43" s="280">
        <v>863072.73329748027</v>
      </c>
      <c r="AN43" s="280">
        <v>146208.31986962756</v>
      </c>
      <c r="AO43" s="280">
        <v>0</v>
      </c>
      <c r="AP43" s="280">
        <v>0</v>
      </c>
      <c r="AQ43" s="280">
        <v>189275.05854488749</v>
      </c>
      <c r="AR43" s="280">
        <v>214022.26069318695</v>
      </c>
      <c r="AS43" s="280">
        <v>693342.21834125556</v>
      </c>
      <c r="AT43" s="280">
        <v>332521.82492914115</v>
      </c>
      <c r="AU43" s="280">
        <v>164155.58262175947</v>
      </c>
      <c r="AV43" s="280">
        <v>988.65111419999062</v>
      </c>
      <c r="AW43" s="280">
        <v>19995.782172064111</v>
      </c>
      <c r="AX43" s="280">
        <v>4227.6208531618713</v>
      </c>
      <c r="AY43" s="280">
        <v>1583.6048154098671</v>
      </c>
      <c r="AZ43" s="280">
        <v>287.25573541376883</v>
      </c>
      <c r="BA43" s="280">
        <v>0</v>
      </c>
      <c r="BB43" s="280">
        <v>4834.5814781604058</v>
      </c>
      <c r="BC43" s="280">
        <v>30468.326869324468</v>
      </c>
      <c r="BD43" s="280">
        <v>0</v>
      </c>
      <c r="BE43" s="280">
        <v>0</v>
      </c>
      <c r="BF43" s="280">
        <v>0</v>
      </c>
      <c r="BG43" s="280">
        <v>0</v>
      </c>
      <c r="BH43" s="280">
        <v>0</v>
      </c>
      <c r="BI43" s="280">
        <v>309584.28125499276</v>
      </c>
      <c r="BJ43" s="280">
        <v>1643.72629563854</v>
      </c>
      <c r="BK43" s="280">
        <v>34738.651985881494</v>
      </c>
      <c r="BL43" s="280">
        <v>27630.392432937188</v>
      </c>
      <c r="BM43" s="280">
        <v>1269.2817039372258</v>
      </c>
      <c r="BN43" s="280">
        <v>90333.313839428418</v>
      </c>
      <c r="BO43" s="280">
        <v>1232.8290594126156</v>
      </c>
      <c r="BP43" s="280">
        <v>175110.8752820146</v>
      </c>
      <c r="BQ43" s="280">
        <v>61246.904246514488</v>
      </c>
      <c r="BR43" s="280">
        <v>5442.9264754872756</v>
      </c>
      <c r="BS43" s="280">
        <v>12420.127689051773</v>
      </c>
      <c r="BT43" s="280">
        <v>2880.9176807387116</v>
      </c>
      <c r="BU43" s="280">
        <v>190809.52798587672</v>
      </c>
      <c r="BV43" s="280">
        <v>79849.225550113581</v>
      </c>
      <c r="BW43" s="280">
        <v>114647.85250128695</v>
      </c>
      <c r="BX43" s="280">
        <v>181811.62235973138</v>
      </c>
      <c r="BY43" s="280">
        <v>0</v>
      </c>
      <c r="BZ43" s="280">
        <v>77428.501810184447</v>
      </c>
      <c r="CA43" s="280">
        <v>37438.733465116944</v>
      </c>
      <c r="CB43" s="280">
        <v>221792.06692479979</v>
      </c>
      <c r="CC43" s="280">
        <v>0</v>
      </c>
      <c r="CD43" s="280">
        <v>120314.0668906512</v>
      </c>
      <c r="CE43" s="280">
        <v>0</v>
      </c>
      <c r="CF43" s="280">
        <v>101374.66979657691</v>
      </c>
      <c r="CG43" s="280">
        <v>52033.645991079975</v>
      </c>
      <c r="CH43" s="280">
        <v>162891.29596826111</v>
      </c>
      <c r="CI43" s="280">
        <v>0</v>
      </c>
      <c r="CJ43" s="280">
        <v>0</v>
      </c>
      <c r="CK43" s="280">
        <v>0</v>
      </c>
      <c r="CL43" s="280">
        <v>42990.344418214991</v>
      </c>
      <c r="CM43" s="280">
        <v>166050.11841090125</v>
      </c>
      <c r="CN43" s="280">
        <v>13586.681245719648</v>
      </c>
      <c r="CO43" s="280">
        <v>34314.515254234058</v>
      </c>
      <c r="CP43" s="280">
        <v>127946.73515736239</v>
      </c>
      <c r="CQ43" s="280">
        <v>35095.46413890949</v>
      </c>
      <c r="CR43" s="280">
        <v>59624.141248583866</v>
      </c>
      <c r="CS43" s="280">
        <v>51720.471998676519</v>
      </c>
      <c r="CT43" s="280">
        <v>28613.782931994465</v>
      </c>
      <c r="CU43" s="280">
        <v>12844.931599472166</v>
      </c>
      <c r="CV43" s="280">
        <v>15851.630205200736</v>
      </c>
      <c r="CW43" s="280">
        <v>235457.35029412765</v>
      </c>
      <c r="CX43" s="280">
        <v>1463567.7020433797</v>
      </c>
      <c r="CY43" s="280">
        <v>79292.679468522954</v>
      </c>
      <c r="CZ43" s="280">
        <v>295071.96236169292</v>
      </c>
      <c r="DA43" s="280">
        <v>0</v>
      </c>
      <c r="DB43" s="280">
        <v>0</v>
      </c>
      <c r="DC43" s="280">
        <v>0</v>
      </c>
      <c r="DD43" s="280">
        <v>0</v>
      </c>
      <c r="DE43" s="280">
        <v>0</v>
      </c>
      <c r="DF43" s="280">
        <v>0</v>
      </c>
      <c r="DG43" s="280">
        <v>0</v>
      </c>
      <c r="DH43" s="280">
        <v>70883.663683251812</v>
      </c>
      <c r="DI43" s="280">
        <v>27738.546645550694</v>
      </c>
      <c r="DJ43" s="280">
        <v>293445.17787796614</v>
      </c>
      <c r="DK43" s="280">
        <v>0</v>
      </c>
      <c r="DL43" s="280">
        <v>200003.70264772707</v>
      </c>
      <c r="DM43" s="280">
        <v>96811.179065753255</v>
      </c>
      <c r="DN43" s="280">
        <v>24675.306196255959</v>
      </c>
      <c r="DO43" s="280">
        <v>2525.2488621509997</v>
      </c>
      <c r="DP43" s="280">
        <v>5356.3462763354082</v>
      </c>
      <c r="DQ43" s="280">
        <v>1878.9217967533607</v>
      </c>
      <c r="DR43" s="280">
        <v>163647.01831082237</v>
      </c>
      <c r="DS43" s="280">
        <v>6857.9536215284979</v>
      </c>
      <c r="DT43" s="280">
        <v>0</v>
      </c>
      <c r="DU43" s="280">
        <v>0</v>
      </c>
      <c r="DV43" s="280">
        <v>0</v>
      </c>
      <c r="DW43" s="280">
        <v>0</v>
      </c>
      <c r="DX43" s="280">
        <v>42030.373341352053</v>
      </c>
      <c r="DY43" s="280">
        <v>51766.786714120433</v>
      </c>
      <c r="DZ43" s="280">
        <v>25711.428586957732</v>
      </c>
      <c r="EG43" s="280" t="str">
        <f>VLOOKUP(B43,'2022. tervsor'!C:D,2,0)</f>
        <v>Egyéb más jellegű szolg. Költségei (audit, ell.)</v>
      </c>
    </row>
    <row r="44" spans="1:137" s="280" customFormat="1" x14ac:dyDescent="0.3">
      <c r="A44" s="581"/>
      <c r="B44" s="581">
        <v>141</v>
      </c>
      <c r="C44" s="280">
        <v>1726658.2590921447</v>
      </c>
      <c r="D44" s="280">
        <v>18299353.859710902</v>
      </c>
      <c r="E44" s="280">
        <v>1452135.35211211</v>
      </c>
      <c r="F44" s="280">
        <v>573215.7640021902</v>
      </c>
      <c r="G44" s="280">
        <v>11292635.113266053</v>
      </c>
      <c r="H44" s="280">
        <v>5418256.0031492151</v>
      </c>
      <c r="I44" s="280">
        <v>56240.147802720014</v>
      </c>
      <c r="J44" s="280">
        <v>202684.71608609759</v>
      </c>
      <c r="K44" s="280">
        <v>331432.65664939047</v>
      </c>
      <c r="L44" s="280">
        <v>1539258.7970010615</v>
      </c>
      <c r="M44" s="280">
        <v>37517451.92128484</v>
      </c>
      <c r="N44" s="280">
        <v>2136480.0517328251</v>
      </c>
      <c r="O44" s="280">
        <v>83265.567096804269</v>
      </c>
      <c r="P44" s="280">
        <v>390417.52710401552</v>
      </c>
      <c r="Q44" s="280">
        <v>18089780.918871962</v>
      </c>
      <c r="R44" s="280">
        <v>3887937.9296609992</v>
      </c>
      <c r="S44" s="280">
        <v>1060266.5257094542</v>
      </c>
      <c r="T44" s="280">
        <v>8354537.2179497434</v>
      </c>
      <c r="U44" s="280">
        <v>1214821.3027024714</v>
      </c>
      <c r="V44" s="280">
        <v>4893611.9618760385</v>
      </c>
      <c r="W44" s="280">
        <v>736783.02739238972</v>
      </c>
      <c r="X44" s="280">
        <v>100858869.55053417</v>
      </c>
      <c r="Y44" s="280">
        <v>716408.2028103323</v>
      </c>
      <c r="Z44" s="280">
        <v>1023780.9459407008</v>
      </c>
      <c r="AA44" s="280">
        <v>3026702.7397496104</v>
      </c>
      <c r="AB44" s="280">
        <v>1003437.0964560361</v>
      </c>
      <c r="AC44" s="280">
        <v>394080.40415121801</v>
      </c>
      <c r="AD44" s="280">
        <v>748678.47531732335</v>
      </c>
      <c r="AE44" s="280">
        <v>112668618.88360375</v>
      </c>
      <c r="AF44" s="280">
        <v>676129.53605607315</v>
      </c>
      <c r="AG44" s="280">
        <v>1119417.1392256352</v>
      </c>
      <c r="AH44" s="280">
        <v>3362683.9770275527</v>
      </c>
      <c r="AI44" s="280">
        <v>2571653.5653721397</v>
      </c>
      <c r="AJ44" s="280">
        <v>429102.56754779007</v>
      </c>
      <c r="AK44" s="280">
        <v>52433.797499999971</v>
      </c>
      <c r="AL44" s="280">
        <v>1370352.395114196</v>
      </c>
      <c r="AM44" s="280">
        <v>2613229.1572883958</v>
      </c>
      <c r="AN44" s="280">
        <v>15874933.162303425</v>
      </c>
      <c r="AO44" s="280">
        <v>713283.41500140831</v>
      </c>
      <c r="AP44" s="280">
        <v>0</v>
      </c>
      <c r="AQ44" s="280">
        <v>17874247.275247529</v>
      </c>
      <c r="AR44" s="280">
        <v>716354.91310564475</v>
      </c>
      <c r="AS44" s="280">
        <v>2463513.8547480153</v>
      </c>
      <c r="AT44" s="280">
        <v>2304298.9099244927</v>
      </c>
      <c r="AU44" s="280">
        <v>18102091.505282283</v>
      </c>
      <c r="AV44" s="280">
        <v>11623391.361815296</v>
      </c>
      <c r="AW44" s="280">
        <v>212415299.46209067</v>
      </c>
      <c r="AX44" s="280">
        <v>44501271.757636771</v>
      </c>
      <c r="AY44" s="280">
        <v>16610096.563435659</v>
      </c>
      <c r="AZ44" s="280">
        <v>3036764.4740937441</v>
      </c>
      <c r="BA44" s="280">
        <v>0</v>
      </c>
      <c r="BB44" s="280">
        <v>470978.33773384709</v>
      </c>
      <c r="BC44" s="280">
        <v>2278123.1958084167</v>
      </c>
      <c r="BD44" s="280">
        <v>863988.63050573284</v>
      </c>
      <c r="BE44" s="280">
        <v>720555.25626613072</v>
      </c>
      <c r="BF44" s="280">
        <v>0</v>
      </c>
      <c r="BG44" s="280">
        <v>2955380.6419383385</v>
      </c>
      <c r="BH44" s="280">
        <v>1589964.2856141734</v>
      </c>
      <c r="BI44" s="280">
        <v>13750238.774247676</v>
      </c>
      <c r="BJ44" s="280">
        <v>267820.91923934495</v>
      </c>
      <c r="BK44" s="280">
        <v>5560743.8697359674</v>
      </c>
      <c r="BL44" s="280">
        <v>6398659.801517617</v>
      </c>
      <c r="BM44" s="280">
        <v>207047.18404325075</v>
      </c>
      <c r="BN44" s="280">
        <v>55326141.063166142</v>
      </c>
      <c r="BO44" s="280">
        <v>746010.26846280135</v>
      </c>
      <c r="BP44" s="280">
        <v>32246991.203385502</v>
      </c>
      <c r="BQ44" s="280">
        <v>11369375.045223672</v>
      </c>
      <c r="BR44" s="280">
        <v>1039582.2696583192</v>
      </c>
      <c r="BS44" s="280">
        <v>2646636.6595994253</v>
      </c>
      <c r="BT44" s="280">
        <v>681056.36671865033</v>
      </c>
      <c r="BU44" s="280">
        <v>18418590.893297177</v>
      </c>
      <c r="BV44" s="280">
        <v>4255750.6750036571</v>
      </c>
      <c r="BW44" s="280">
        <v>3378962.0909381509</v>
      </c>
      <c r="BX44" s="280">
        <v>5794630.4238482192</v>
      </c>
      <c r="BY44" s="280">
        <v>15119896.75286887</v>
      </c>
      <c r="BZ44" s="280">
        <v>15629279.995684486</v>
      </c>
      <c r="CA44" s="280">
        <v>2122559.8948241039</v>
      </c>
      <c r="CB44" s="280">
        <v>1817217.3479500946</v>
      </c>
      <c r="CC44" s="280">
        <v>0</v>
      </c>
      <c r="CD44" s="280">
        <v>1547785.3103102553</v>
      </c>
      <c r="CE44" s="280">
        <v>613525.38454297965</v>
      </c>
      <c r="CF44" s="280">
        <v>2257505.2936334843</v>
      </c>
      <c r="CG44" s="280">
        <v>1275880.899022609</v>
      </c>
      <c r="CH44" s="280">
        <v>3897402.4055650942</v>
      </c>
      <c r="CI44" s="280">
        <v>0</v>
      </c>
      <c r="CJ44" s="280">
        <v>0</v>
      </c>
      <c r="CK44" s="280">
        <v>0</v>
      </c>
      <c r="CL44" s="280">
        <v>1980507.4344972633</v>
      </c>
      <c r="CM44" s="280">
        <v>14899651.569743453</v>
      </c>
      <c r="CN44" s="280">
        <v>891541.35830457381</v>
      </c>
      <c r="CO44" s="280">
        <v>2242752.8776937113</v>
      </c>
      <c r="CP44" s="280">
        <v>8305078.6377573088</v>
      </c>
      <c r="CQ44" s="280">
        <v>2275193.1165018901</v>
      </c>
      <c r="CR44" s="280">
        <v>3944946.7642965731</v>
      </c>
      <c r="CS44" s="280">
        <v>3427720.7958481507</v>
      </c>
      <c r="CT44" s="280">
        <v>1900455.4127756271</v>
      </c>
      <c r="CU44" s="280">
        <v>841036.04970231082</v>
      </c>
      <c r="CV44" s="280">
        <v>1057074.9430518779</v>
      </c>
      <c r="CW44" s="280">
        <v>21433954.808041282</v>
      </c>
      <c r="CX44" s="280">
        <v>4324024.8974741511</v>
      </c>
      <c r="CY44" s="280">
        <v>1876073.4222405599</v>
      </c>
      <c r="CZ44" s="280">
        <v>2272840.9648139761</v>
      </c>
      <c r="DA44" s="280">
        <v>205715.58877617531</v>
      </c>
      <c r="DB44" s="280">
        <v>91581.375813086604</v>
      </c>
      <c r="DC44" s="280">
        <v>165748.85902416543</v>
      </c>
      <c r="DD44" s="280">
        <v>32163.137740804952</v>
      </c>
      <c r="DE44" s="280">
        <v>279343.32850905776</v>
      </c>
      <c r="DF44" s="280">
        <v>428573.23929631582</v>
      </c>
      <c r="DG44" s="280">
        <v>0</v>
      </c>
      <c r="DH44" s="280">
        <v>4614258.9162397012</v>
      </c>
      <c r="DI44" s="280">
        <v>1520656.828359531</v>
      </c>
      <c r="DJ44" s="280">
        <v>19167234.657681689</v>
      </c>
      <c r="DK44" s="280">
        <v>284414.33678150887</v>
      </c>
      <c r="DL44" s="280">
        <v>13911620.275728315</v>
      </c>
      <c r="DM44" s="280">
        <v>6620895.5635232236</v>
      </c>
      <c r="DN44" s="280">
        <v>1564354.061320913</v>
      </c>
      <c r="DO44" s="280">
        <v>167490.72491011882</v>
      </c>
      <c r="DP44" s="280">
        <v>331871.90772309224</v>
      </c>
      <c r="DQ44" s="280">
        <v>122121.27141884057</v>
      </c>
      <c r="DR44" s="280">
        <v>16315726.802715916</v>
      </c>
      <c r="DS44" s="280">
        <v>1083427.1360013695</v>
      </c>
      <c r="DT44" s="280">
        <v>131890.46995275593</v>
      </c>
      <c r="DU44" s="280">
        <v>698804.41979490616</v>
      </c>
      <c r="DV44" s="280">
        <v>1685594.3340727584</v>
      </c>
      <c r="DW44" s="280">
        <v>1678977.2638794361</v>
      </c>
      <c r="DX44" s="280">
        <v>14810228.100711189</v>
      </c>
      <c r="DY44" s="280">
        <v>18056944.764126677</v>
      </c>
      <c r="DZ44" s="280">
        <v>9540926.6653010249</v>
      </c>
      <c r="EA44" s="280">
        <v>106299212.59842519</v>
      </c>
      <c r="EB44" s="280">
        <v>23386449.145950511</v>
      </c>
      <c r="EG44" s="280" t="str">
        <f>VLOOKUP(B44,'2022. tervsor'!C:D,2,0)</f>
        <v>Nem levonható egyenes adós ÁFA anyag, szolg.</v>
      </c>
    </row>
    <row r="45" spans="1:137" s="280" customFormat="1" x14ac:dyDescent="0.3">
      <c r="A45" s="581"/>
      <c r="B45" s="581">
        <v>203</v>
      </c>
      <c r="C45" s="280">
        <v>0</v>
      </c>
      <c r="D45" s="280">
        <v>0</v>
      </c>
      <c r="E45" s="280">
        <v>0</v>
      </c>
      <c r="F45" s="280">
        <v>0</v>
      </c>
      <c r="G45" s="280">
        <v>0</v>
      </c>
      <c r="H45" s="280">
        <v>0</v>
      </c>
      <c r="I45" s="280">
        <v>0</v>
      </c>
      <c r="J45" s="280">
        <v>0</v>
      </c>
      <c r="K45" s="280">
        <v>0</v>
      </c>
      <c r="L45" s="280">
        <v>0</v>
      </c>
      <c r="M45" s="280">
        <v>0</v>
      </c>
      <c r="N45" s="280">
        <v>0</v>
      </c>
      <c r="O45" s="280">
        <v>0</v>
      </c>
      <c r="P45" s="280">
        <v>0</v>
      </c>
      <c r="Q45" s="280">
        <v>0</v>
      </c>
      <c r="R45" s="280">
        <v>0</v>
      </c>
      <c r="S45" s="280">
        <v>0</v>
      </c>
      <c r="T45" s="280">
        <v>0</v>
      </c>
      <c r="U45" s="280">
        <v>0</v>
      </c>
      <c r="V45" s="280">
        <v>0</v>
      </c>
      <c r="W45" s="280">
        <v>0</v>
      </c>
      <c r="X45" s="280">
        <v>0</v>
      </c>
      <c r="Y45" s="280">
        <v>0</v>
      </c>
      <c r="Z45" s="280">
        <v>0</v>
      </c>
      <c r="AA45" s="280">
        <v>0</v>
      </c>
      <c r="AB45" s="280">
        <v>0</v>
      </c>
      <c r="AC45" s="280">
        <v>0</v>
      </c>
      <c r="AD45" s="280">
        <v>0</v>
      </c>
      <c r="AE45" s="280">
        <v>0</v>
      </c>
      <c r="AF45" s="280">
        <v>0</v>
      </c>
      <c r="AG45" s="280">
        <v>0</v>
      </c>
      <c r="AH45" s="280">
        <v>0</v>
      </c>
      <c r="AI45" s="280">
        <v>0</v>
      </c>
      <c r="AJ45" s="280">
        <v>0</v>
      </c>
      <c r="AK45" s="280">
        <v>0</v>
      </c>
      <c r="AL45" s="280">
        <v>0</v>
      </c>
      <c r="AM45" s="280">
        <v>0</v>
      </c>
      <c r="AN45" s="280">
        <v>0</v>
      </c>
      <c r="AO45" s="280">
        <v>0</v>
      </c>
      <c r="AP45" s="280">
        <v>0</v>
      </c>
      <c r="AQ45" s="280">
        <v>0</v>
      </c>
      <c r="AR45" s="280">
        <v>0</v>
      </c>
      <c r="AS45" s="280">
        <v>0</v>
      </c>
      <c r="AT45" s="280">
        <v>0</v>
      </c>
      <c r="AU45" s="280">
        <v>0</v>
      </c>
      <c r="AV45" s="280">
        <v>0</v>
      </c>
      <c r="AW45" s="280">
        <v>0</v>
      </c>
      <c r="AX45" s="280">
        <v>0</v>
      </c>
      <c r="AY45" s="280">
        <v>0</v>
      </c>
      <c r="AZ45" s="280">
        <v>0</v>
      </c>
      <c r="BA45" s="280">
        <v>0</v>
      </c>
      <c r="BB45" s="280">
        <v>0</v>
      </c>
      <c r="BC45" s="280">
        <v>0</v>
      </c>
      <c r="BD45" s="280">
        <v>0</v>
      </c>
      <c r="BE45" s="280">
        <v>0</v>
      </c>
      <c r="BF45" s="280">
        <v>0</v>
      </c>
      <c r="BG45" s="280">
        <v>0</v>
      </c>
      <c r="BH45" s="280">
        <v>0</v>
      </c>
      <c r="BI45" s="280">
        <v>0</v>
      </c>
      <c r="BJ45" s="280">
        <v>0</v>
      </c>
      <c r="BK45" s="280">
        <v>0</v>
      </c>
      <c r="BL45" s="280">
        <v>0</v>
      </c>
      <c r="BM45" s="280">
        <v>0</v>
      </c>
      <c r="BN45" s="280">
        <v>0</v>
      </c>
      <c r="BO45" s="280">
        <v>0</v>
      </c>
      <c r="BP45" s="280">
        <v>0</v>
      </c>
      <c r="BQ45" s="280">
        <v>0</v>
      </c>
      <c r="BR45" s="280">
        <v>0</v>
      </c>
      <c r="BS45" s="280">
        <v>0</v>
      </c>
      <c r="BT45" s="280">
        <v>0</v>
      </c>
      <c r="BU45" s="280">
        <v>0</v>
      </c>
      <c r="BV45" s="280">
        <v>0</v>
      </c>
      <c r="BW45" s="280">
        <v>0</v>
      </c>
      <c r="BX45" s="280">
        <v>0</v>
      </c>
      <c r="BY45" s="280">
        <v>0</v>
      </c>
      <c r="BZ45" s="280">
        <v>0</v>
      </c>
      <c r="CA45" s="280">
        <v>0</v>
      </c>
      <c r="CB45" s="280">
        <v>0</v>
      </c>
      <c r="CC45" s="280">
        <v>0</v>
      </c>
      <c r="CD45" s="280">
        <v>0</v>
      </c>
      <c r="CE45" s="280">
        <v>0</v>
      </c>
      <c r="CF45" s="280">
        <v>0</v>
      </c>
      <c r="CG45" s="280">
        <v>0</v>
      </c>
      <c r="CH45" s="280">
        <v>0</v>
      </c>
      <c r="CI45" s="280">
        <v>0</v>
      </c>
      <c r="CJ45" s="280">
        <v>0</v>
      </c>
      <c r="CK45" s="280">
        <v>0</v>
      </c>
      <c r="CL45" s="280">
        <v>0</v>
      </c>
      <c r="CM45" s="280">
        <v>0</v>
      </c>
      <c r="CN45" s="280">
        <v>0</v>
      </c>
      <c r="CO45" s="280">
        <v>0</v>
      </c>
      <c r="CP45" s="280">
        <v>0</v>
      </c>
      <c r="CQ45" s="280">
        <v>0</v>
      </c>
      <c r="CR45" s="280">
        <v>0</v>
      </c>
      <c r="CS45" s="280">
        <v>0</v>
      </c>
      <c r="CT45" s="280">
        <v>0</v>
      </c>
      <c r="CU45" s="280">
        <v>0</v>
      </c>
      <c r="CV45" s="280">
        <v>0</v>
      </c>
      <c r="CW45" s="280">
        <v>0</v>
      </c>
      <c r="CX45" s="280">
        <v>0</v>
      </c>
      <c r="CY45" s="280">
        <v>0</v>
      </c>
      <c r="CZ45" s="280">
        <v>0</v>
      </c>
      <c r="DA45" s="280">
        <v>0</v>
      </c>
      <c r="DB45" s="280">
        <v>0</v>
      </c>
      <c r="DC45" s="280">
        <v>0</v>
      </c>
      <c r="DD45" s="280">
        <v>0</v>
      </c>
      <c r="DE45" s="280">
        <v>0</v>
      </c>
      <c r="DF45" s="280">
        <v>0</v>
      </c>
      <c r="DG45" s="280">
        <v>0</v>
      </c>
      <c r="DH45" s="280">
        <v>64942.506571041005</v>
      </c>
      <c r="DI45" s="280">
        <v>25413.623593858269</v>
      </c>
      <c r="DJ45" s="280">
        <v>268849.89294201584</v>
      </c>
      <c r="DK45" s="280">
        <v>0</v>
      </c>
      <c r="DL45" s="280">
        <v>183240.27143226634</v>
      </c>
      <c r="DM45" s="280">
        <v>88696.891581711781</v>
      </c>
      <c r="DN45" s="280">
        <v>22607.13049417943</v>
      </c>
      <c r="DO45" s="280">
        <v>2313.5936025623855</v>
      </c>
      <c r="DP45" s="280">
        <v>4907.4008759210501</v>
      </c>
      <c r="DQ45" s="280">
        <v>1721.4388307775664</v>
      </c>
      <c r="DR45" s="280">
        <v>0</v>
      </c>
      <c r="DS45" s="280">
        <v>0</v>
      </c>
      <c r="DT45" s="280">
        <v>0</v>
      </c>
      <c r="DU45" s="280">
        <v>0</v>
      </c>
      <c r="DV45" s="280">
        <v>0</v>
      </c>
      <c r="DW45" s="280">
        <v>0</v>
      </c>
      <c r="DX45" s="280">
        <v>0</v>
      </c>
      <c r="DY45" s="280">
        <v>0</v>
      </c>
      <c r="DZ45" s="280">
        <v>0</v>
      </c>
      <c r="EG45" s="280" t="str">
        <f>VLOOKUP(B45,'2022. tervsor'!C:D,2,0)</f>
        <v>Épületek felújítása</v>
      </c>
    </row>
    <row r="46" spans="1:137" s="280" customFormat="1" ht="15.6" x14ac:dyDescent="0.3">
      <c r="A46" s="285"/>
      <c r="B46" s="581">
        <v>210</v>
      </c>
      <c r="C46" s="280">
        <v>0</v>
      </c>
      <c r="D46" s="280">
        <v>0</v>
      </c>
      <c r="E46" s="280">
        <v>0</v>
      </c>
      <c r="F46" s="280">
        <v>0</v>
      </c>
      <c r="G46" s="280">
        <v>0</v>
      </c>
      <c r="H46" s="280">
        <v>0</v>
      </c>
      <c r="I46" s="280">
        <v>0</v>
      </c>
      <c r="J46" s="280">
        <v>0</v>
      </c>
      <c r="K46" s="280">
        <v>0</v>
      </c>
      <c r="L46" s="280">
        <v>0</v>
      </c>
      <c r="M46" s="280">
        <v>0</v>
      </c>
      <c r="N46" s="280">
        <v>0</v>
      </c>
      <c r="O46" s="280">
        <v>0</v>
      </c>
      <c r="P46" s="280">
        <v>0</v>
      </c>
      <c r="Q46" s="280">
        <v>0</v>
      </c>
      <c r="R46" s="280">
        <v>0</v>
      </c>
      <c r="S46" s="280">
        <v>0</v>
      </c>
      <c r="T46" s="280">
        <v>0</v>
      </c>
      <c r="U46" s="280">
        <v>0</v>
      </c>
      <c r="V46" s="280">
        <v>0</v>
      </c>
      <c r="W46" s="280">
        <v>0</v>
      </c>
      <c r="X46" s="280">
        <v>0</v>
      </c>
      <c r="Y46" s="280">
        <v>0</v>
      </c>
      <c r="Z46" s="280">
        <v>0</v>
      </c>
      <c r="AA46" s="280">
        <v>0</v>
      </c>
      <c r="AB46" s="280">
        <v>0</v>
      </c>
      <c r="AC46" s="280">
        <v>0</v>
      </c>
      <c r="AD46" s="280">
        <v>0</v>
      </c>
      <c r="AE46" s="280">
        <v>0</v>
      </c>
      <c r="AF46" s="280">
        <v>0</v>
      </c>
      <c r="AG46" s="280">
        <v>0</v>
      </c>
      <c r="AH46" s="280">
        <v>0</v>
      </c>
      <c r="AI46" s="280">
        <v>0</v>
      </c>
      <c r="AJ46" s="280">
        <v>0</v>
      </c>
      <c r="AK46" s="280">
        <v>0</v>
      </c>
      <c r="AL46" s="280">
        <v>0</v>
      </c>
      <c r="AM46" s="280">
        <v>0</v>
      </c>
      <c r="AN46" s="280">
        <v>0</v>
      </c>
      <c r="AO46" s="280">
        <v>0</v>
      </c>
      <c r="AP46" s="280">
        <v>0</v>
      </c>
      <c r="AQ46" s="280">
        <v>0</v>
      </c>
      <c r="AR46" s="280">
        <v>0</v>
      </c>
      <c r="AS46" s="280">
        <v>0</v>
      </c>
      <c r="AT46" s="280">
        <v>0</v>
      </c>
      <c r="AU46" s="280">
        <v>0</v>
      </c>
      <c r="AV46" s="280">
        <v>0</v>
      </c>
      <c r="AW46" s="280">
        <v>0</v>
      </c>
      <c r="AX46" s="280">
        <v>0</v>
      </c>
      <c r="AY46" s="280">
        <v>0</v>
      </c>
      <c r="AZ46" s="280">
        <v>0</v>
      </c>
      <c r="BA46" s="280">
        <v>0</v>
      </c>
      <c r="BB46" s="280">
        <v>0</v>
      </c>
      <c r="BC46" s="280">
        <v>0</v>
      </c>
      <c r="BD46" s="280">
        <v>0</v>
      </c>
      <c r="BE46" s="280">
        <v>0</v>
      </c>
      <c r="BF46" s="280">
        <v>0</v>
      </c>
      <c r="BG46" s="280">
        <v>0</v>
      </c>
      <c r="BH46" s="280">
        <v>0</v>
      </c>
      <c r="BI46" s="280">
        <v>0</v>
      </c>
      <c r="BJ46" s="280">
        <v>0</v>
      </c>
      <c r="BK46" s="280">
        <v>0</v>
      </c>
      <c r="BL46" s="280">
        <v>0</v>
      </c>
      <c r="BM46" s="280">
        <v>0</v>
      </c>
      <c r="BN46" s="280">
        <v>0</v>
      </c>
      <c r="BO46" s="280">
        <v>0</v>
      </c>
      <c r="BP46" s="280">
        <v>0</v>
      </c>
      <c r="BQ46" s="280">
        <v>0</v>
      </c>
      <c r="BR46" s="280">
        <v>0</v>
      </c>
      <c r="BS46" s="280">
        <v>0</v>
      </c>
      <c r="BT46" s="280">
        <v>0</v>
      </c>
      <c r="BU46" s="280">
        <v>0</v>
      </c>
      <c r="BV46" s="280">
        <v>0</v>
      </c>
      <c r="BW46" s="280">
        <v>0</v>
      </c>
      <c r="BX46" s="280">
        <v>0</v>
      </c>
      <c r="BY46" s="280">
        <v>0</v>
      </c>
      <c r="BZ46" s="280">
        <v>0</v>
      </c>
      <c r="CA46" s="280">
        <v>0</v>
      </c>
      <c r="CB46" s="280">
        <v>0</v>
      </c>
      <c r="CC46" s="280">
        <v>0</v>
      </c>
      <c r="CD46" s="280">
        <v>0</v>
      </c>
      <c r="CE46" s="280">
        <v>0</v>
      </c>
      <c r="CF46" s="280">
        <v>0</v>
      </c>
      <c r="CG46" s="280">
        <v>0</v>
      </c>
      <c r="CH46" s="280">
        <v>0</v>
      </c>
      <c r="CI46" s="280">
        <v>0</v>
      </c>
      <c r="CJ46" s="280">
        <v>0</v>
      </c>
      <c r="CK46" s="280">
        <v>0</v>
      </c>
      <c r="CL46" s="280">
        <v>0</v>
      </c>
      <c r="CM46" s="280">
        <v>0</v>
      </c>
      <c r="CN46" s="280">
        <v>0</v>
      </c>
      <c r="CO46" s="280">
        <v>0</v>
      </c>
      <c r="CP46" s="280">
        <v>0</v>
      </c>
      <c r="CQ46" s="280">
        <v>0</v>
      </c>
      <c r="CR46" s="280">
        <v>0</v>
      </c>
      <c r="CS46" s="280">
        <v>0</v>
      </c>
      <c r="CT46" s="280">
        <v>0</v>
      </c>
      <c r="CU46" s="280">
        <v>0</v>
      </c>
      <c r="CV46" s="280">
        <v>0</v>
      </c>
      <c r="CW46" s="280">
        <v>0</v>
      </c>
      <c r="CX46" s="280">
        <v>0</v>
      </c>
      <c r="CY46" s="280">
        <v>0</v>
      </c>
      <c r="CZ46" s="280">
        <v>0</v>
      </c>
      <c r="DA46" s="280">
        <v>0</v>
      </c>
      <c r="DB46" s="280">
        <v>0</v>
      </c>
      <c r="DC46" s="280">
        <v>0</v>
      </c>
      <c r="DD46" s="280">
        <v>0</v>
      </c>
      <c r="DE46" s="280">
        <v>0</v>
      </c>
      <c r="DF46" s="280">
        <v>0</v>
      </c>
      <c r="DG46" s="280">
        <v>0</v>
      </c>
      <c r="DH46" s="280">
        <v>17534.476774181072</v>
      </c>
      <c r="DI46" s="280">
        <v>6861.6783703417332</v>
      </c>
      <c r="DJ46" s="280">
        <v>72589.471094344291</v>
      </c>
      <c r="DK46" s="280">
        <v>0</v>
      </c>
      <c r="DL46" s="280">
        <v>49474.873286711911</v>
      </c>
      <c r="DM46" s="280">
        <v>23948.160727062183</v>
      </c>
      <c r="DN46" s="280">
        <v>6103.9252334284456</v>
      </c>
      <c r="DO46" s="280">
        <v>624.67027269184416</v>
      </c>
      <c r="DP46" s="280">
        <v>1324.9982364986836</v>
      </c>
      <c r="DQ46" s="280">
        <v>464.78848430994304</v>
      </c>
      <c r="DR46" s="280">
        <v>0</v>
      </c>
      <c r="DS46" s="280">
        <v>0</v>
      </c>
      <c r="DT46" s="280">
        <v>0</v>
      </c>
      <c r="DU46" s="280">
        <v>0</v>
      </c>
      <c r="DV46" s="280">
        <v>0</v>
      </c>
      <c r="DW46" s="280">
        <v>0</v>
      </c>
      <c r="DX46" s="280">
        <v>0</v>
      </c>
      <c r="DY46" s="280">
        <v>0</v>
      </c>
      <c r="DZ46" s="280">
        <v>0</v>
      </c>
      <c r="EG46" s="280" t="str">
        <f>VLOOKUP(B46,'2022. tervsor'!C:D,2,0)</f>
        <v>Nem levonható egyenes adós ÁFA felújítás</v>
      </c>
    </row>
    <row r="47" spans="1:137" s="280" customFormat="1" x14ac:dyDescent="0.3">
      <c r="A47" s="581"/>
      <c r="B47" s="581">
        <v>249</v>
      </c>
      <c r="C47" s="280">
        <v>0</v>
      </c>
      <c r="D47" s="280">
        <v>0</v>
      </c>
      <c r="E47" s="280">
        <v>0</v>
      </c>
      <c r="F47" s="280">
        <v>0</v>
      </c>
      <c r="G47" s="280">
        <v>0</v>
      </c>
      <c r="H47" s="280">
        <v>0</v>
      </c>
      <c r="I47" s="280">
        <v>0</v>
      </c>
      <c r="J47" s="280">
        <v>0</v>
      </c>
      <c r="K47" s="280">
        <v>0</v>
      </c>
      <c r="L47" s="280">
        <v>0</v>
      </c>
      <c r="M47" s="280">
        <v>0</v>
      </c>
      <c r="N47" s="280">
        <v>0</v>
      </c>
      <c r="O47" s="280">
        <v>0</v>
      </c>
      <c r="P47" s="280">
        <v>0</v>
      </c>
      <c r="Q47" s="280">
        <v>0</v>
      </c>
      <c r="R47" s="280">
        <v>0</v>
      </c>
      <c r="S47" s="280">
        <v>0</v>
      </c>
      <c r="T47" s="280">
        <v>0</v>
      </c>
      <c r="U47" s="280">
        <v>0</v>
      </c>
      <c r="V47" s="280">
        <v>0</v>
      </c>
      <c r="W47" s="280">
        <v>0</v>
      </c>
      <c r="X47" s="280">
        <v>0</v>
      </c>
      <c r="Y47" s="280">
        <v>0</v>
      </c>
      <c r="Z47" s="280">
        <v>0</v>
      </c>
      <c r="AA47" s="280">
        <v>0</v>
      </c>
      <c r="AB47" s="280">
        <v>0</v>
      </c>
      <c r="AC47" s="280">
        <v>0</v>
      </c>
      <c r="AD47" s="280">
        <v>0</v>
      </c>
      <c r="AE47" s="280">
        <v>0</v>
      </c>
      <c r="AF47" s="280">
        <v>0</v>
      </c>
      <c r="AG47" s="280">
        <v>0</v>
      </c>
      <c r="AH47" s="280">
        <v>0</v>
      </c>
      <c r="AI47" s="280">
        <v>0</v>
      </c>
      <c r="AJ47" s="280">
        <v>0</v>
      </c>
      <c r="AK47" s="280">
        <v>0</v>
      </c>
      <c r="AL47" s="280">
        <v>0</v>
      </c>
      <c r="AM47" s="280">
        <v>0</v>
      </c>
      <c r="AN47" s="280">
        <v>0</v>
      </c>
      <c r="AO47" s="280">
        <v>0</v>
      </c>
      <c r="AP47" s="280">
        <v>0</v>
      </c>
      <c r="AQ47" s="280">
        <v>0</v>
      </c>
      <c r="AR47" s="280">
        <v>0</v>
      </c>
      <c r="AS47" s="280">
        <v>0</v>
      </c>
      <c r="AT47" s="280">
        <v>0</v>
      </c>
      <c r="AU47" s="280">
        <v>0</v>
      </c>
      <c r="AV47" s="280">
        <v>0</v>
      </c>
      <c r="AW47" s="280">
        <v>0</v>
      </c>
      <c r="AX47" s="280">
        <v>0</v>
      </c>
      <c r="AY47" s="280">
        <v>0</v>
      </c>
      <c r="AZ47" s="280">
        <v>0</v>
      </c>
      <c r="BA47" s="280">
        <v>0</v>
      </c>
      <c r="BB47" s="280">
        <v>0</v>
      </c>
      <c r="BC47" s="280">
        <v>0</v>
      </c>
      <c r="BD47" s="280">
        <v>0</v>
      </c>
      <c r="BE47" s="280">
        <v>0</v>
      </c>
      <c r="BF47" s="280">
        <v>0</v>
      </c>
      <c r="BG47" s="280">
        <v>0</v>
      </c>
      <c r="BH47" s="280">
        <v>0</v>
      </c>
      <c r="BI47" s="280">
        <v>0</v>
      </c>
      <c r="BJ47" s="280">
        <v>0</v>
      </c>
      <c r="BK47" s="280">
        <v>0</v>
      </c>
      <c r="BL47" s="280">
        <v>0</v>
      </c>
      <c r="BM47" s="280">
        <v>0</v>
      </c>
      <c r="BN47" s="280">
        <v>0</v>
      </c>
      <c r="BO47" s="280">
        <v>0</v>
      </c>
      <c r="BP47" s="280">
        <v>0</v>
      </c>
      <c r="BQ47" s="280">
        <v>0</v>
      </c>
      <c r="BR47" s="280">
        <v>0</v>
      </c>
      <c r="BS47" s="280">
        <v>0</v>
      </c>
      <c r="BT47" s="280">
        <v>0</v>
      </c>
      <c r="BU47" s="280">
        <v>0</v>
      </c>
      <c r="BV47" s="280">
        <v>3193969.0220045433</v>
      </c>
      <c r="BW47" s="280">
        <v>0</v>
      </c>
      <c r="BX47" s="280">
        <v>0</v>
      </c>
      <c r="BY47" s="280">
        <v>0</v>
      </c>
      <c r="BZ47" s="280">
        <v>0</v>
      </c>
      <c r="CA47" s="280">
        <v>0</v>
      </c>
      <c r="CB47" s="280">
        <v>0</v>
      </c>
      <c r="CC47" s="280">
        <v>0</v>
      </c>
      <c r="CD47" s="280">
        <v>0</v>
      </c>
      <c r="CE47" s="280">
        <v>0</v>
      </c>
      <c r="CF47" s="280">
        <v>0</v>
      </c>
      <c r="CG47" s="280">
        <v>0</v>
      </c>
      <c r="CH47" s="280">
        <v>0</v>
      </c>
      <c r="CI47" s="280">
        <v>0</v>
      </c>
      <c r="CJ47" s="280">
        <v>0</v>
      </c>
      <c r="CK47" s="280">
        <v>0</v>
      </c>
      <c r="CL47" s="280">
        <v>0</v>
      </c>
      <c r="CM47" s="280">
        <v>0</v>
      </c>
      <c r="CN47" s="280">
        <v>0</v>
      </c>
      <c r="CO47" s="280">
        <v>0</v>
      </c>
      <c r="CP47" s="280">
        <v>0</v>
      </c>
      <c r="CQ47" s="280">
        <v>0</v>
      </c>
      <c r="CR47" s="280">
        <v>0</v>
      </c>
      <c r="CS47" s="280">
        <v>0</v>
      </c>
      <c r="CT47" s="280">
        <v>0</v>
      </c>
      <c r="CU47" s="280">
        <v>0</v>
      </c>
      <c r="CV47" s="280">
        <v>0</v>
      </c>
      <c r="CW47" s="280">
        <v>0</v>
      </c>
      <c r="CX47" s="280">
        <v>0</v>
      </c>
      <c r="CY47" s="280">
        <v>0</v>
      </c>
      <c r="CZ47" s="280">
        <v>0</v>
      </c>
      <c r="DA47" s="280">
        <v>0</v>
      </c>
      <c r="DB47" s="280">
        <v>0</v>
      </c>
      <c r="DC47" s="280">
        <v>0</v>
      </c>
      <c r="DD47" s="280">
        <v>0</v>
      </c>
      <c r="DE47" s="280">
        <v>0</v>
      </c>
      <c r="DF47" s="280">
        <v>0</v>
      </c>
      <c r="DG47" s="280">
        <v>0</v>
      </c>
      <c r="DH47" s="280">
        <v>0</v>
      </c>
      <c r="DI47" s="280">
        <v>0</v>
      </c>
      <c r="DJ47" s="280">
        <v>0</v>
      </c>
      <c r="DK47" s="280">
        <v>0</v>
      </c>
      <c r="DL47" s="280">
        <v>0</v>
      </c>
      <c r="DM47" s="280">
        <v>0</v>
      </c>
      <c r="DN47" s="280">
        <v>0</v>
      </c>
      <c r="DO47" s="280">
        <v>0</v>
      </c>
      <c r="DP47" s="280">
        <v>0</v>
      </c>
      <c r="DQ47" s="280">
        <v>0</v>
      </c>
      <c r="DR47" s="280">
        <v>0</v>
      </c>
      <c r="DS47" s="280">
        <v>0</v>
      </c>
      <c r="DT47" s="280">
        <v>0</v>
      </c>
      <c r="DU47" s="280">
        <v>0</v>
      </c>
      <c r="DV47" s="280">
        <v>0</v>
      </c>
      <c r="DW47" s="280">
        <v>0</v>
      </c>
      <c r="DX47" s="280">
        <v>0</v>
      </c>
      <c r="DY47" s="280">
        <v>0</v>
      </c>
      <c r="DZ47" s="280">
        <v>0</v>
      </c>
      <c r="EG47" s="280" t="str">
        <f>VLOOKUP(B47,'2022. tervsor'!C:D,2,0)</f>
        <v>Közvetített szolgáltatások ellenértéke ÁH-n belül</v>
      </c>
    </row>
    <row r="48" spans="1:137" s="280" customFormat="1" ht="15.6" x14ac:dyDescent="0.3">
      <c r="A48" s="581"/>
      <c r="B48" s="286">
        <v>273</v>
      </c>
      <c r="C48" s="280">
        <v>0</v>
      </c>
      <c r="D48" s="280">
        <v>0</v>
      </c>
      <c r="E48" s="280">
        <v>0</v>
      </c>
      <c r="F48" s="280">
        <v>0</v>
      </c>
      <c r="G48" s="280">
        <v>0</v>
      </c>
      <c r="H48" s="280">
        <v>0</v>
      </c>
      <c r="I48" s="280">
        <v>0</v>
      </c>
      <c r="J48" s="280">
        <v>0</v>
      </c>
      <c r="K48" s="280">
        <v>0</v>
      </c>
      <c r="L48" s="280">
        <v>0</v>
      </c>
      <c r="M48" s="280">
        <v>0</v>
      </c>
      <c r="N48" s="280">
        <v>0</v>
      </c>
      <c r="O48" s="280">
        <v>0</v>
      </c>
      <c r="P48" s="280">
        <v>0</v>
      </c>
      <c r="Q48" s="280">
        <v>0</v>
      </c>
      <c r="R48" s="280">
        <v>0</v>
      </c>
      <c r="S48" s="280">
        <v>0</v>
      </c>
      <c r="T48" s="280">
        <v>0</v>
      </c>
      <c r="U48" s="280">
        <v>0</v>
      </c>
      <c r="V48" s="280">
        <v>0</v>
      </c>
      <c r="W48" s="280">
        <v>0</v>
      </c>
      <c r="X48" s="280">
        <v>0</v>
      </c>
      <c r="Y48" s="280">
        <v>0</v>
      </c>
      <c r="Z48" s="280">
        <v>0</v>
      </c>
      <c r="AA48" s="280">
        <v>0</v>
      </c>
      <c r="AB48" s="280">
        <v>0</v>
      </c>
      <c r="AC48" s="280">
        <v>0</v>
      </c>
      <c r="AD48" s="280">
        <v>0</v>
      </c>
      <c r="AE48" s="280">
        <v>0</v>
      </c>
      <c r="AF48" s="280">
        <v>0</v>
      </c>
      <c r="AG48" s="280">
        <v>0</v>
      </c>
      <c r="AH48" s="280">
        <v>0</v>
      </c>
      <c r="AI48" s="280">
        <v>0</v>
      </c>
      <c r="AJ48" s="280">
        <v>0</v>
      </c>
      <c r="AK48" s="280">
        <v>0</v>
      </c>
      <c r="AL48" s="280">
        <v>0</v>
      </c>
      <c r="AM48" s="280">
        <v>0</v>
      </c>
      <c r="AN48" s="280">
        <v>0</v>
      </c>
      <c r="AO48" s="280">
        <v>0</v>
      </c>
      <c r="AP48" s="280">
        <v>0</v>
      </c>
      <c r="AQ48" s="280">
        <v>0</v>
      </c>
      <c r="AR48" s="280">
        <v>0</v>
      </c>
      <c r="AS48" s="280">
        <v>0</v>
      </c>
      <c r="AT48" s="280">
        <v>0</v>
      </c>
      <c r="AU48" s="280">
        <v>0</v>
      </c>
      <c r="AV48" s="280">
        <v>0</v>
      </c>
      <c r="AW48" s="280">
        <v>0</v>
      </c>
      <c r="AX48" s="280">
        <v>0</v>
      </c>
      <c r="AY48" s="280">
        <v>0</v>
      </c>
      <c r="AZ48" s="280">
        <v>0</v>
      </c>
      <c r="BA48" s="280">
        <v>0</v>
      </c>
      <c r="BB48" s="280">
        <v>0</v>
      </c>
      <c r="BC48" s="280">
        <v>0</v>
      </c>
      <c r="BD48" s="280">
        <v>0</v>
      </c>
      <c r="BE48" s="280">
        <v>0</v>
      </c>
      <c r="BF48" s="280">
        <v>0</v>
      </c>
      <c r="BG48" s="280">
        <v>0</v>
      </c>
      <c r="BH48" s="280">
        <v>0</v>
      </c>
      <c r="BI48" s="280">
        <v>0</v>
      </c>
      <c r="BJ48" s="280">
        <v>0</v>
      </c>
      <c r="BK48" s="280">
        <v>0</v>
      </c>
      <c r="BL48" s="280">
        <v>0</v>
      </c>
      <c r="BM48" s="280">
        <v>0</v>
      </c>
      <c r="BN48" s="280">
        <v>0</v>
      </c>
      <c r="BO48" s="280">
        <v>0</v>
      </c>
      <c r="BP48" s="280">
        <v>0</v>
      </c>
      <c r="BQ48" s="280">
        <v>0</v>
      </c>
      <c r="BR48" s="280">
        <v>0</v>
      </c>
      <c r="BS48" s="280">
        <v>0</v>
      </c>
      <c r="BT48" s="280">
        <v>0</v>
      </c>
      <c r="BU48" s="280">
        <v>0</v>
      </c>
      <c r="BV48" s="280">
        <v>862371.63594122673</v>
      </c>
      <c r="BW48" s="280">
        <v>0</v>
      </c>
      <c r="BX48" s="280">
        <v>0</v>
      </c>
      <c r="BY48" s="280">
        <v>0</v>
      </c>
      <c r="BZ48" s="280">
        <v>0</v>
      </c>
      <c r="CA48" s="280">
        <v>0</v>
      </c>
      <c r="CB48" s="280">
        <v>0</v>
      </c>
      <c r="CC48" s="280">
        <v>0</v>
      </c>
      <c r="CD48" s="280">
        <v>0</v>
      </c>
      <c r="CE48" s="280">
        <v>0</v>
      </c>
      <c r="CF48" s="280">
        <v>0</v>
      </c>
      <c r="CG48" s="280">
        <v>0</v>
      </c>
      <c r="CH48" s="280">
        <v>0</v>
      </c>
      <c r="CI48" s="280">
        <v>0</v>
      </c>
      <c r="CJ48" s="280">
        <v>0</v>
      </c>
      <c r="CK48" s="280">
        <v>0</v>
      </c>
      <c r="CL48" s="280">
        <v>0</v>
      </c>
      <c r="CM48" s="280">
        <v>0</v>
      </c>
      <c r="CN48" s="280">
        <v>0</v>
      </c>
      <c r="CO48" s="280">
        <v>0</v>
      </c>
      <c r="CP48" s="280">
        <v>0</v>
      </c>
      <c r="CQ48" s="280">
        <v>0</v>
      </c>
      <c r="CR48" s="280">
        <v>0</v>
      </c>
      <c r="CS48" s="280">
        <v>0</v>
      </c>
      <c r="CT48" s="280">
        <v>0</v>
      </c>
      <c r="CU48" s="280">
        <v>0</v>
      </c>
      <c r="CV48" s="280">
        <v>0</v>
      </c>
      <c r="CW48" s="280">
        <v>0</v>
      </c>
      <c r="CX48" s="280">
        <v>0</v>
      </c>
      <c r="CY48" s="280">
        <v>0</v>
      </c>
      <c r="CZ48" s="280">
        <v>0</v>
      </c>
      <c r="DA48" s="280">
        <v>0</v>
      </c>
      <c r="DB48" s="280">
        <v>0</v>
      </c>
      <c r="DC48" s="280">
        <v>0</v>
      </c>
      <c r="DD48" s="280">
        <v>0</v>
      </c>
      <c r="DE48" s="280">
        <v>0</v>
      </c>
      <c r="DF48" s="280">
        <v>0</v>
      </c>
      <c r="DG48" s="280">
        <v>0</v>
      </c>
      <c r="DH48" s="280">
        <v>0</v>
      </c>
      <c r="DI48" s="280">
        <v>0</v>
      </c>
      <c r="DJ48" s="280">
        <v>0</v>
      </c>
      <c r="DK48" s="280">
        <v>0</v>
      </c>
      <c r="DL48" s="280">
        <v>0</v>
      </c>
      <c r="DM48" s="280">
        <v>0</v>
      </c>
      <c r="DN48" s="280">
        <v>0</v>
      </c>
      <c r="DO48" s="280">
        <v>0</v>
      </c>
      <c r="DP48" s="280">
        <v>0</v>
      </c>
      <c r="DQ48" s="280">
        <v>0</v>
      </c>
      <c r="DR48" s="280">
        <v>0</v>
      </c>
      <c r="DS48" s="280">
        <v>0</v>
      </c>
      <c r="DT48" s="280">
        <v>0</v>
      </c>
      <c r="DU48" s="280">
        <v>0</v>
      </c>
      <c r="DV48" s="280">
        <v>0</v>
      </c>
      <c r="DW48" s="280">
        <v>0</v>
      </c>
      <c r="DX48" s="280">
        <v>0</v>
      </c>
      <c r="DY48" s="280">
        <v>0</v>
      </c>
      <c r="DZ48" s="280">
        <v>0</v>
      </c>
    </row>
    <row r="49" spans="1:139" s="288" customFormat="1" x14ac:dyDescent="0.3">
      <c r="A49" s="586"/>
      <c r="B49" s="586" t="s">
        <v>2690</v>
      </c>
      <c r="C49" s="288">
        <v>8161110.2821897101</v>
      </c>
      <c r="D49" s="288">
        <v>86562213.604253545</v>
      </c>
      <c r="E49" s="288">
        <v>6867180.1702625984</v>
      </c>
      <c r="F49" s="288">
        <v>2710095.5162190432</v>
      </c>
      <c r="G49" s="288">
        <v>55669709.653683916</v>
      </c>
      <c r="H49" s="288">
        <v>26013817.178115312</v>
      </c>
      <c r="I49" s="288">
        <v>266124.96280184441</v>
      </c>
      <c r="J49" s="288">
        <v>958807.63020025496</v>
      </c>
      <c r="K49" s="288">
        <v>1584212.5914881283</v>
      </c>
      <c r="L49" s="288">
        <v>7324541.0237479117</v>
      </c>
      <c r="M49" s="288">
        <v>183270461.27860856</v>
      </c>
      <c r="N49" s="288">
        <v>10127126.245440818</v>
      </c>
      <c r="O49" s="288">
        <v>497063.85655245953</v>
      </c>
      <c r="P49" s="288">
        <v>1849921.2559366496</v>
      </c>
      <c r="Q49" s="288">
        <v>89111059.222843915</v>
      </c>
      <c r="R49" s="288">
        <v>18411677.674934596</v>
      </c>
      <c r="S49" s="288">
        <v>4987179.5838926183</v>
      </c>
      <c r="T49" s="288">
        <v>43271255.418656342</v>
      </c>
      <c r="U49" s="288">
        <v>40768218.559195116</v>
      </c>
      <c r="V49" s="288">
        <v>23279655.286475237</v>
      </c>
      <c r="W49" s="288">
        <v>18553721.093285102</v>
      </c>
      <c r="X49" s="288">
        <v>494368418.5295859</v>
      </c>
      <c r="Y49" s="289">
        <v>3558153.2206555605</v>
      </c>
      <c r="Z49" s="288">
        <v>5033478.6605030764</v>
      </c>
      <c r="AA49" s="288">
        <v>14604860.22025767</v>
      </c>
      <c r="AB49" s="288">
        <v>4861732.0615136437</v>
      </c>
      <c r="AC49" s="288">
        <v>1976860.2403909238</v>
      </c>
      <c r="AD49" s="288">
        <v>3646909.061200168</v>
      </c>
      <c r="AE49" s="288">
        <v>529959799.93398792</v>
      </c>
      <c r="AF49" s="288">
        <v>3180313.0029304177</v>
      </c>
      <c r="AG49" s="288">
        <v>5265406.5437650252</v>
      </c>
      <c r="AH49" s="288">
        <v>15817069.077129599</v>
      </c>
      <c r="AI49" s="288">
        <v>12096296.400083765</v>
      </c>
      <c r="AJ49" s="288">
        <v>2018371.3362433086</v>
      </c>
      <c r="AK49" s="288">
        <v>246633.04749999999</v>
      </c>
      <c r="AL49" s="288">
        <v>35013209.957514115</v>
      </c>
      <c r="AM49" s="288">
        <v>17233205.034998264</v>
      </c>
      <c r="AN49" s="288">
        <v>79439380.835594893</v>
      </c>
      <c r="AO49" s="288">
        <v>3434436.3074305858</v>
      </c>
      <c r="AP49" s="288">
        <v>0</v>
      </c>
      <c r="AQ49" s="288">
        <v>86552695.137456223</v>
      </c>
      <c r="AR49" s="288">
        <v>22102496.890634947</v>
      </c>
      <c r="AS49" s="288">
        <v>15857137.625034835</v>
      </c>
      <c r="AT49" s="288">
        <v>16398370.109412383</v>
      </c>
      <c r="AU49" s="288">
        <v>93929970.519911095</v>
      </c>
      <c r="AV49" s="288">
        <v>63755392.939833082</v>
      </c>
      <c r="AW49" s="288">
        <v>1158547627.1707656</v>
      </c>
      <c r="AX49" s="288">
        <v>241432667.89550805</v>
      </c>
      <c r="AY49" s="288">
        <v>90952735.582657978</v>
      </c>
      <c r="AZ49" s="288">
        <v>16312717.038720023</v>
      </c>
      <c r="BA49" s="288">
        <v>0</v>
      </c>
      <c r="BB49" s="288">
        <v>3075895.4682487636</v>
      </c>
      <c r="BC49" s="288">
        <v>13989878.136604898</v>
      </c>
      <c r="BD49" s="288">
        <v>4229978.8278301619</v>
      </c>
      <c r="BE49" s="288">
        <v>3527747.2071633306</v>
      </c>
      <c r="BF49" s="288">
        <v>0</v>
      </c>
      <c r="BG49" s="288">
        <v>22976988.858620331</v>
      </c>
      <c r="BH49" s="288">
        <v>7478720.8990000002</v>
      </c>
      <c r="BI49" s="288">
        <v>66884228.057347052</v>
      </c>
      <c r="BJ49" s="288">
        <v>1270710.6670346304</v>
      </c>
      <c r="BK49" s="288">
        <v>26235386.26598531</v>
      </c>
      <c r="BL49" s="288">
        <v>33666717.688076794</v>
      </c>
      <c r="BM49" s="288">
        <v>977017.42477461044</v>
      </c>
      <c r="BN49" s="288">
        <v>268059502.2361587</v>
      </c>
      <c r="BO49" s="288">
        <v>3614793.5183589398</v>
      </c>
      <c r="BP49" s="288">
        <v>153112746.22291183</v>
      </c>
      <c r="BQ49" s="288">
        <v>57373870.962640807</v>
      </c>
      <c r="BR49" s="288">
        <v>4911987.2134293644</v>
      </c>
      <c r="BS49" s="288">
        <v>14718603.801073048</v>
      </c>
      <c r="BT49" s="288">
        <v>3227287.6144623924</v>
      </c>
      <c r="BU49" s="288">
        <v>92797643.633125335</v>
      </c>
      <c r="BV49" s="288">
        <v>27928837.700000007</v>
      </c>
      <c r="BW49" s="288">
        <v>19808578.953108378</v>
      </c>
      <c r="BX49" s="288">
        <v>31505443.852249458</v>
      </c>
      <c r="BY49" s="288">
        <v>75577904.343309224</v>
      </c>
      <c r="BZ49" s="288">
        <v>74050978.049870625</v>
      </c>
      <c r="CA49" s="288">
        <v>10007849.7014529</v>
      </c>
      <c r="CB49" s="288">
        <v>8622218.9814371914</v>
      </c>
      <c r="CC49" s="288">
        <v>0</v>
      </c>
      <c r="CD49" s="288">
        <v>7949768.2802094352</v>
      </c>
      <c r="CE49" s="288">
        <v>2891078.3495752076</v>
      </c>
      <c r="CF49" s="288">
        <v>10618636.010794537</v>
      </c>
      <c r="CG49" s="288">
        <v>6001365.7102174554</v>
      </c>
      <c r="CH49" s="288">
        <v>18332226.129880257</v>
      </c>
      <c r="CI49" s="288">
        <v>0</v>
      </c>
      <c r="CJ49" s="288">
        <v>0</v>
      </c>
      <c r="CK49" s="288">
        <v>583522</v>
      </c>
      <c r="CL49" s="288">
        <v>9379001.4585873745</v>
      </c>
      <c r="CM49" s="288">
        <v>87225570.7928904</v>
      </c>
      <c r="CN49" s="288">
        <v>4593264.2950275652</v>
      </c>
      <c r="CO49" s="288">
        <v>11547637.870375127</v>
      </c>
      <c r="CP49" s="288">
        <v>42659887.682451025</v>
      </c>
      <c r="CQ49" s="288">
        <v>11050691.986865072</v>
      </c>
      <c r="CR49" s="288">
        <v>20323668.799817827</v>
      </c>
      <c r="CS49" s="288">
        <v>17696701.168172408</v>
      </c>
      <c r="CT49" s="288">
        <v>9815536.8247260898</v>
      </c>
      <c r="CU49" s="288">
        <v>4331236.1057222551</v>
      </c>
      <c r="CV49" s="288">
        <v>5464350.9619837236</v>
      </c>
      <c r="CW49" s="288">
        <v>105965993.55191404</v>
      </c>
      <c r="CX49" s="288">
        <v>67137403.098253548</v>
      </c>
      <c r="CY49" s="288">
        <v>10191178.150325641</v>
      </c>
      <c r="CZ49" s="288">
        <v>10868102.01925724</v>
      </c>
      <c r="DA49" s="288">
        <v>969631.88139976026</v>
      </c>
      <c r="DB49" s="288">
        <v>434989.61355423892</v>
      </c>
      <c r="DC49" s="288">
        <v>787445.39060782769</v>
      </c>
      <c r="DD49" s="288">
        <v>222341.04246143124</v>
      </c>
      <c r="DE49" s="288">
        <v>1416131.7877477147</v>
      </c>
      <c r="DF49" s="288">
        <v>2018264.279581951</v>
      </c>
      <c r="DG49" s="288">
        <v>0</v>
      </c>
      <c r="DH49" s="288">
        <v>23145200.209557641</v>
      </c>
      <c r="DI49" s="288">
        <v>8318479.2229632959</v>
      </c>
      <c r="DJ49" s="288">
        <v>98678310.036165074</v>
      </c>
      <c r="DK49" s="288">
        <v>1402712.2647647155</v>
      </c>
      <c r="DL49" s="288">
        <v>68959663.265957519</v>
      </c>
      <c r="DM49" s="288">
        <v>33142266.569943551</v>
      </c>
      <c r="DN49" s="288">
        <v>8097291.4593327809</v>
      </c>
      <c r="DO49" s="288">
        <v>914762.38073046808</v>
      </c>
      <c r="DP49" s="288">
        <v>2068803.89748132</v>
      </c>
      <c r="DQ49" s="288">
        <v>668966.88661106501</v>
      </c>
      <c r="DR49" s="288">
        <v>92056824.274444953</v>
      </c>
      <c r="DS49" s="288">
        <v>11816443.794769367</v>
      </c>
      <c r="DT49" s="288">
        <v>620858.40873604396</v>
      </c>
      <c r="DU49" s="288">
        <v>23201398.795663081</v>
      </c>
      <c r="DV49" s="288">
        <v>24338787.38470469</v>
      </c>
      <c r="DW49" s="288">
        <v>33119492.061645638</v>
      </c>
      <c r="DX49" s="288">
        <v>79246224.333706468</v>
      </c>
      <c r="DY49" s="288">
        <v>91779552.04164733</v>
      </c>
      <c r="DZ49" s="288">
        <v>45023943.385343619</v>
      </c>
      <c r="EA49" s="288">
        <v>500000000</v>
      </c>
      <c r="EB49" s="288">
        <v>110002927.46428573</v>
      </c>
      <c r="ED49" s="288">
        <v>5814548618.670845</v>
      </c>
      <c r="EI49" s="290" t="s">
        <v>3273</v>
      </c>
    </row>
    <row r="50" spans="1:139" s="281" customFormat="1" x14ac:dyDescent="0.3">
      <c r="A50" s="291"/>
      <c r="B50" s="291" t="s">
        <v>3818</v>
      </c>
      <c r="C50" s="292">
        <v>8161110.2821897101</v>
      </c>
      <c r="D50" s="292">
        <v>86562213.604253531</v>
      </c>
      <c r="E50" s="292">
        <v>6867180.1702625966</v>
      </c>
      <c r="F50" s="292">
        <v>2710095.5162190432</v>
      </c>
      <c r="G50" s="292">
        <v>55669709.653683931</v>
      </c>
      <c r="H50" s="292">
        <v>26013817.178115316</v>
      </c>
      <c r="I50" s="292">
        <v>266124.96280184441</v>
      </c>
      <c r="J50" s="292">
        <v>958807.63020025496</v>
      </c>
      <c r="K50" s="292">
        <v>1584212.5914881283</v>
      </c>
      <c r="L50" s="292">
        <v>7324541.0237479117</v>
      </c>
      <c r="M50" s="292">
        <v>183270461.27860856</v>
      </c>
      <c r="N50" s="292">
        <v>10127126.245440818</v>
      </c>
      <c r="O50" s="292">
        <v>497063.85655245947</v>
      </c>
      <c r="P50" s="292">
        <v>1849921.2559366494</v>
      </c>
      <c r="Q50" s="292">
        <v>89111059.22284393</v>
      </c>
      <c r="R50" s="292">
        <v>18411677.674934596</v>
      </c>
      <c r="S50" s="292">
        <v>4987179.5838926174</v>
      </c>
      <c r="T50" s="292">
        <v>43271255.418656349</v>
      </c>
      <c r="U50" s="292">
        <v>40768218.559195116</v>
      </c>
      <c r="V50" s="292">
        <v>23279655.286475241</v>
      </c>
      <c r="W50" s="292">
        <v>18553721.093285099</v>
      </c>
      <c r="X50" s="292">
        <v>299247923.75287366</v>
      </c>
      <c r="Y50" s="292">
        <v>2140554.0814729822</v>
      </c>
      <c r="Z50" s="292">
        <v>2854531.3697590921</v>
      </c>
      <c r="AA50" s="292">
        <v>8452600.8427885994</v>
      </c>
      <c r="AB50" s="292"/>
      <c r="AC50" s="292">
        <v>1196793.2093019499</v>
      </c>
      <c r="AD50" s="292">
        <v>3646909.0612001675</v>
      </c>
      <c r="AE50" s="292">
        <v>529959799.93398792</v>
      </c>
      <c r="AF50" s="292">
        <v>3180313.0029304181</v>
      </c>
      <c r="AG50" s="292">
        <v>5265406.5437650243</v>
      </c>
      <c r="AH50" s="292">
        <v>15817069.077129599</v>
      </c>
      <c r="AI50" s="292">
        <v>12096296.400083767</v>
      </c>
      <c r="AJ50" s="292">
        <v>2018371.3362433086</v>
      </c>
      <c r="AK50" s="292">
        <v>246633.04749999999</v>
      </c>
      <c r="AL50" s="292">
        <v>35013209.957514107</v>
      </c>
      <c r="AM50" s="292">
        <v>17233205.03499826</v>
      </c>
      <c r="AN50" s="292">
        <v>79439380.835594893</v>
      </c>
      <c r="AO50" s="292">
        <v>3434436.3074305858</v>
      </c>
      <c r="AP50" s="292"/>
      <c r="AQ50" s="292">
        <v>86552695.137456223</v>
      </c>
      <c r="AR50" s="292">
        <v>22102496.890634943</v>
      </c>
      <c r="AS50" s="292">
        <v>15857137.625034837</v>
      </c>
      <c r="AT50" s="292">
        <v>16398370.109412383</v>
      </c>
      <c r="AU50" s="292">
        <v>93929970.519911081</v>
      </c>
      <c r="AV50" s="292">
        <v>63755392.93983309</v>
      </c>
      <c r="AW50" s="292">
        <v>1158547627.1707654</v>
      </c>
      <c r="AX50" s="292">
        <v>241432667.89550805</v>
      </c>
      <c r="AY50" s="292">
        <v>90952735.582657978</v>
      </c>
      <c r="AZ50" s="292">
        <v>16312717.038720023</v>
      </c>
      <c r="BA50" s="292">
        <v>0</v>
      </c>
      <c r="BB50" s="292">
        <v>3075895.4682487636</v>
      </c>
      <c r="BC50" s="292">
        <v>13989878.136604898</v>
      </c>
      <c r="BD50" s="292">
        <v>4229978.8278301619</v>
      </c>
      <c r="BE50" s="292">
        <v>3527747.2071633311</v>
      </c>
      <c r="BF50" s="292">
        <v>0</v>
      </c>
      <c r="BG50" s="292">
        <v>22976988.858620334</v>
      </c>
      <c r="BH50" s="292">
        <v>7478720.8990000002</v>
      </c>
      <c r="BI50" s="292">
        <v>66884228.057347059</v>
      </c>
      <c r="BJ50" s="292">
        <v>1270710.6670346302</v>
      </c>
      <c r="BK50" s="292">
        <v>26235386.265985314</v>
      </c>
      <c r="BL50" s="292">
        <v>33666717.688076802</v>
      </c>
      <c r="BM50" s="292">
        <v>977017.42477461044</v>
      </c>
      <c r="BN50" s="292">
        <v>268059502.23615873</v>
      </c>
      <c r="BO50" s="292">
        <v>3614793.5183589398</v>
      </c>
      <c r="BP50" s="292">
        <v>153112746.2229118</v>
      </c>
      <c r="BQ50" s="292">
        <v>57373870.962640792</v>
      </c>
      <c r="BR50" s="292">
        <v>4911987.2134293634</v>
      </c>
      <c r="BS50" s="292">
        <v>14718603.801073048</v>
      </c>
      <c r="BT50" s="292">
        <v>3227287.6144623924</v>
      </c>
      <c r="BU50" s="292">
        <v>92797643.63312532</v>
      </c>
      <c r="BV50" s="292">
        <v>27928837.699999999</v>
      </c>
      <c r="BW50" s="292">
        <v>19808578.95310837</v>
      </c>
      <c r="BX50" s="292">
        <v>31505443.852249466</v>
      </c>
      <c r="BY50" s="292">
        <v>75577904.343309224</v>
      </c>
      <c r="BZ50" s="292">
        <v>74050978.049870625</v>
      </c>
      <c r="CA50" s="292">
        <v>10007849.7014529</v>
      </c>
      <c r="CB50" s="292">
        <v>8622218.9814371895</v>
      </c>
      <c r="CC50" s="292"/>
      <c r="CD50" s="292">
        <v>7949768.2802094352</v>
      </c>
      <c r="CE50" s="292">
        <v>2891078.3495752076</v>
      </c>
      <c r="CF50" s="292">
        <v>10618636.010794537</v>
      </c>
      <c r="CG50" s="292">
        <v>6001365.7102174563</v>
      </c>
      <c r="CH50" s="292">
        <v>18332226.129880257</v>
      </c>
      <c r="CI50" s="292">
        <v>0</v>
      </c>
      <c r="CJ50" s="292">
        <v>0</v>
      </c>
      <c r="CK50" s="292">
        <v>583522</v>
      </c>
      <c r="CL50" s="292">
        <v>9379001.4585873764</v>
      </c>
      <c r="CM50" s="292">
        <v>87225570.7928904</v>
      </c>
      <c r="CN50" s="292">
        <v>4593264.2950275652</v>
      </c>
      <c r="CO50" s="292">
        <v>11547637.870375128</v>
      </c>
      <c r="CP50" s="292">
        <v>42659887.682451025</v>
      </c>
      <c r="CQ50" s="292">
        <v>11050691.98686507</v>
      </c>
      <c r="CR50" s="292">
        <v>20323668.79981783</v>
      </c>
      <c r="CS50" s="292">
        <v>17696701.168172412</v>
      </c>
      <c r="CT50" s="292">
        <v>9815536.8247260898</v>
      </c>
      <c r="CU50" s="292">
        <v>4331236.1057222551</v>
      </c>
      <c r="CV50" s="292">
        <v>5464350.9619837226</v>
      </c>
      <c r="CW50" s="292">
        <v>105965993.55191407</v>
      </c>
      <c r="CX50" s="292">
        <v>67137403.098253533</v>
      </c>
      <c r="CY50" s="292">
        <v>10191178.150325641</v>
      </c>
      <c r="CZ50" s="292">
        <v>10868102.01925724</v>
      </c>
      <c r="DA50" s="292">
        <v>969631.88139976026</v>
      </c>
      <c r="DB50" s="292">
        <v>434989.61355423892</v>
      </c>
      <c r="DC50" s="292">
        <v>787445.39060782781</v>
      </c>
      <c r="DD50" s="292">
        <v>222341.04246143124</v>
      </c>
      <c r="DE50" s="292">
        <v>1416131.7877477147</v>
      </c>
      <c r="DF50" s="292">
        <v>2018264.2795819512</v>
      </c>
      <c r="DG50" s="292"/>
      <c r="DH50" s="292">
        <v>23145200.209557645</v>
      </c>
      <c r="DI50" s="292">
        <v>8318479.2229632949</v>
      </c>
      <c r="DJ50" s="292">
        <v>98678310.036165118</v>
      </c>
      <c r="DK50" s="292">
        <v>1402712.2647647155</v>
      </c>
      <c r="DL50" s="292">
        <v>68959663.265957519</v>
      </c>
      <c r="DM50" s="292">
        <v>33142266.569943558</v>
      </c>
      <c r="DN50" s="292">
        <v>8097291.4593327818</v>
      </c>
      <c r="DO50" s="292">
        <v>914762.38073046785</v>
      </c>
      <c r="DP50" s="292">
        <v>2068803.8974813195</v>
      </c>
      <c r="DQ50" s="287">
        <v>668966.88661106513</v>
      </c>
      <c r="DR50" s="287">
        <v>92056824.274444938</v>
      </c>
      <c r="DS50" s="287">
        <v>11816443.794769363</v>
      </c>
      <c r="DT50" s="287">
        <v>620858.40873604408</v>
      </c>
      <c r="DU50" s="287">
        <v>23201398.795663085</v>
      </c>
      <c r="DV50" s="287">
        <v>24338787.384704694</v>
      </c>
      <c r="DW50" s="287">
        <v>33119492.061645631</v>
      </c>
      <c r="DX50" s="287">
        <v>79246224.333706468</v>
      </c>
      <c r="DY50" s="287">
        <v>91779552.04164733</v>
      </c>
      <c r="DZ50" s="287">
        <v>45023943.385343626</v>
      </c>
      <c r="EA50" s="287">
        <v>500000000</v>
      </c>
      <c r="EB50" s="287">
        <v>73654987.464285731</v>
      </c>
      <c r="EC50" s="287">
        <v>157347456</v>
      </c>
      <c r="ED50" s="287">
        <v>5604037518.9941339</v>
      </c>
      <c r="EE50" s="287">
        <v>-62354505.363672256</v>
      </c>
      <c r="EF50" s="287">
        <v>6335039962.4584198</v>
      </c>
      <c r="EG50" s="287"/>
      <c r="EH50" s="287"/>
    </row>
    <row r="51" spans="1:139" x14ac:dyDescent="0.3">
      <c r="B51" s="581" t="s">
        <v>3819</v>
      </c>
      <c r="C51" s="280">
        <v>0</v>
      </c>
      <c r="D51" s="280">
        <v>0</v>
      </c>
      <c r="E51" s="280">
        <v>0</v>
      </c>
      <c r="F51" s="280">
        <v>0</v>
      </c>
      <c r="G51" s="280">
        <v>0</v>
      </c>
      <c r="H51" s="280">
        <v>0</v>
      </c>
      <c r="I51" s="280">
        <v>0</v>
      </c>
      <c r="J51" s="280">
        <v>0</v>
      </c>
      <c r="K51" s="280">
        <v>0</v>
      </c>
      <c r="L51" s="280">
        <v>0</v>
      </c>
      <c r="M51" s="280">
        <v>0</v>
      </c>
      <c r="N51" s="280">
        <v>0</v>
      </c>
      <c r="O51" s="280">
        <v>0</v>
      </c>
      <c r="P51" s="280">
        <v>0</v>
      </c>
      <c r="Q51" s="280">
        <v>0</v>
      </c>
      <c r="R51" s="280">
        <v>0</v>
      </c>
      <c r="S51" s="280">
        <v>0</v>
      </c>
      <c r="T51" s="280">
        <v>0</v>
      </c>
      <c r="U51" s="280">
        <v>0</v>
      </c>
      <c r="V51" s="280">
        <v>0</v>
      </c>
      <c r="W51" s="280">
        <v>0</v>
      </c>
      <c r="X51" s="280">
        <v>195120494.77671224</v>
      </c>
      <c r="Y51" s="280">
        <v>1417599.1391825783</v>
      </c>
      <c r="Z51" s="280">
        <v>2178947.2907439843</v>
      </c>
      <c r="AA51" s="280">
        <v>6152259.3774690703</v>
      </c>
      <c r="AB51" s="280">
        <v>4861732.0615136437</v>
      </c>
      <c r="AC51" s="280">
        <v>780067.03108897386</v>
      </c>
      <c r="AD51" s="280">
        <v>0</v>
      </c>
      <c r="AE51" s="280">
        <v>0</v>
      </c>
      <c r="AF51" s="280">
        <v>0</v>
      </c>
      <c r="AG51" s="280">
        <v>0</v>
      </c>
      <c r="AH51" s="280">
        <v>0</v>
      </c>
      <c r="AI51" s="280">
        <v>0</v>
      </c>
      <c r="AJ51" s="280">
        <v>0</v>
      </c>
      <c r="AK51" s="280">
        <v>0</v>
      </c>
      <c r="AL51" s="280">
        <v>0</v>
      </c>
      <c r="AM51" s="280">
        <v>0</v>
      </c>
      <c r="AN51" s="280">
        <v>0</v>
      </c>
      <c r="AO51" s="280">
        <v>0</v>
      </c>
      <c r="AP51" s="280">
        <v>0</v>
      </c>
      <c r="AQ51" s="280">
        <v>0</v>
      </c>
      <c r="AR51" s="280">
        <v>0</v>
      </c>
      <c r="AS51" s="280">
        <v>0</v>
      </c>
      <c r="AT51" s="280">
        <v>0</v>
      </c>
      <c r="AU51" s="280">
        <v>0</v>
      </c>
      <c r="AV51" s="280">
        <v>0</v>
      </c>
      <c r="AW51" s="280">
        <v>0</v>
      </c>
      <c r="AX51" s="280">
        <v>0</v>
      </c>
      <c r="AY51" s="280">
        <v>0</v>
      </c>
      <c r="AZ51" s="280">
        <v>0</v>
      </c>
      <c r="BA51" s="280">
        <v>0</v>
      </c>
      <c r="BB51" s="280">
        <v>0</v>
      </c>
      <c r="BC51" s="280">
        <v>0</v>
      </c>
      <c r="BD51" s="280">
        <v>0</v>
      </c>
      <c r="BE51" s="280">
        <v>0</v>
      </c>
      <c r="BF51" s="280">
        <v>0</v>
      </c>
      <c r="BG51" s="280">
        <v>0</v>
      </c>
      <c r="BH51" s="280">
        <v>0</v>
      </c>
      <c r="BI51" s="280">
        <v>0</v>
      </c>
      <c r="BJ51" s="280">
        <v>0</v>
      </c>
      <c r="BK51" s="280">
        <v>0</v>
      </c>
      <c r="BL51" s="280">
        <v>0</v>
      </c>
      <c r="BM51" s="280">
        <v>0</v>
      </c>
      <c r="BN51" s="280">
        <v>0</v>
      </c>
      <c r="BO51" s="280">
        <v>0</v>
      </c>
      <c r="BP51" s="280">
        <v>0</v>
      </c>
      <c r="BQ51" s="280">
        <v>0</v>
      </c>
      <c r="BR51" s="280">
        <v>0</v>
      </c>
      <c r="BS51" s="280">
        <v>0</v>
      </c>
      <c r="BT51" s="280">
        <v>0</v>
      </c>
      <c r="BU51" s="280">
        <v>0</v>
      </c>
      <c r="BV51" s="280">
        <v>0</v>
      </c>
      <c r="BW51" s="280">
        <v>0</v>
      </c>
      <c r="BX51" s="280">
        <v>0</v>
      </c>
      <c r="BY51" s="280">
        <v>0</v>
      </c>
      <c r="BZ51" s="280">
        <v>0</v>
      </c>
      <c r="CA51" s="280">
        <v>0</v>
      </c>
      <c r="CB51" s="280">
        <v>0</v>
      </c>
      <c r="CC51" s="280">
        <v>0</v>
      </c>
      <c r="CD51" s="280">
        <v>0</v>
      </c>
      <c r="CE51" s="280">
        <v>0</v>
      </c>
      <c r="CF51" s="280">
        <v>0</v>
      </c>
      <c r="CG51" s="280">
        <v>0</v>
      </c>
      <c r="CH51" s="280">
        <v>0</v>
      </c>
      <c r="CI51" s="280">
        <v>0</v>
      </c>
      <c r="CJ51" s="280">
        <v>0</v>
      </c>
      <c r="CK51" s="280">
        <v>0</v>
      </c>
      <c r="CL51" s="280">
        <v>0</v>
      </c>
      <c r="CM51" s="280">
        <v>0</v>
      </c>
      <c r="CN51" s="280">
        <v>0</v>
      </c>
      <c r="CO51" s="280">
        <v>0</v>
      </c>
      <c r="CP51" s="280">
        <v>0</v>
      </c>
      <c r="CQ51" s="280">
        <v>0</v>
      </c>
      <c r="CR51" s="280">
        <v>0</v>
      </c>
      <c r="CS51" s="280">
        <v>0</v>
      </c>
      <c r="CT51" s="280">
        <v>0</v>
      </c>
      <c r="CU51" s="280">
        <v>0</v>
      </c>
      <c r="CV51" s="280">
        <v>0</v>
      </c>
      <c r="CW51" s="280">
        <v>0</v>
      </c>
      <c r="CX51" s="280">
        <v>0</v>
      </c>
      <c r="CY51" s="280">
        <v>0</v>
      </c>
      <c r="CZ51" s="280">
        <v>0</v>
      </c>
      <c r="DA51" s="280">
        <v>0</v>
      </c>
      <c r="DB51" s="280">
        <v>0</v>
      </c>
      <c r="DC51" s="280">
        <v>0</v>
      </c>
      <c r="DD51" s="280">
        <v>0</v>
      </c>
      <c r="DE51" s="280">
        <v>0</v>
      </c>
      <c r="DF51" s="280">
        <v>0</v>
      </c>
      <c r="DG51" s="280">
        <v>0</v>
      </c>
      <c r="DH51" s="280">
        <v>0</v>
      </c>
      <c r="DI51" s="280">
        <v>0</v>
      </c>
      <c r="DJ51" s="280">
        <v>0</v>
      </c>
      <c r="DK51" s="280">
        <v>0</v>
      </c>
      <c r="DL51" s="280">
        <v>0</v>
      </c>
      <c r="DM51" s="280">
        <v>0</v>
      </c>
      <c r="DN51" s="280">
        <v>0</v>
      </c>
      <c r="DO51" s="280">
        <v>0</v>
      </c>
      <c r="DP51" s="280">
        <v>0</v>
      </c>
      <c r="DQ51" s="280">
        <v>0</v>
      </c>
      <c r="DR51" s="280">
        <v>0</v>
      </c>
      <c r="DS51" s="280">
        <v>0</v>
      </c>
      <c r="DT51" s="280">
        <v>0</v>
      </c>
      <c r="DU51" s="280">
        <v>0</v>
      </c>
      <c r="DV51" s="280">
        <v>0</v>
      </c>
      <c r="DW51" s="280">
        <v>0</v>
      </c>
      <c r="DX51" s="280">
        <v>0</v>
      </c>
      <c r="DY51" s="280">
        <v>0</v>
      </c>
      <c r="DZ51" s="280">
        <v>0</v>
      </c>
      <c r="ED51" s="280">
        <v>210511099.67671046</v>
      </c>
    </row>
    <row r="52" spans="1:139" x14ac:dyDescent="0.3">
      <c r="B52" s="581" t="s">
        <v>3820</v>
      </c>
      <c r="C52" s="280">
        <v>0</v>
      </c>
      <c r="D52" s="280">
        <v>0</v>
      </c>
      <c r="E52" s="280">
        <v>0</v>
      </c>
      <c r="F52" s="280">
        <v>0</v>
      </c>
      <c r="G52" s="280">
        <v>0</v>
      </c>
      <c r="H52" s="280">
        <v>0</v>
      </c>
      <c r="I52" s="280">
        <v>0</v>
      </c>
      <c r="J52" s="280">
        <v>0</v>
      </c>
      <c r="K52" s="280">
        <v>0</v>
      </c>
      <c r="L52" s="280">
        <v>0</v>
      </c>
      <c r="M52" s="280">
        <v>0</v>
      </c>
      <c r="N52" s="280">
        <v>0</v>
      </c>
      <c r="O52" s="280">
        <v>0</v>
      </c>
      <c r="P52" s="280">
        <v>0</v>
      </c>
      <c r="Q52" s="280">
        <v>0</v>
      </c>
      <c r="R52" s="280">
        <v>0</v>
      </c>
      <c r="S52" s="280">
        <v>0</v>
      </c>
      <c r="T52" s="280">
        <v>0</v>
      </c>
      <c r="U52" s="280">
        <v>2244858</v>
      </c>
      <c r="V52" s="280">
        <v>0</v>
      </c>
      <c r="W52" s="280">
        <v>1282775.9999999998</v>
      </c>
      <c r="X52" s="280">
        <v>0</v>
      </c>
      <c r="Y52" s="280">
        <v>0</v>
      </c>
      <c r="Z52" s="280">
        <v>0</v>
      </c>
      <c r="AA52" s="280">
        <v>0</v>
      </c>
      <c r="AB52" s="280">
        <v>0</v>
      </c>
      <c r="AC52" s="280">
        <v>0</v>
      </c>
      <c r="AD52" s="280">
        <v>0</v>
      </c>
      <c r="AE52" s="280">
        <v>0</v>
      </c>
      <c r="AF52" s="280">
        <v>0</v>
      </c>
      <c r="AG52" s="280">
        <v>0</v>
      </c>
      <c r="AH52" s="280">
        <v>0</v>
      </c>
      <c r="AI52" s="280">
        <v>0</v>
      </c>
      <c r="AJ52" s="280">
        <v>0</v>
      </c>
      <c r="AK52" s="280">
        <v>0</v>
      </c>
      <c r="AL52" s="280">
        <v>783089.99999999988</v>
      </c>
      <c r="AM52" s="280">
        <v>159103.99999999997</v>
      </c>
      <c r="AN52" s="280">
        <v>1133971.588896014</v>
      </c>
      <c r="AO52" s="280">
        <v>0</v>
      </c>
      <c r="AP52" s="280">
        <v>0</v>
      </c>
      <c r="AQ52" s="280">
        <v>0</v>
      </c>
      <c r="AR52" s="280">
        <v>32317.999999999996</v>
      </c>
      <c r="AS52" s="280">
        <v>0</v>
      </c>
      <c r="AT52" s="280">
        <v>0</v>
      </c>
      <c r="AU52" s="280">
        <v>0</v>
      </c>
      <c r="AV52" s="280">
        <v>620475.02033932845</v>
      </c>
      <c r="AW52" s="280">
        <v>0</v>
      </c>
      <c r="AX52" s="280">
        <v>0</v>
      </c>
      <c r="AY52" s="280">
        <v>0</v>
      </c>
      <c r="AZ52" s="280">
        <v>0</v>
      </c>
      <c r="BA52" s="280">
        <v>0</v>
      </c>
      <c r="BB52" s="280">
        <v>0</v>
      </c>
      <c r="BC52" s="280">
        <v>0</v>
      </c>
      <c r="BD52" s="280">
        <v>0</v>
      </c>
      <c r="BE52" s="280">
        <v>0</v>
      </c>
      <c r="BF52" s="280">
        <v>0</v>
      </c>
      <c r="BG52" s="280">
        <v>0</v>
      </c>
      <c r="BH52" s="280">
        <v>0</v>
      </c>
      <c r="BI52" s="280">
        <v>0</v>
      </c>
      <c r="BJ52" s="280">
        <v>0</v>
      </c>
      <c r="BK52" s="280">
        <v>0</v>
      </c>
      <c r="BL52" s="280">
        <v>620475.02033932845</v>
      </c>
      <c r="BM52" s="280">
        <v>0</v>
      </c>
      <c r="BN52" s="280">
        <v>144760.27965654532</v>
      </c>
      <c r="BO52" s="280">
        <v>1913.7203434546939</v>
      </c>
      <c r="BP52" s="280">
        <v>0</v>
      </c>
      <c r="BQ52" s="280">
        <v>0</v>
      </c>
      <c r="BR52" s="280">
        <v>0</v>
      </c>
      <c r="BS52" s="280">
        <v>0</v>
      </c>
      <c r="BT52" s="280">
        <v>0</v>
      </c>
      <c r="BU52" s="280">
        <v>1116855.036610791</v>
      </c>
      <c r="BV52" s="280">
        <v>667599.02033932845</v>
      </c>
      <c r="BW52" s="280">
        <v>29106</v>
      </c>
      <c r="BX52" s="280">
        <v>0</v>
      </c>
      <c r="BY52" s="280">
        <v>0</v>
      </c>
      <c r="BZ52" s="280">
        <v>0</v>
      </c>
      <c r="CA52" s="280">
        <v>0</v>
      </c>
      <c r="CB52" s="280">
        <v>0</v>
      </c>
      <c r="CC52" s="280">
        <v>0</v>
      </c>
      <c r="CD52" s="280">
        <v>853829</v>
      </c>
      <c r="CE52" s="280">
        <v>0</v>
      </c>
      <c r="CF52" s="280">
        <v>0</v>
      </c>
      <c r="CG52" s="280">
        <v>0</v>
      </c>
      <c r="CH52" s="280">
        <v>0</v>
      </c>
      <c r="CI52" s="280">
        <v>0</v>
      </c>
      <c r="CJ52" s="280">
        <v>0</v>
      </c>
      <c r="CK52" s="280">
        <v>0</v>
      </c>
      <c r="CL52" s="280">
        <v>0</v>
      </c>
      <c r="CM52" s="280">
        <v>0</v>
      </c>
      <c r="CN52" s="280">
        <v>0</v>
      </c>
      <c r="CO52" s="280">
        <v>0</v>
      </c>
      <c r="CP52" s="280">
        <v>0</v>
      </c>
      <c r="CQ52" s="280">
        <v>0</v>
      </c>
      <c r="CR52" s="280">
        <v>0</v>
      </c>
      <c r="CS52" s="280">
        <v>0</v>
      </c>
      <c r="CT52" s="280">
        <v>0</v>
      </c>
      <c r="CU52" s="280">
        <v>0</v>
      </c>
      <c r="CV52" s="280">
        <v>0</v>
      </c>
      <c r="CW52" s="280">
        <v>0</v>
      </c>
      <c r="CX52" s="280">
        <v>908632.99999999988</v>
      </c>
      <c r="CY52" s="280">
        <v>0</v>
      </c>
      <c r="CZ52" s="280">
        <v>0</v>
      </c>
      <c r="DA52" s="280">
        <v>0</v>
      </c>
      <c r="DB52" s="280">
        <v>0</v>
      </c>
      <c r="DC52" s="280">
        <v>0</v>
      </c>
      <c r="DD52" s="280">
        <v>0</v>
      </c>
      <c r="DE52" s="280">
        <v>0</v>
      </c>
      <c r="DF52" s="280">
        <v>0</v>
      </c>
      <c r="DG52" s="280">
        <v>0</v>
      </c>
      <c r="DH52" s="280">
        <v>0</v>
      </c>
      <c r="DI52" s="280">
        <v>0</v>
      </c>
      <c r="DJ52" s="280">
        <v>0</v>
      </c>
      <c r="DK52" s="280">
        <v>0</v>
      </c>
      <c r="DL52" s="280">
        <v>0</v>
      </c>
      <c r="DM52" s="280">
        <v>0</v>
      </c>
      <c r="DN52" s="280">
        <v>0</v>
      </c>
      <c r="DO52" s="280">
        <v>0</v>
      </c>
      <c r="DP52" s="280">
        <v>0</v>
      </c>
      <c r="DQ52" s="280">
        <v>0</v>
      </c>
      <c r="DR52" s="280">
        <v>0</v>
      </c>
      <c r="DS52" s="280">
        <v>0</v>
      </c>
      <c r="DT52" s="280">
        <v>0</v>
      </c>
      <c r="DU52" s="280">
        <v>1516459.9999999998</v>
      </c>
      <c r="DV52" s="280">
        <v>0</v>
      </c>
      <c r="DW52" s="280">
        <v>0</v>
      </c>
      <c r="DX52" s="280">
        <v>0</v>
      </c>
      <c r="DY52" s="280">
        <v>0</v>
      </c>
      <c r="DZ52" s="280">
        <v>0</v>
      </c>
      <c r="EA52" s="280">
        <v>0</v>
      </c>
      <c r="EB52" s="280">
        <v>0</v>
      </c>
      <c r="EC52" s="280">
        <v>0</v>
      </c>
      <c r="ED52" s="280">
        <v>12116223.686524792</v>
      </c>
      <c r="EF52" s="280">
        <v>12116223.686524792</v>
      </c>
    </row>
    <row r="53" spans="1:139" x14ac:dyDescent="0.3">
      <c r="B53" s="581" t="s">
        <v>3821</v>
      </c>
      <c r="C53" s="280">
        <v>0</v>
      </c>
      <c r="D53" s="280">
        <v>0</v>
      </c>
      <c r="E53" s="280">
        <v>0</v>
      </c>
      <c r="F53" s="280">
        <v>0</v>
      </c>
      <c r="G53" s="280">
        <v>0</v>
      </c>
      <c r="H53" s="280">
        <v>0</v>
      </c>
      <c r="I53" s="280">
        <v>0</v>
      </c>
      <c r="J53" s="280">
        <v>0</v>
      </c>
      <c r="K53" s="280">
        <v>0</v>
      </c>
      <c r="L53" s="280">
        <v>0</v>
      </c>
      <c r="M53" s="280">
        <v>720939.99999999988</v>
      </c>
      <c r="N53" s="280">
        <v>0</v>
      </c>
      <c r="O53" s="280">
        <v>0</v>
      </c>
      <c r="P53" s="280">
        <v>0</v>
      </c>
      <c r="Q53" s="280">
        <v>832809.99999999988</v>
      </c>
      <c r="R53" s="280">
        <v>0</v>
      </c>
      <c r="S53" s="280">
        <v>0</v>
      </c>
      <c r="T53" s="280">
        <v>894959.99999999988</v>
      </c>
      <c r="U53" s="280">
        <v>0</v>
      </c>
      <c r="V53" s="280">
        <v>0</v>
      </c>
      <c r="W53" s="280">
        <v>0</v>
      </c>
      <c r="X53" s="280">
        <v>1501543.9999999998</v>
      </c>
      <c r="Y53" s="280">
        <v>0</v>
      </c>
      <c r="Z53" s="280">
        <v>0</v>
      </c>
      <c r="AA53" s="280">
        <v>0</v>
      </c>
      <c r="AB53" s="280">
        <v>0</v>
      </c>
      <c r="AC53" s="280">
        <v>0</v>
      </c>
      <c r="AD53" s="280">
        <v>0</v>
      </c>
      <c r="AE53" s="280">
        <v>0</v>
      </c>
      <c r="AF53" s="280">
        <v>0</v>
      </c>
      <c r="AG53" s="280">
        <v>0</v>
      </c>
      <c r="AH53" s="280">
        <v>0</v>
      </c>
      <c r="AI53" s="280">
        <v>0</v>
      </c>
      <c r="AJ53" s="280">
        <v>0</v>
      </c>
      <c r="AK53" s="280">
        <v>0</v>
      </c>
      <c r="AL53" s="280">
        <v>0</v>
      </c>
      <c r="AM53" s="280">
        <v>0</v>
      </c>
      <c r="AN53" s="280">
        <v>0</v>
      </c>
      <c r="AO53" s="280">
        <v>0</v>
      </c>
      <c r="AP53" s="280">
        <v>0</v>
      </c>
      <c r="AQ53" s="280">
        <v>0</v>
      </c>
      <c r="AR53" s="280">
        <v>0</v>
      </c>
      <c r="AS53" s="280">
        <v>0</v>
      </c>
      <c r="AT53" s="280">
        <v>0</v>
      </c>
      <c r="AU53" s="280">
        <v>1802349.9999999998</v>
      </c>
      <c r="AV53" s="280">
        <v>832809.99999999988</v>
      </c>
      <c r="AW53" s="280">
        <v>1702909.9999999998</v>
      </c>
      <c r="AX53" s="280">
        <v>0</v>
      </c>
      <c r="AY53" s="280">
        <v>0</v>
      </c>
      <c r="AZ53" s="280">
        <v>0</v>
      </c>
      <c r="BA53" s="280">
        <v>0</v>
      </c>
      <c r="BB53" s="280">
        <v>0</v>
      </c>
      <c r="BC53" s="280">
        <v>0</v>
      </c>
      <c r="BD53" s="280">
        <v>0</v>
      </c>
      <c r="BE53" s="280">
        <v>0</v>
      </c>
      <c r="BF53" s="280">
        <v>0</v>
      </c>
      <c r="BG53" s="280">
        <v>0</v>
      </c>
      <c r="BH53" s="280">
        <v>0</v>
      </c>
      <c r="BI53" s="280">
        <v>0</v>
      </c>
      <c r="BJ53" s="280">
        <v>0</v>
      </c>
      <c r="BK53" s="280">
        <v>0</v>
      </c>
      <c r="BL53" s="280">
        <v>769416.99999999988</v>
      </c>
      <c r="BM53" s="280">
        <v>0</v>
      </c>
      <c r="BN53" s="280">
        <v>825351.99999999988</v>
      </c>
      <c r="BO53" s="280">
        <v>0</v>
      </c>
      <c r="BP53" s="280">
        <v>0</v>
      </c>
      <c r="BQ53" s="280">
        <v>461153</v>
      </c>
      <c r="BR53" s="280">
        <v>0</v>
      </c>
      <c r="BS53" s="280">
        <v>0</v>
      </c>
      <c r="BT53" s="280">
        <v>0</v>
      </c>
      <c r="BU53" s="280">
        <v>807949.99999999988</v>
      </c>
      <c r="BV53" s="280">
        <v>484769.99999999994</v>
      </c>
      <c r="BW53" s="280">
        <v>745799.99999999988</v>
      </c>
      <c r="BX53" s="280">
        <v>907389.99999999988</v>
      </c>
      <c r="BY53" s="280">
        <v>408946.99999999994</v>
      </c>
      <c r="BZ53" s="280">
        <v>0</v>
      </c>
      <c r="CA53" s="280">
        <v>0</v>
      </c>
      <c r="CB53" s="280">
        <v>0</v>
      </c>
      <c r="CC53" s="280">
        <v>0</v>
      </c>
      <c r="CD53" s="280">
        <v>489741.99999999994</v>
      </c>
      <c r="CE53" s="280">
        <v>0</v>
      </c>
      <c r="CF53" s="280">
        <v>0</v>
      </c>
      <c r="CG53" s="280">
        <v>0</v>
      </c>
      <c r="CH53" s="280">
        <v>0</v>
      </c>
      <c r="CI53" s="280">
        <v>0</v>
      </c>
      <c r="CJ53" s="280">
        <v>0</v>
      </c>
      <c r="CK53" s="280">
        <v>0</v>
      </c>
      <c r="CL53" s="280">
        <v>0</v>
      </c>
      <c r="CM53" s="280">
        <v>1280289.9999999998</v>
      </c>
      <c r="CN53" s="280">
        <v>0</v>
      </c>
      <c r="CO53" s="280">
        <v>0</v>
      </c>
      <c r="CP53" s="280">
        <v>770659.99999999988</v>
      </c>
      <c r="CQ53" s="280">
        <v>0</v>
      </c>
      <c r="CR53" s="280">
        <v>0</v>
      </c>
      <c r="CS53" s="280">
        <v>0</v>
      </c>
      <c r="CT53" s="280">
        <v>0</v>
      </c>
      <c r="CU53" s="280">
        <v>0</v>
      </c>
      <c r="CV53" s="280">
        <v>0</v>
      </c>
      <c r="CW53" s="280">
        <v>1081409.9999999998</v>
      </c>
      <c r="CX53" s="280">
        <v>0</v>
      </c>
      <c r="CY53" s="280">
        <v>0</v>
      </c>
      <c r="CZ53" s="280">
        <v>0</v>
      </c>
      <c r="DA53" s="280">
        <v>0</v>
      </c>
      <c r="DB53" s="280">
        <v>0</v>
      </c>
      <c r="DC53" s="280">
        <v>0</v>
      </c>
      <c r="DD53" s="280">
        <v>0</v>
      </c>
      <c r="DE53" s="280">
        <v>0</v>
      </c>
      <c r="DF53" s="280">
        <v>0</v>
      </c>
      <c r="DG53" s="280">
        <v>0</v>
      </c>
      <c r="DH53" s="280">
        <v>0</v>
      </c>
      <c r="DI53" s="280">
        <v>0</v>
      </c>
      <c r="DJ53" s="280">
        <v>1367299.9999999998</v>
      </c>
      <c r="DK53" s="280">
        <v>0</v>
      </c>
      <c r="DL53" s="280">
        <v>0</v>
      </c>
      <c r="DM53" s="280">
        <v>0</v>
      </c>
      <c r="DN53" s="280">
        <v>0</v>
      </c>
      <c r="DO53" s="280">
        <v>0</v>
      </c>
      <c r="DP53" s="280">
        <v>0</v>
      </c>
      <c r="DQ53" s="280">
        <v>0</v>
      </c>
      <c r="DR53" s="280">
        <v>0</v>
      </c>
      <c r="DS53" s="280">
        <v>0</v>
      </c>
      <c r="DT53" s="280">
        <v>0</v>
      </c>
      <c r="DU53" s="280">
        <v>0</v>
      </c>
      <c r="DV53" s="280">
        <v>0</v>
      </c>
      <c r="DW53" s="280">
        <v>0</v>
      </c>
      <c r="DX53" s="280">
        <v>0</v>
      </c>
      <c r="DY53" s="280">
        <v>0</v>
      </c>
      <c r="DZ53" s="280">
        <v>0</v>
      </c>
      <c r="ED53" s="280">
        <v>18688504.999999996</v>
      </c>
      <c r="EF53" s="280">
        <v>18688504.999999996</v>
      </c>
    </row>
    <row r="54" spans="1:139" x14ac:dyDescent="0.3">
      <c r="A54" s="581" t="s">
        <v>3272</v>
      </c>
      <c r="B54" s="581" t="s">
        <v>3822</v>
      </c>
      <c r="C54" s="280">
        <v>8161110.2821897101</v>
      </c>
      <c r="D54" s="280">
        <v>86562213.604253531</v>
      </c>
      <c r="E54" s="280">
        <v>6867180.1702625966</v>
      </c>
      <c r="F54" s="280">
        <v>2710095.5162190432</v>
      </c>
      <c r="G54" s="280">
        <v>55669709.653683931</v>
      </c>
      <c r="H54" s="280">
        <v>26013817.178115316</v>
      </c>
      <c r="I54" s="280">
        <v>266124.96280184441</v>
      </c>
      <c r="J54" s="280">
        <v>958807.63020025496</v>
      </c>
      <c r="K54" s="280">
        <v>1584212.5914881283</v>
      </c>
      <c r="L54" s="280">
        <v>7324541.0237479117</v>
      </c>
      <c r="M54" s="280">
        <v>182549521.27860856</v>
      </c>
      <c r="N54" s="280">
        <v>10127126.245440818</v>
      </c>
      <c r="O54" s="280">
        <v>497063.85655245947</v>
      </c>
      <c r="P54" s="280">
        <v>1849921.2559366494</v>
      </c>
      <c r="Q54" s="280">
        <v>88278249.22284393</v>
      </c>
      <c r="R54" s="280">
        <v>18411677.674934596</v>
      </c>
      <c r="S54" s="280">
        <v>4987179.5838926174</v>
      </c>
      <c r="T54" s="280">
        <v>42376295.418656349</v>
      </c>
      <c r="U54" s="280">
        <v>38523360.559195116</v>
      </c>
      <c r="V54" s="280">
        <v>23279655.286475241</v>
      </c>
      <c r="W54" s="280">
        <v>17270945.093285099</v>
      </c>
      <c r="X54" s="280">
        <v>297746379.75287366</v>
      </c>
      <c r="Y54" s="280">
        <v>2140554.0814729822</v>
      </c>
      <c r="Z54" s="280">
        <v>2854531.3697590921</v>
      </c>
      <c r="AA54" s="280">
        <v>8452600.8427885994</v>
      </c>
      <c r="AB54" s="280">
        <v>0</v>
      </c>
      <c r="AC54" s="280">
        <v>1196793.2093019499</v>
      </c>
      <c r="AD54" s="280">
        <v>3646909.0612001675</v>
      </c>
      <c r="AE54" s="280">
        <v>529959799.93398792</v>
      </c>
      <c r="AF54" s="280">
        <v>3180313.0029304181</v>
      </c>
      <c r="AG54" s="280">
        <v>5265406.5437650243</v>
      </c>
      <c r="AH54" s="280">
        <v>15817069.077129599</v>
      </c>
      <c r="AI54" s="280">
        <v>12096296.400083767</v>
      </c>
      <c r="AJ54" s="280">
        <v>2018371.3362433086</v>
      </c>
      <c r="AK54" s="280">
        <v>246633.04749999999</v>
      </c>
      <c r="AL54" s="280">
        <v>34230119.957514107</v>
      </c>
      <c r="AM54" s="280">
        <v>17074101.03499826</v>
      </c>
      <c r="AN54" s="280">
        <v>78305409.246698871</v>
      </c>
      <c r="AO54" s="280">
        <v>3434436.3074305858</v>
      </c>
      <c r="AP54" s="280">
        <v>0</v>
      </c>
      <c r="AQ54" s="280">
        <v>86552695.137456223</v>
      </c>
      <c r="AR54" s="280">
        <v>22070178.890634943</v>
      </c>
      <c r="AS54" s="280">
        <v>15857137.625034837</v>
      </c>
      <c r="AT54" s="280">
        <v>16398370.109412383</v>
      </c>
      <c r="AU54" s="280">
        <v>92127620.519911081</v>
      </c>
      <c r="AV54" s="280">
        <v>62302107.919493765</v>
      </c>
      <c r="AW54" s="280">
        <v>1156844717.1707654</v>
      </c>
      <c r="AX54" s="280">
        <v>241432667.89550805</v>
      </c>
      <c r="AY54" s="280">
        <v>90952735.582657978</v>
      </c>
      <c r="AZ54" s="280">
        <v>16312717.038720023</v>
      </c>
      <c r="BA54" s="280">
        <v>0</v>
      </c>
      <c r="BB54" s="280">
        <v>3075895.4682487636</v>
      </c>
      <c r="BC54" s="280">
        <v>13989878.136604898</v>
      </c>
      <c r="BD54" s="280">
        <v>4229978.8278301619</v>
      </c>
      <c r="BE54" s="280">
        <v>3527747.2071633311</v>
      </c>
      <c r="BF54" s="280">
        <v>0</v>
      </c>
      <c r="BG54" s="280">
        <v>22976988.858620334</v>
      </c>
      <c r="BH54" s="280">
        <v>7478720.8990000002</v>
      </c>
      <c r="BI54" s="280">
        <v>66884228.057347059</v>
      </c>
      <c r="BJ54" s="280">
        <v>1270710.6670346302</v>
      </c>
      <c r="BK54" s="280">
        <v>26235386.265985314</v>
      </c>
      <c r="BL54" s="280">
        <v>32276825.667737473</v>
      </c>
      <c r="BM54" s="280">
        <v>977017.42477461044</v>
      </c>
      <c r="BN54" s="280">
        <v>267089389.95650217</v>
      </c>
      <c r="BO54" s="280">
        <v>3612879.7980154851</v>
      </c>
      <c r="BP54" s="280">
        <v>153112746.2229118</v>
      </c>
      <c r="BQ54" s="280">
        <v>56912717.962640792</v>
      </c>
      <c r="BR54" s="280">
        <v>4911987.2134293634</v>
      </c>
      <c r="BS54" s="280">
        <v>14718603.801073048</v>
      </c>
      <c r="BT54" s="280">
        <v>3227287.6144623924</v>
      </c>
      <c r="BU54" s="280">
        <v>90872838.596514523</v>
      </c>
      <c r="BV54" s="280">
        <v>26776468.67966067</v>
      </c>
      <c r="BW54" s="280">
        <v>19033672.95310837</v>
      </c>
      <c r="BX54" s="280">
        <v>30598053.852249466</v>
      </c>
      <c r="BY54" s="280">
        <v>75168957.343309224</v>
      </c>
      <c r="BZ54" s="280">
        <v>74050978.049870625</v>
      </c>
      <c r="CA54" s="280">
        <v>10007849.7014529</v>
      </c>
      <c r="CB54" s="280">
        <v>8622218.9814371895</v>
      </c>
      <c r="CC54" s="280">
        <v>0</v>
      </c>
      <c r="CD54" s="280">
        <v>6606197.2802094352</v>
      </c>
      <c r="CE54" s="280">
        <v>2891078.3495752076</v>
      </c>
      <c r="CF54" s="280">
        <v>10618636.010794537</v>
      </c>
      <c r="CG54" s="280">
        <v>6001365.7102174563</v>
      </c>
      <c r="CH54" s="280">
        <v>18332226.129880257</v>
      </c>
      <c r="CI54" s="280">
        <v>0</v>
      </c>
      <c r="CJ54" s="280">
        <v>0</v>
      </c>
      <c r="CK54" s="280">
        <v>583522</v>
      </c>
      <c r="CL54" s="280">
        <v>9379001.4585873764</v>
      </c>
      <c r="CM54" s="280">
        <v>85945280.7928904</v>
      </c>
      <c r="CN54" s="280">
        <v>4593264.2950275652</v>
      </c>
      <c r="CO54" s="280">
        <v>11547637.870375128</v>
      </c>
      <c r="CP54" s="280">
        <v>41889227.682451025</v>
      </c>
      <c r="CQ54" s="280">
        <v>11050691.98686507</v>
      </c>
      <c r="CR54" s="280">
        <v>20323668.79981783</v>
      </c>
      <c r="CS54" s="280">
        <v>17696701.168172412</v>
      </c>
      <c r="CT54" s="280">
        <v>9815536.8247260898</v>
      </c>
      <c r="CU54" s="280">
        <v>4331236.1057222551</v>
      </c>
      <c r="CV54" s="280">
        <v>5464350.9619837226</v>
      </c>
      <c r="CW54" s="280">
        <v>104884583.55191407</v>
      </c>
      <c r="CX54" s="280">
        <v>66228770.098253533</v>
      </c>
      <c r="CY54" s="280">
        <v>10191178.150325641</v>
      </c>
      <c r="CZ54" s="280">
        <v>10868102.01925724</v>
      </c>
      <c r="DA54" s="280">
        <v>969631.88139976026</v>
      </c>
      <c r="DB54" s="280">
        <v>434989.61355423892</v>
      </c>
      <c r="DC54" s="280">
        <v>787445.39060782781</v>
      </c>
      <c r="DD54" s="280">
        <v>222341.04246143124</v>
      </c>
      <c r="DE54" s="280">
        <v>1416131.7877477147</v>
      </c>
      <c r="DF54" s="280">
        <v>2018264.2795819512</v>
      </c>
      <c r="DG54" s="280">
        <v>0</v>
      </c>
      <c r="DH54" s="280">
        <v>23145200.209557645</v>
      </c>
      <c r="DI54" s="280">
        <v>8318479.2229632949</v>
      </c>
      <c r="DJ54" s="280">
        <v>97311010.036165118</v>
      </c>
      <c r="DK54" s="280">
        <v>1402712.2647647155</v>
      </c>
      <c r="DL54" s="280">
        <v>68959663.265957519</v>
      </c>
      <c r="DM54" s="280">
        <v>33142266.569943558</v>
      </c>
      <c r="DN54" s="280">
        <v>8097291.4593327818</v>
      </c>
      <c r="DO54" s="280">
        <v>914762.38073046785</v>
      </c>
      <c r="DP54" s="280">
        <v>2068803.8974813195</v>
      </c>
      <c r="DQ54" s="280">
        <v>668966.88661106513</v>
      </c>
      <c r="DR54" s="280">
        <v>92056824.274444938</v>
      </c>
      <c r="DS54" s="280">
        <v>11816443.794769363</v>
      </c>
      <c r="DT54" s="280">
        <v>620858.40873604408</v>
      </c>
      <c r="DU54" s="280">
        <v>21684938.795663085</v>
      </c>
      <c r="DV54" s="280">
        <v>24338787.384704694</v>
      </c>
      <c r="DW54" s="280">
        <v>33119492.061645631</v>
      </c>
      <c r="DX54" s="280">
        <v>79246224.333706468</v>
      </c>
      <c r="DY54" s="280">
        <v>91779552.04164733</v>
      </c>
      <c r="DZ54" s="280">
        <v>45023943.385343626</v>
      </c>
      <c r="EA54" s="280">
        <v>500000000</v>
      </c>
      <c r="EB54" s="280">
        <v>73654987.464285731</v>
      </c>
      <c r="EC54" s="280">
        <v>157347456</v>
      </c>
      <c r="ED54" s="280">
        <v>5573232790.3076096</v>
      </c>
      <c r="EF54" s="280">
        <v>6304235233.7718954</v>
      </c>
    </row>
    <row r="55" spans="1:139" x14ac:dyDescent="0.3">
      <c r="B55" s="581" t="s">
        <v>3823</v>
      </c>
      <c r="C55" s="280">
        <v>8161110.2821897101</v>
      </c>
      <c r="D55" s="280">
        <v>86562213.604253531</v>
      </c>
      <c r="E55" s="280">
        <v>6867180.1702625966</v>
      </c>
      <c r="F55" s="280">
        <v>2710095.5162190432</v>
      </c>
      <c r="G55" s="280">
        <v>55669709.653683931</v>
      </c>
      <c r="H55" s="280">
        <v>26013817.178115316</v>
      </c>
      <c r="I55" s="280">
        <v>266124.96280184441</v>
      </c>
      <c r="J55" s="280">
        <v>958807.63020025496</v>
      </c>
      <c r="K55" s="280">
        <v>1584212.5914881283</v>
      </c>
      <c r="L55" s="280">
        <v>7324541.0237479117</v>
      </c>
      <c r="M55" s="280">
        <v>183270461.27860856</v>
      </c>
      <c r="N55" s="280">
        <v>10127126.245440818</v>
      </c>
      <c r="O55" s="280">
        <v>497063.85655245947</v>
      </c>
      <c r="P55" s="280">
        <v>1849921.2559366494</v>
      </c>
      <c r="Q55" s="280">
        <v>89111059.22284393</v>
      </c>
      <c r="R55" s="280">
        <v>18411677.674934596</v>
      </c>
      <c r="S55" s="280">
        <v>4987179.5838926174</v>
      </c>
      <c r="T55" s="280">
        <v>43271255.418656349</v>
      </c>
      <c r="U55" s="280">
        <v>40768218.559195116</v>
      </c>
      <c r="V55" s="280">
        <v>23279655.286475241</v>
      </c>
      <c r="W55" s="280">
        <v>18553721.093285099</v>
      </c>
      <c r="X55" s="280">
        <v>299247923.75287366</v>
      </c>
      <c r="Y55" s="280">
        <v>2140554.0814729822</v>
      </c>
      <c r="Z55" s="280">
        <v>2854531.3697590921</v>
      </c>
      <c r="AA55" s="280">
        <v>8452600.8427885994</v>
      </c>
      <c r="AB55" s="280">
        <v>0</v>
      </c>
      <c r="AC55" s="280">
        <v>1196793.2093019499</v>
      </c>
      <c r="AD55" s="280">
        <v>3646909.0612001675</v>
      </c>
      <c r="AE55" s="280">
        <v>529959799.93398792</v>
      </c>
      <c r="AF55" s="280">
        <v>3180313.0029304181</v>
      </c>
      <c r="AG55" s="280">
        <v>5265406.5437650243</v>
      </c>
      <c r="AH55" s="280">
        <v>15817069.077129599</v>
      </c>
      <c r="AI55" s="280">
        <v>12096296.400083767</v>
      </c>
      <c r="AJ55" s="280">
        <v>2018371.3362433086</v>
      </c>
      <c r="AK55" s="280">
        <v>246633.04749999999</v>
      </c>
      <c r="AL55" s="280">
        <v>35013209.957514107</v>
      </c>
      <c r="AM55" s="280">
        <v>17233205.03499826</v>
      </c>
      <c r="AN55" s="280">
        <v>79439380.835594893</v>
      </c>
      <c r="AO55" s="280">
        <v>3434436.3074305858</v>
      </c>
      <c r="AP55" s="280">
        <v>0</v>
      </c>
      <c r="AQ55" s="280">
        <v>86552695.137456223</v>
      </c>
      <c r="AR55" s="280">
        <v>22102496.890634943</v>
      </c>
      <c r="AS55" s="280">
        <v>15857137.625034837</v>
      </c>
      <c r="AT55" s="280">
        <v>16398370.109412383</v>
      </c>
      <c r="AU55" s="280">
        <v>93929970.519911081</v>
      </c>
      <c r="AV55" s="280">
        <v>63755392.93983309</v>
      </c>
      <c r="AW55" s="280">
        <v>1158547627.1707654</v>
      </c>
      <c r="AX55" s="280">
        <v>241432667.89550805</v>
      </c>
      <c r="AY55" s="280">
        <v>90952735.582657978</v>
      </c>
      <c r="AZ55" s="280">
        <v>16312717.038720023</v>
      </c>
      <c r="BA55" s="280">
        <v>0</v>
      </c>
      <c r="BB55" s="280">
        <v>3075895.4682487636</v>
      </c>
      <c r="BC55" s="280">
        <v>13989878.136604898</v>
      </c>
      <c r="BD55" s="280">
        <v>4229978.8278301619</v>
      </c>
      <c r="BE55" s="280">
        <v>3527747.2071633311</v>
      </c>
      <c r="BF55" s="280">
        <v>0</v>
      </c>
      <c r="BG55" s="280">
        <v>22976988.858620334</v>
      </c>
      <c r="BH55" s="280">
        <v>7478720.8990000002</v>
      </c>
      <c r="BI55" s="280">
        <v>66884228.057347059</v>
      </c>
      <c r="BJ55" s="280">
        <v>1270710.6670346302</v>
      </c>
      <c r="BK55" s="280">
        <v>26235386.265985314</v>
      </c>
      <c r="BL55" s="280">
        <v>33666717.688076802</v>
      </c>
      <c r="BM55" s="280">
        <v>977017.42477461044</v>
      </c>
      <c r="BN55" s="280">
        <v>268059502.23615873</v>
      </c>
      <c r="BO55" s="280">
        <v>3614793.5183589398</v>
      </c>
      <c r="BP55" s="280">
        <v>153112746.2229118</v>
      </c>
      <c r="BQ55" s="280">
        <v>57373870.962640792</v>
      </c>
      <c r="BR55" s="280">
        <v>4911987.2134293634</v>
      </c>
      <c r="BS55" s="280">
        <v>14718603.801073048</v>
      </c>
      <c r="BT55" s="280">
        <v>3227287.6144623924</v>
      </c>
      <c r="BU55" s="280">
        <v>92797643.63312532</v>
      </c>
      <c r="BV55" s="280">
        <v>27928837.699999999</v>
      </c>
      <c r="BW55" s="280">
        <v>19808578.95310837</v>
      </c>
      <c r="BX55" s="280">
        <v>31505443.852249466</v>
      </c>
      <c r="BY55" s="280">
        <v>75577904.343309224</v>
      </c>
      <c r="BZ55" s="280">
        <v>74050978.049870625</v>
      </c>
      <c r="CA55" s="280">
        <v>10007849.7014529</v>
      </c>
      <c r="CB55" s="280">
        <v>8622218.9814371895</v>
      </c>
      <c r="CC55" s="280">
        <v>0</v>
      </c>
      <c r="CD55" s="280">
        <v>7949768.2802094352</v>
      </c>
      <c r="CE55" s="280">
        <v>2891078.3495752076</v>
      </c>
      <c r="CF55" s="280">
        <v>10618636.010794537</v>
      </c>
      <c r="CG55" s="280">
        <v>6001365.7102174563</v>
      </c>
      <c r="CH55" s="280">
        <v>18332226.129880257</v>
      </c>
      <c r="CI55" s="280">
        <v>0</v>
      </c>
      <c r="CJ55" s="280">
        <v>0</v>
      </c>
      <c r="CK55" s="280">
        <v>583522</v>
      </c>
      <c r="CL55" s="280">
        <v>9379001.4585873764</v>
      </c>
      <c r="CM55" s="280">
        <v>87225570.7928904</v>
      </c>
      <c r="CN55" s="280">
        <v>4593264.2950275652</v>
      </c>
      <c r="CO55" s="280">
        <v>11547637.870375128</v>
      </c>
      <c r="CP55" s="280">
        <v>42659887.682451025</v>
      </c>
      <c r="CQ55" s="280">
        <v>11050691.98686507</v>
      </c>
      <c r="CR55" s="280">
        <v>20323668.79981783</v>
      </c>
      <c r="CS55" s="280">
        <v>17696701.168172412</v>
      </c>
      <c r="CT55" s="280">
        <v>9815536.8247260898</v>
      </c>
      <c r="CU55" s="280">
        <v>4331236.1057222551</v>
      </c>
      <c r="CV55" s="280">
        <v>5464350.9619837226</v>
      </c>
      <c r="CW55" s="280">
        <v>105965993.55191407</v>
      </c>
      <c r="CX55" s="280">
        <v>67137403.098253533</v>
      </c>
      <c r="CY55" s="280">
        <v>10191178.150325641</v>
      </c>
      <c r="CZ55" s="280">
        <v>10868102.01925724</v>
      </c>
      <c r="DA55" s="280">
        <v>969631.88139976026</v>
      </c>
      <c r="DB55" s="280">
        <v>434989.61355423892</v>
      </c>
      <c r="DC55" s="280">
        <v>787445.39060782781</v>
      </c>
      <c r="DD55" s="280">
        <v>222341.04246143124</v>
      </c>
      <c r="DE55" s="280">
        <v>1416131.7877477147</v>
      </c>
      <c r="DF55" s="280">
        <v>2018264.2795819512</v>
      </c>
      <c r="DG55" s="280">
        <v>0</v>
      </c>
      <c r="DH55" s="280">
        <v>23145200.209557645</v>
      </c>
      <c r="DI55" s="280">
        <v>8318479.2229632949</v>
      </c>
      <c r="DJ55" s="280">
        <v>98678310.036165118</v>
      </c>
      <c r="DK55" s="280">
        <v>1402712.2647647155</v>
      </c>
      <c r="DL55" s="280">
        <v>68959663.265957519</v>
      </c>
      <c r="DM55" s="280">
        <v>33142266.569943558</v>
      </c>
      <c r="DN55" s="280">
        <v>8097291.4593327818</v>
      </c>
      <c r="DO55" s="280">
        <v>914762.38073046785</v>
      </c>
      <c r="DP55" s="280">
        <v>2068803.8974813195</v>
      </c>
      <c r="DQ55" s="280">
        <v>668966.88661106513</v>
      </c>
      <c r="DR55" s="280">
        <v>92056824.274444938</v>
      </c>
      <c r="DS55" s="280">
        <v>11816443.794769363</v>
      </c>
      <c r="DT55" s="280">
        <v>620858.40873604408</v>
      </c>
      <c r="DU55" s="280">
        <v>23201398.795663085</v>
      </c>
      <c r="DV55" s="280">
        <v>24338787.384704694</v>
      </c>
      <c r="DW55" s="280">
        <v>33119492.061645631</v>
      </c>
      <c r="DX55" s="280">
        <v>79246224.333706468</v>
      </c>
      <c r="DY55" s="280">
        <v>91779552.04164733</v>
      </c>
      <c r="DZ55" s="280">
        <v>45023943.385343626</v>
      </c>
      <c r="ED55" s="280">
        <v>5604037518.9941339</v>
      </c>
    </row>
    <row r="56" spans="1:139" x14ac:dyDescent="0.3">
      <c r="B56" s="581" t="s">
        <v>3819</v>
      </c>
      <c r="C56" s="280">
        <v>0</v>
      </c>
      <c r="D56" s="280">
        <v>0</v>
      </c>
      <c r="E56" s="280">
        <v>0</v>
      </c>
      <c r="F56" s="280">
        <v>0</v>
      </c>
      <c r="G56" s="280">
        <v>0</v>
      </c>
      <c r="H56" s="280">
        <v>0</v>
      </c>
      <c r="I56" s="280">
        <v>0</v>
      </c>
      <c r="J56" s="280">
        <v>0</v>
      </c>
      <c r="K56" s="280">
        <v>0</v>
      </c>
      <c r="L56" s="280">
        <v>0</v>
      </c>
      <c r="M56" s="280">
        <v>0</v>
      </c>
      <c r="N56" s="280">
        <v>0</v>
      </c>
      <c r="O56" s="280">
        <v>0</v>
      </c>
      <c r="P56" s="280">
        <v>0</v>
      </c>
      <c r="Q56" s="280">
        <v>0</v>
      </c>
      <c r="R56" s="280">
        <v>0</v>
      </c>
      <c r="S56" s="280">
        <v>0</v>
      </c>
      <c r="T56" s="280">
        <v>0</v>
      </c>
      <c r="U56" s="280">
        <v>0</v>
      </c>
      <c r="V56" s="280">
        <v>0</v>
      </c>
      <c r="W56" s="280">
        <v>0</v>
      </c>
      <c r="X56" s="280">
        <v>0</v>
      </c>
      <c r="Y56" s="280">
        <v>0</v>
      </c>
      <c r="Z56" s="280">
        <v>0</v>
      </c>
      <c r="AA56" s="280">
        <v>0</v>
      </c>
      <c r="AB56" s="280">
        <v>0</v>
      </c>
      <c r="AC56" s="280">
        <v>0</v>
      </c>
      <c r="AD56" s="280">
        <v>0</v>
      </c>
      <c r="AE56" s="280">
        <v>0</v>
      </c>
      <c r="AF56" s="280">
        <v>0</v>
      </c>
      <c r="AG56" s="280">
        <v>0</v>
      </c>
      <c r="AH56" s="280">
        <v>0</v>
      </c>
      <c r="AI56" s="280">
        <v>0</v>
      </c>
      <c r="AJ56" s="280">
        <v>0</v>
      </c>
      <c r="AK56" s="280">
        <v>0</v>
      </c>
      <c r="AL56" s="280">
        <v>0</v>
      </c>
      <c r="AM56" s="280">
        <v>0</v>
      </c>
      <c r="AN56" s="280">
        <v>0</v>
      </c>
      <c r="AO56" s="280">
        <v>0</v>
      </c>
      <c r="AP56" s="280">
        <v>0</v>
      </c>
      <c r="AQ56" s="280">
        <v>0</v>
      </c>
      <c r="AR56" s="280">
        <v>0</v>
      </c>
      <c r="AS56" s="280">
        <v>0</v>
      </c>
      <c r="AT56" s="280">
        <v>0</v>
      </c>
      <c r="AU56" s="280">
        <v>0</v>
      </c>
      <c r="AV56" s="280">
        <v>0</v>
      </c>
      <c r="AW56" s="280">
        <v>0</v>
      </c>
      <c r="AX56" s="280">
        <v>0</v>
      </c>
      <c r="AY56" s="280">
        <v>0</v>
      </c>
      <c r="AZ56" s="280">
        <v>0</v>
      </c>
      <c r="BA56" s="280">
        <v>0</v>
      </c>
      <c r="BB56" s="280">
        <v>0</v>
      </c>
      <c r="BC56" s="280">
        <v>0</v>
      </c>
      <c r="BD56" s="280">
        <v>0</v>
      </c>
      <c r="BE56" s="280">
        <v>0</v>
      </c>
      <c r="BF56" s="280">
        <v>0</v>
      </c>
      <c r="BG56" s="280">
        <v>0</v>
      </c>
      <c r="BH56" s="280">
        <v>0</v>
      </c>
      <c r="BI56" s="280">
        <v>0</v>
      </c>
      <c r="BJ56" s="280">
        <v>0</v>
      </c>
      <c r="BK56" s="280">
        <v>0</v>
      </c>
      <c r="BL56" s="280">
        <v>0</v>
      </c>
      <c r="BM56" s="280">
        <v>0</v>
      </c>
      <c r="BN56" s="280">
        <v>0</v>
      </c>
      <c r="BO56" s="280">
        <v>0</v>
      </c>
      <c r="BP56" s="280">
        <v>0</v>
      </c>
      <c r="BQ56" s="280">
        <v>0</v>
      </c>
      <c r="BR56" s="280">
        <v>0</v>
      </c>
      <c r="BS56" s="280">
        <v>0</v>
      </c>
      <c r="BT56" s="280">
        <v>0</v>
      </c>
      <c r="BU56" s="280">
        <v>0</v>
      </c>
      <c r="BV56" s="280">
        <v>0</v>
      </c>
      <c r="BW56" s="280">
        <v>0</v>
      </c>
      <c r="BX56" s="280">
        <v>0</v>
      </c>
      <c r="BY56" s="280">
        <v>0</v>
      </c>
      <c r="BZ56" s="280">
        <v>0</v>
      </c>
      <c r="CA56" s="280">
        <v>0</v>
      </c>
      <c r="CB56" s="280">
        <v>0</v>
      </c>
      <c r="CC56" s="280">
        <v>0</v>
      </c>
      <c r="CD56" s="280">
        <v>0</v>
      </c>
      <c r="CE56" s="280">
        <v>0</v>
      </c>
      <c r="CF56" s="280">
        <v>0</v>
      </c>
      <c r="CG56" s="280">
        <v>0</v>
      </c>
      <c r="CH56" s="280">
        <v>0</v>
      </c>
      <c r="CI56" s="280">
        <v>0</v>
      </c>
      <c r="CJ56" s="280">
        <v>0</v>
      </c>
      <c r="CK56" s="280">
        <v>0</v>
      </c>
      <c r="CL56" s="280">
        <v>0</v>
      </c>
      <c r="CM56" s="280">
        <v>0</v>
      </c>
      <c r="CN56" s="280">
        <v>0</v>
      </c>
      <c r="CO56" s="280">
        <v>0</v>
      </c>
      <c r="CP56" s="280">
        <v>0</v>
      </c>
      <c r="CQ56" s="280">
        <v>0</v>
      </c>
      <c r="CR56" s="280">
        <v>0</v>
      </c>
      <c r="CS56" s="280">
        <v>0</v>
      </c>
      <c r="CT56" s="280">
        <v>0</v>
      </c>
      <c r="CU56" s="280">
        <v>0</v>
      </c>
      <c r="CV56" s="280">
        <v>0</v>
      </c>
      <c r="CW56" s="280">
        <v>0</v>
      </c>
      <c r="CX56" s="280">
        <v>0</v>
      </c>
      <c r="CY56" s="280">
        <v>0</v>
      </c>
      <c r="CZ56" s="280">
        <v>0</v>
      </c>
      <c r="DA56" s="280">
        <v>0</v>
      </c>
      <c r="DB56" s="280">
        <v>0</v>
      </c>
      <c r="DC56" s="280">
        <v>0</v>
      </c>
      <c r="DD56" s="280">
        <v>0</v>
      </c>
      <c r="DE56" s="280">
        <v>0</v>
      </c>
      <c r="DF56" s="280">
        <v>0</v>
      </c>
      <c r="DG56" s="280">
        <v>0</v>
      </c>
      <c r="DH56" s="280">
        <v>0</v>
      </c>
      <c r="DI56" s="280">
        <v>0</v>
      </c>
      <c r="DJ56" s="280">
        <v>0</v>
      </c>
      <c r="DK56" s="280">
        <v>0</v>
      </c>
      <c r="DL56" s="280">
        <v>0</v>
      </c>
      <c r="DM56" s="280">
        <v>0</v>
      </c>
      <c r="DN56" s="280">
        <v>0</v>
      </c>
      <c r="DO56" s="280">
        <v>0</v>
      </c>
      <c r="DP56" s="280">
        <v>0</v>
      </c>
      <c r="DQ56" s="280">
        <v>0</v>
      </c>
      <c r="DR56" s="280">
        <v>0</v>
      </c>
      <c r="DS56" s="280">
        <v>0</v>
      </c>
      <c r="DT56" s="280">
        <v>0</v>
      </c>
      <c r="DU56" s="280">
        <v>0</v>
      </c>
      <c r="DV56" s="280">
        <v>0</v>
      </c>
      <c r="DW56" s="280">
        <v>0</v>
      </c>
      <c r="DX56" s="280">
        <v>0</v>
      </c>
      <c r="DY56" s="280">
        <v>0</v>
      </c>
      <c r="DZ56" s="280">
        <v>0</v>
      </c>
      <c r="ED56" s="280">
        <v>0</v>
      </c>
    </row>
    <row r="57" spans="1:139" x14ac:dyDescent="0.3">
      <c r="A57" s="581" t="s">
        <v>3271</v>
      </c>
      <c r="B57" s="581">
        <v>250</v>
      </c>
      <c r="X57" s="280">
        <v>195120494.77671233</v>
      </c>
      <c r="Y57" s="280">
        <v>1417599.1391825778</v>
      </c>
      <c r="Z57" s="280">
        <v>2178947.2907439847</v>
      </c>
      <c r="AA57" s="280">
        <v>6152259.3774690684</v>
      </c>
      <c r="AB57" s="280">
        <v>4861732.0615136437</v>
      </c>
      <c r="AC57" s="280">
        <v>780067.03108897374</v>
      </c>
    </row>
    <row r="58" spans="1:139" x14ac:dyDescent="0.3">
      <c r="A58" s="581" t="s">
        <v>132</v>
      </c>
      <c r="B58" s="581">
        <v>288</v>
      </c>
    </row>
    <row r="59" spans="1:139" x14ac:dyDescent="0.3">
      <c r="A59" s="581" t="s">
        <v>133</v>
      </c>
      <c r="B59" s="581">
        <v>350</v>
      </c>
    </row>
    <row r="60" spans="1:139" x14ac:dyDescent="0.3">
      <c r="A60" s="581" t="s">
        <v>626</v>
      </c>
      <c r="B60" s="581">
        <v>295</v>
      </c>
    </row>
    <row r="61" spans="1:139" x14ac:dyDescent="0.3">
      <c r="A61" s="581" t="s">
        <v>708</v>
      </c>
      <c r="B61" s="581">
        <v>339</v>
      </c>
    </row>
  </sheetData>
  <autoFilter ref="A6:EI49"/>
  <pageMargins left="0.70866141732283472" right="0.70866141732283472" top="1.1417322834645669" bottom="0.74803149606299213" header="0.31496062992125984" footer="0.31496062992125984"/>
  <pageSetup paperSize="8" scale="70" fitToWidth="8" orientation="landscape" r:id="rId1"/>
  <headerFooter>
    <oddHeader>&amp;L&amp;"-,Félkövér"&amp;18&amp;F
&amp;A</oddHead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workbookViewId="0">
      <selection sqref="A1:N1048576"/>
    </sheetView>
  </sheetViews>
  <sheetFormatPr defaultRowHeight="15.6" x14ac:dyDescent="0.3"/>
  <cols>
    <col min="1" max="1" width="10.88671875" customWidth="1"/>
    <col min="3" max="6" width="15.44140625" customWidth="1"/>
    <col min="7" max="7" width="12.44140625" customWidth="1"/>
    <col min="8" max="8" width="13.33203125" customWidth="1"/>
    <col min="10" max="10" width="15.6640625" customWidth="1"/>
    <col min="257" max="257" width="13.88671875" bestFit="1" customWidth="1"/>
    <col min="258" max="258" width="19.88671875" customWidth="1"/>
    <col min="259" max="259" width="23.6640625" customWidth="1"/>
    <col min="260" max="260" width="13.6640625" customWidth="1"/>
    <col min="261" max="261" width="11.44140625" customWidth="1"/>
    <col min="262" max="262" width="16" customWidth="1"/>
    <col min="513" max="513" width="13.88671875" bestFit="1" customWidth="1"/>
    <col min="514" max="514" width="19.88671875" customWidth="1"/>
    <col min="515" max="515" width="23.6640625" customWidth="1"/>
    <col min="516" max="516" width="13.6640625" customWidth="1"/>
    <col min="517" max="517" width="11.44140625" customWidth="1"/>
    <col min="518" max="518" width="16" customWidth="1"/>
    <col min="769" max="769" width="13.88671875" bestFit="1" customWidth="1"/>
    <col min="770" max="770" width="19.88671875" customWidth="1"/>
    <col min="771" max="771" width="23.6640625" customWidth="1"/>
    <col min="772" max="772" width="13.6640625" customWidth="1"/>
    <col min="773" max="773" width="11.44140625" customWidth="1"/>
    <col min="774" max="774" width="16" customWidth="1"/>
    <col min="1025" max="1025" width="13.88671875" bestFit="1" customWidth="1"/>
    <col min="1026" max="1026" width="19.88671875" customWidth="1"/>
    <col min="1027" max="1027" width="23.6640625" customWidth="1"/>
    <col min="1028" max="1028" width="13.6640625" customWidth="1"/>
    <col min="1029" max="1029" width="11.44140625" customWidth="1"/>
    <col min="1030" max="1030" width="16" customWidth="1"/>
    <col min="1281" max="1281" width="13.88671875" bestFit="1" customWidth="1"/>
    <col min="1282" max="1282" width="19.88671875" customWidth="1"/>
    <col min="1283" max="1283" width="23.6640625" customWidth="1"/>
    <col min="1284" max="1284" width="13.6640625" customWidth="1"/>
    <col min="1285" max="1285" width="11.44140625" customWidth="1"/>
    <col min="1286" max="1286" width="16" customWidth="1"/>
    <col min="1537" max="1537" width="13.88671875" bestFit="1" customWidth="1"/>
    <col min="1538" max="1538" width="19.88671875" customWidth="1"/>
    <col min="1539" max="1539" width="23.6640625" customWidth="1"/>
    <col min="1540" max="1540" width="13.6640625" customWidth="1"/>
    <col min="1541" max="1541" width="11.44140625" customWidth="1"/>
    <col min="1542" max="1542" width="16" customWidth="1"/>
    <col min="1793" max="1793" width="13.88671875" bestFit="1" customWidth="1"/>
    <col min="1794" max="1794" width="19.88671875" customWidth="1"/>
    <col min="1795" max="1795" width="23.6640625" customWidth="1"/>
    <col min="1796" max="1796" width="13.6640625" customWidth="1"/>
    <col min="1797" max="1797" width="11.44140625" customWidth="1"/>
    <col min="1798" max="1798" width="16" customWidth="1"/>
    <col min="2049" max="2049" width="13.88671875" bestFit="1" customWidth="1"/>
    <col min="2050" max="2050" width="19.88671875" customWidth="1"/>
    <col min="2051" max="2051" width="23.6640625" customWidth="1"/>
    <col min="2052" max="2052" width="13.6640625" customWidth="1"/>
    <col min="2053" max="2053" width="11.44140625" customWidth="1"/>
    <col min="2054" max="2054" width="16" customWidth="1"/>
    <col min="2305" max="2305" width="13.88671875" bestFit="1" customWidth="1"/>
    <col min="2306" max="2306" width="19.88671875" customWidth="1"/>
    <col min="2307" max="2307" width="23.6640625" customWidth="1"/>
    <col min="2308" max="2308" width="13.6640625" customWidth="1"/>
    <col min="2309" max="2309" width="11.44140625" customWidth="1"/>
    <col min="2310" max="2310" width="16" customWidth="1"/>
    <col min="2561" max="2561" width="13.88671875" bestFit="1" customWidth="1"/>
    <col min="2562" max="2562" width="19.88671875" customWidth="1"/>
    <col min="2563" max="2563" width="23.6640625" customWidth="1"/>
    <col min="2564" max="2564" width="13.6640625" customWidth="1"/>
    <col min="2565" max="2565" width="11.44140625" customWidth="1"/>
    <col min="2566" max="2566" width="16" customWidth="1"/>
    <col min="2817" max="2817" width="13.88671875" bestFit="1" customWidth="1"/>
    <col min="2818" max="2818" width="19.88671875" customWidth="1"/>
    <col min="2819" max="2819" width="23.6640625" customWidth="1"/>
    <col min="2820" max="2820" width="13.6640625" customWidth="1"/>
    <col min="2821" max="2821" width="11.44140625" customWidth="1"/>
    <col min="2822" max="2822" width="16" customWidth="1"/>
    <col min="3073" max="3073" width="13.88671875" bestFit="1" customWidth="1"/>
    <col min="3074" max="3074" width="19.88671875" customWidth="1"/>
    <col min="3075" max="3075" width="23.6640625" customWidth="1"/>
    <col min="3076" max="3076" width="13.6640625" customWidth="1"/>
    <col min="3077" max="3077" width="11.44140625" customWidth="1"/>
    <col min="3078" max="3078" width="16" customWidth="1"/>
    <col min="3329" max="3329" width="13.88671875" bestFit="1" customWidth="1"/>
    <col min="3330" max="3330" width="19.88671875" customWidth="1"/>
    <col min="3331" max="3331" width="23.6640625" customWidth="1"/>
    <col min="3332" max="3332" width="13.6640625" customWidth="1"/>
    <col min="3333" max="3333" width="11.44140625" customWidth="1"/>
    <col min="3334" max="3334" width="16" customWidth="1"/>
    <col min="3585" max="3585" width="13.88671875" bestFit="1" customWidth="1"/>
    <col min="3586" max="3586" width="19.88671875" customWidth="1"/>
    <col min="3587" max="3587" width="23.6640625" customWidth="1"/>
    <col min="3588" max="3588" width="13.6640625" customWidth="1"/>
    <col min="3589" max="3589" width="11.44140625" customWidth="1"/>
    <col min="3590" max="3590" width="16" customWidth="1"/>
    <col min="3841" max="3841" width="13.88671875" bestFit="1" customWidth="1"/>
    <col min="3842" max="3842" width="19.88671875" customWidth="1"/>
    <col min="3843" max="3843" width="23.6640625" customWidth="1"/>
    <col min="3844" max="3844" width="13.6640625" customWidth="1"/>
    <col min="3845" max="3845" width="11.44140625" customWidth="1"/>
    <col min="3846" max="3846" width="16" customWidth="1"/>
    <col min="4097" max="4097" width="13.88671875" bestFit="1" customWidth="1"/>
    <col min="4098" max="4098" width="19.88671875" customWidth="1"/>
    <col min="4099" max="4099" width="23.6640625" customWidth="1"/>
    <col min="4100" max="4100" width="13.6640625" customWidth="1"/>
    <col min="4101" max="4101" width="11.44140625" customWidth="1"/>
    <col min="4102" max="4102" width="16" customWidth="1"/>
    <col min="4353" max="4353" width="13.88671875" bestFit="1" customWidth="1"/>
    <col min="4354" max="4354" width="19.88671875" customWidth="1"/>
    <col min="4355" max="4355" width="23.6640625" customWidth="1"/>
    <col min="4356" max="4356" width="13.6640625" customWidth="1"/>
    <col min="4357" max="4357" width="11.44140625" customWidth="1"/>
    <col min="4358" max="4358" width="16" customWidth="1"/>
    <col min="4609" max="4609" width="13.88671875" bestFit="1" customWidth="1"/>
    <col min="4610" max="4610" width="19.88671875" customWidth="1"/>
    <col min="4611" max="4611" width="23.6640625" customWidth="1"/>
    <col min="4612" max="4612" width="13.6640625" customWidth="1"/>
    <col min="4613" max="4613" width="11.44140625" customWidth="1"/>
    <col min="4614" max="4614" width="16" customWidth="1"/>
    <col min="4865" max="4865" width="13.88671875" bestFit="1" customWidth="1"/>
    <col min="4866" max="4866" width="19.88671875" customWidth="1"/>
    <col min="4867" max="4867" width="23.6640625" customWidth="1"/>
    <col min="4868" max="4868" width="13.6640625" customWidth="1"/>
    <col min="4869" max="4869" width="11.44140625" customWidth="1"/>
    <col min="4870" max="4870" width="16" customWidth="1"/>
    <col min="5121" max="5121" width="13.88671875" bestFit="1" customWidth="1"/>
    <col min="5122" max="5122" width="19.88671875" customWidth="1"/>
    <col min="5123" max="5123" width="23.6640625" customWidth="1"/>
    <col min="5124" max="5124" width="13.6640625" customWidth="1"/>
    <col min="5125" max="5125" width="11.44140625" customWidth="1"/>
    <col min="5126" max="5126" width="16" customWidth="1"/>
    <col min="5377" max="5377" width="13.88671875" bestFit="1" customWidth="1"/>
    <col min="5378" max="5378" width="19.88671875" customWidth="1"/>
    <col min="5379" max="5379" width="23.6640625" customWidth="1"/>
    <col min="5380" max="5380" width="13.6640625" customWidth="1"/>
    <col min="5381" max="5381" width="11.44140625" customWidth="1"/>
    <col min="5382" max="5382" width="16" customWidth="1"/>
    <col min="5633" max="5633" width="13.88671875" bestFit="1" customWidth="1"/>
    <col min="5634" max="5634" width="19.88671875" customWidth="1"/>
    <col min="5635" max="5635" width="23.6640625" customWidth="1"/>
    <col min="5636" max="5636" width="13.6640625" customWidth="1"/>
    <col min="5637" max="5637" width="11.44140625" customWidth="1"/>
    <col min="5638" max="5638" width="16" customWidth="1"/>
    <col min="5889" max="5889" width="13.88671875" bestFit="1" customWidth="1"/>
    <col min="5890" max="5890" width="19.88671875" customWidth="1"/>
    <col min="5891" max="5891" width="23.6640625" customWidth="1"/>
    <col min="5892" max="5892" width="13.6640625" customWidth="1"/>
    <col min="5893" max="5893" width="11.44140625" customWidth="1"/>
    <col min="5894" max="5894" width="16" customWidth="1"/>
    <col min="6145" max="6145" width="13.88671875" bestFit="1" customWidth="1"/>
    <col min="6146" max="6146" width="19.88671875" customWidth="1"/>
    <col min="6147" max="6147" width="23.6640625" customWidth="1"/>
    <col min="6148" max="6148" width="13.6640625" customWidth="1"/>
    <col min="6149" max="6149" width="11.44140625" customWidth="1"/>
    <col min="6150" max="6150" width="16" customWidth="1"/>
    <col min="6401" max="6401" width="13.88671875" bestFit="1" customWidth="1"/>
    <col min="6402" max="6402" width="19.88671875" customWidth="1"/>
    <col min="6403" max="6403" width="23.6640625" customWidth="1"/>
    <col min="6404" max="6404" width="13.6640625" customWidth="1"/>
    <col min="6405" max="6405" width="11.44140625" customWidth="1"/>
    <col min="6406" max="6406" width="16" customWidth="1"/>
    <col min="6657" max="6657" width="13.88671875" bestFit="1" customWidth="1"/>
    <col min="6658" max="6658" width="19.88671875" customWidth="1"/>
    <col min="6659" max="6659" width="23.6640625" customWidth="1"/>
    <col min="6660" max="6660" width="13.6640625" customWidth="1"/>
    <col min="6661" max="6661" width="11.44140625" customWidth="1"/>
    <col min="6662" max="6662" width="16" customWidth="1"/>
    <col min="6913" max="6913" width="13.88671875" bestFit="1" customWidth="1"/>
    <col min="6914" max="6914" width="19.88671875" customWidth="1"/>
    <col min="6915" max="6915" width="23.6640625" customWidth="1"/>
    <col min="6916" max="6916" width="13.6640625" customWidth="1"/>
    <col min="6917" max="6917" width="11.44140625" customWidth="1"/>
    <col min="6918" max="6918" width="16" customWidth="1"/>
    <col min="7169" max="7169" width="13.88671875" bestFit="1" customWidth="1"/>
    <col min="7170" max="7170" width="19.88671875" customWidth="1"/>
    <col min="7171" max="7171" width="23.6640625" customWidth="1"/>
    <col min="7172" max="7172" width="13.6640625" customWidth="1"/>
    <col min="7173" max="7173" width="11.44140625" customWidth="1"/>
    <col min="7174" max="7174" width="16" customWidth="1"/>
    <col min="7425" max="7425" width="13.88671875" bestFit="1" customWidth="1"/>
    <col min="7426" max="7426" width="19.88671875" customWidth="1"/>
    <col min="7427" max="7427" width="23.6640625" customWidth="1"/>
    <col min="7428" max="7428" width="13.6640625" customWidth="1"/>
    <col min="7429" max="7429" width="11.44140625" customWidth="1"/>
    <col min="7430" max="7430" width="16" customWidth="1"/>
    <col min="7681" max="7681" width="13.88671875" bestFit="1" customWidth="1"/>
    <col min="7682" max="7682" width="19.88671875" customWidth="1"/>
    <col min="7683" max="7683" width="23.6640625" customWidth="1"/>
    <col min="7684" max="7684" width="13.6640625" customWidth="1"/>
    <col min="7685" max="7685" width="11.44140625" customWidth="1"/>
    <col min="7686" max="7686" width="16" customWidth="1"/>
    <col min="7937" max="7937" width="13.88671875" bestFit="1" customWidth="1"/>
    <col min="7938" max="7938" width="19.88671875" customWidth="1"/>
    <col min="7939" max="7939" width="23.6640625" customWidth="1"/>
    <col min="7940" max="7940" width="13.6640625" customWidth="1"/>
    <col min="7941" max="7941" width="11.44140625" customWidth="1"/>
    <col min="7942" max="7942" width="16" customWidth="1"/>
    <col min="8193" max="8193" width="13.88671875" bestFit="1" customWidth="1"/>
    <col min="8194" max="8194" width="19.88671875" customWidth="1"/>
    <col min="8195" max="8195" width="23.6640625" customWidth="1"/>
    <col min="8196" max="8196" width="13.6640625" customWidth="1"/>
    <col min="8197" max="8197" width="11.44140625" customWidth="1"/>
    <col min="8198" max="8198" width="16" customWidth="1"/>
    <col min="8449" max="8449" width="13.88671875" bestFit="1" customWidth="1"/>
    <col min="8450" max="8450" width="19.88671875" customWidth="1"/>
    <col min="8451" max="8451" width="23.6640625" customWidth="1"/>
    <col min="8452" max="8452" width="13.6640625" customWidth="1"/>
    <col min="8453" max="8453" width="11.44140625" customWidth="1"/>
    <col min="8454" max="8454" width="16" customWidth="1"/>
    <col min="8705" max="8705" width="13.88671875" bestFit="1" customWidth="1"/>
    <col min="8706" max="8706" width="19.88671875" customWidth="1"/>
    <col min="8707" max="8707" width="23.6640625" customWidth="1"/>
    <col min="8708" max="8708" width="13.6640625" customWidth="1"/>
    <col min="8709" max="8709" width="11.44140625" customWidth="1"/>
    <col min="8710" max="8710" width="16" customWidth="1"/>
    <col min="8961" max="8961" width="13.88671875" bestFit="1" customWidth="1"/>
    <col min="8962" max="8962" width="19.88671875" customWidth="1"/>
    <col min="8963" max="8963" width="23.6640625" customWidth="1"/>
    <col min="8964" max="8964" width="13.6640625" customWidth="1"/>
    <col min="8965" max="8965" width="11.44140625" customWidth="1"/>
    <col min="8966" max="8966" width="16" customWidth="1"/>
    <col min="9217" max="9217" width="13.88671875" bestFit="1" customWidth="1"/>
    <col min="9218" max="9218" width="19.88671875" customWidth="1"/>
    <col min="9219" max="9219" width="23.6640625" customWidth="1"/>
    <col min="9220" max="9220" width="13.6640625" customWidth="1"/>
    <col min="9221" max="9221" width="11.44140625" customWidth="1"/>
    <col min="9222" max="9222" width="16" customWidth="1"/>
    <col min="9473" max="9473" width="13.88671875" bestFit="1" customWidth="1"/>
    <col min="9474" max="9474" width="19.88671875" customWidth="1"/>
    <col min="9475" max="9475" width="23.6640625" customWidth="1"/>
    <col min="9476" max="9476" width="13.6640625" customWidth="1"/>
    <col min="9477" max="9477" width="11.44140625" customWidth="1"/>
    <col min="9478" max="9478" width="16" customWidth="1"/>
    <col min="9729" max="9729" width="13.88671875" bestFit="1" customWidth="1"/>
    <col min="9730" max="9730" width="19.88671875" customWidth="1"/>
    <col min="9731" max="9731" width="23.6640625" customWidth="1"/>
    <col min="9732" max="9732" width="13.6640625" customWidth="1"/>
    <col min="9733" max="9733" width="11.44140625" customWidth="1"/>
    <col min="9734" max="9734" width="16" customWidth="1"/>
    <col min="9985" max="9985" width="13.88671875" bestFit="1" customWidth="1"/>
    <col min="9986" max="9986" width="19.88671875" customWidth="1"/>
    <col min="9987" max="9987" width="23.6640625" customWidth="1"/>
    <col min="9988" max="9988" width="13.6640625" customWidth="1"/>
    <col min="9989" max="9989" width="11.44140625" customWidth="1"/>
    <col min="9990" max="9990" width="16" customWidth="1"/>
    <col min="10241" max="10241" width="13.88671875" bestFit="1" customWidth="1"/>
    <col min="10242" max="10242" width="19.88671875" customWidth="1"/>
    <col min="10243" max="10243" width="23.6640625" customWidth="1"/>
    <col min="10244" max="10244" width="13.6640625" customWidth="1"/>
    <col min="10245" max="10245" width="11.44140625" customWidth="1"/>
    <col min="10246" max="10246" width="16" customWidth="1"/>
    <col min="10497" max="10497" width="13.88671875" bestFit="1" customWidth="1"/>
    <col min="10498" max="10498" width="19.88671875" customWidth="1"/>
    <col min="10499" max="10499" width="23.6640625" customWidth="1"/>
    <col min="10500" max="10500" width="13.6640625" customWidth="1"/>
    <col min="10501" max="10501" width="11.44140625" customWidth="1"/>
    <col min="10502" max="10502" width="16" customWidth="1"/>
    <col min="10753" max="10753" width="13.88671875" bestFit="1" customWidth="1"/>
    <col min="10754" max="10754" width="19.88671875" customWidth="1"/>
    <col min="10755" max="10755" width="23.6640625" customWidth="1"/>
    <col min="10756" max="10756" width="13.6640625" customWidth="1"/>
    <col min="10757" max="10757" width="11.44140625" customWidth="1"/>
    <col min="10758" max="10758" width="16" customWidth="1"/>
    <col min="11009" max="11009" width="13.88671875" bestFit="1" customWidth="1"/>
    <col min="11010" max="11010" width="19.88671875" customWidth="1"/>
    <col min="11011" max="11011" width="23.6640625" customWidth="1"/>
    <col min="11012" max="11012" width="13.6640625" customWidth="1"/>
    <col min="11013" max="11013" width="11.44140625" customWidth="1"/>
    <col min="11014" max="11014" width="16" customWidth="1"/>
    <col min="11265" max="11265" width="13.88671875" bestFit="1" customWidth="1"/>
    <col min="11266" max="11266" width="19.88671875" customWidth="1"/>
    <col min="11267" max="11267" width="23.6640625" customWidth="1"/>
    <col min="11268" max="11268" width="13.6640625" customWidth="1"/>
    <col min="11269" max="11269" width="11.44140625" customWidth="1"/>
    <col min="11270" max="11270" width="16" customWidth="1"/>
    <col min="11521" max="11521" width="13.88671875" bestFit="1" customWidth="1"/>
    <col min="11522" max="11522" width="19.88671875" customWidth="1"/>
    <col min="11523" max="11523" width="23.6640625" customWidth="1"/>
    <col min="11524" max="11524" width="13.6640625" customWidth="1"/>
    <col min="11525" max="11525" width="11.44140625" customWidth="1"/>
    <col min="11526" max="11526" width="16" customWidth="1"/>
    <col min="11777" max="11777" width="13.88671875" bestFit="1" customWidth="1"/>
    <col min="11778" max="11778" width="19.88671875" customWidth="1"/>
    <col min="11779" max="11779" width="23.6640625" customWidth="1"/>
    <col min="11780" max="11780" width="13.6640625" customWidth="1"/>
    <col min="11781" max="11781" width="11.44140625" customWidth="1"/>
    <col min="11782" max="11782" width="16" customWidth="1"/>
    <col min="12033" max="12033" width="13.88671875" bestFit="1" customWidth="1"/>
    <col min="12034" max="12034" width="19.88671875" customWidth="1"/>
    <col min="12035" max="12035" width="23.6640625" customWidth="1"/>
    <col min="12036" max="12036" width="13.6640625" customWidth="1"/>
    <col min="12037" max="12037" width="11.44140625" customWidth="1"/>
    <col min="12038" max="12038" width="16" customWidth="1"/>
    <col min="12289" max="12289" width="13.88671875" bestFit="1" customWidth="1"/>
    <col min="12290" max="12290" width="19.88671875" customWidth="1"/>
    <col min="12291" max="12291" width="23.6640625" customWidth="1"/>
    <col min="12292" max="12292" width="13.6640625" customWidth="1"/>
    <col min="12293" max="12293" width="11.44140625" customWidth="1"/>
    <col min="12294" max="12294" width="16" customWidth="1"/>
    <col min="12545" max="12545" width="13.88671875" bestFit="1" customWidth="1"/>
    <col min="12546" max="12546" width="19.88671875" customWidth="1"/>
    <col min="12547" max="12547" width="23.6640625" customWidth="1"/>
    <col min="12548" max="12548" width="13.6640625" customWidth="1"/>
    <col min="12549" max="12549" width="11.44140625" customWidth="1"/>
    <col min="12550" max="12550" width="16" customWidth="1"/>
    <col min="12801" max="12801" width="13.88671875" bestFit="1" customWidth="1"/>
    <col min="12802" max="12802" width="19.88671875" customWidth="1"/>
    <col min="12803" max="12803" width="23.6640625" customWidth="1"/>
    <col min="12804" max="12804" width="13.6640625" customWidth="1"/>
    <col min="12805" max="12805" width="11.44140625" customWidth="1"/>
    <col min="12806" max="12806" width="16" customWidth="1"/>
    <col min="13057" max="13057" width="13.88671875" bestFit="1" customWidth="1"/>
    <col min="13058" max="13058" width="19.88671875" customWidth="1"/>
    <col min="13059" max="13059" width="23.6640625" customWidth="1"/>
    <col min="13060" max="13060" width="13.6640625" customWidth="1"/>
    <col min="13061" max="13061" width="11.44140625" customWidth="1"/>
    <col min="13062" max="13062" width="16" customWidth="1"/>
    <col min="13313" max="13313" width="13.88671875" bestFit="1" customWidth="1"/>
    <col min="13314" max="13314" width="19.88671875" customWidth="1"/>
    <col min="13315" max="13315" width="23.6640625" customWidth="1"/>
    <col min="13316" max="13316" width="13.6640625" customWidth="1"/>
    <col min="13317" max="13317" width="11.44140625" customWidth="1"/>
    <col min="13318" max="13318" width="16" customWidth="1"/>
    <col min="13569" max="13569" width="13.88671875" bestFit="1" customWidth="1"/>
    <col min="13570" max="13570" width="19.88671875" customWidth="1"/>
    <col min="13571" max="13571" width="23.6640625" customWidth="1"/>
    <col min="13572" max="13572" width="13.6640625" customWidth="1"/>
    <col min="13573" max="13573" width="11.44140625" customWidth="1"/>
    <col min="13574" max="13574" width="16" customWidth="1"/>
    <col min="13825" max="13825" width="13.88671875" bestFit="1" customWidth="1"/>
    <col min="13826" max="13826" width="19.88671875" customWidth="1"/>
    <col min="13827" max="13827" width="23.6640625" customWidth="1"/>
    <col min="13828" max="13828" width="13.6640625" customWidth="1"/>
    <col min="13829" max="13829" width="11.44140625" customWidth="1"/>
    <col min="13830" max="13830" width="16" customWidth="1"/>
    <col min="14081" max="14081" width="13.88671875" bestFit="1" customWidth="1"/>
    <col min="14082" max="14082" width="19.88671875" customWidth="1"/>
    <col min="14083" max="14083" width="23.6640625" customWidth="1"/>
    <col min="14084" max="14084" width="13.6640625" customWidth="1"/>
    <col min="14085" max="14085" width="11.44140625" customWidth="1"/>
    <col min="14086" max="14086" width="16" customWidth="1"/>
    <col min="14337" max="14337" width="13.88671875" bestFit="1" customWidth="1"/>
    <col min="14338" max="14338" width="19.88671875" customWidth="1"/>
    <col min="14339" max="14339" width="23.6640625" customWidth="1"/>
    <col min="14340" max="14340" width="13.6640625" customWidth="1"/>
    <col min="14341" max="14341" width="11.44140625" customWidth="1"/>
    <col min="14342" max="14342" width="16" customWidth="1"/>
    <col min="14593" max="14593" width="13.88671875" bestFit="1" customWidth="1"/>
    <col min="14594" max="14594" width="19.88671875" customWidth="1"/>
    <col min="14595" max="14595" width="23.6640625" customWidth="1"/>
    <col min="14596" max="14596" width="13.6640625" customWidth="1"/>
    <col min="14597" max="14597" width="11.44140625" customWidth="1"/>
    <col min="14598" max="14598" width="16" customWidth="1"/>
    <col min="14849" max="14849" width="13.88671875" bestFit="1" customWidth="1"/>
    <col min="14850" max="14850" width="19.88671875" customWidth="1"/>
    <col min="14851" max="14851" width="23.6640625" customWidth="1"/>
    <col min="14852" max="14852" width="13.6640625" customWidth="1"/>
    <col min="14853" max="14853" width="11.44140625" customWidth="1"/>
    <col min="14854" max="14854" width="16" customWidth="1"/>
    <col min="15105" max="15105" width="13.88671875" bestFit="1" customWidth="1"/>
    <col min="15106" max="15106" width="19.88671875" customWidth="1"/>
    <col min="15107" max="15107" width="23.6640625" customWidth="1"/>
    <col min="15108" max="15108" width="13.6640625" customWidth="1"/>
    <col min="15109" max="15109" width="11.44140625" customWidth="1"/>
    <col min="15110" max="15110" width="16" customWidth="1"/>
    <col min="15361" max="15361" width="13.88671875" bestFit="1" customWidth="1"/>
    <col min="15362" max="15362" width="19.88671875" customWidth="1"/>
    <col min="15363" max="15363" width="23.6640625" customWidth="1"/>
    <col min="15364" max="15364" width="13.6640625" customWidth="1"/>
    <col min="15365" max="15365" width="11.44140625" customWidth="1"/>
    <col min="15366" max="15366" width="16" customWidth="1"/>
    <col min="15617" max="15617" width="13.88671875" bestFit="1" customWidth="1"/>
    <col min="15618" max="15618" width="19.88671875" customWidth="1"/>
    <col min="15619" max="15619" width="23.6640625" customWidth="1"/>
    <col min="15620" max="15620" width="13.6640625" customWidth="1"/>
    <col min="15621" max="15621" width="11.44140625" customWidth="1"/>
    <col min="15622" max="15622" width="16" customWidth="1"/>
    <col min="15873" max="15873" width="13.88671875" bestFit="1" customWidth="1"/>
    <col min="15874" max="15874" width="19.88671875" customWidth="1"/>
    <col min="15875" max="15875" width="23.6640625" customWidth="1"/>
    <col min="15876" max="15876" width="13.6640625" customWidth="1"/>
    <col min="15877" max="15877" width="11.44140625" customWidth="1"/>
    <col min="15878" max="15878" width="16" customWidth="1"/>
    <col min="16129" max="16129" width="13.88671875" bestFit="1" customWidth="1"/>
    <col min="16130" max="16130" width="19.88671875" customWidth="1"/>
    <col min="16131" max="16131" width="23.6640625" customWidth="1"/>
    <col min="16132" max="16132" width="13.6640625" customWidth="1"/>
    <col min="16133" max="16133" width="11.44140625" customWidth="1"/>
    <col min="16134" max="16134" width="16" customWidth="1"/>
  </cols>
  <sheetData>
    <row r="1" spans="1:10" ht="18" x14ac:dyDescent="0.35">
      <c r="A1" s="25" t="s">
        <v>3824</v>
      </c>
    </row>
    <row r="3" spans="1:10" ht="57.6" x14ac:dyDescent="0.3">
      <c r="A3" s="587" t="s">
        <v>79</v>
      </c>
      <c r="B3" s="587" t="s">
        <v>772</v>
      </c>
      <c r="C3" s="144" t="s">
        <v>3825</v>
      </c>
      <c r="D3" s="144" t="s">
        <v>3826</v>
      </c>
      <c r="E3" s="144" t="s">
        <v>3827</v>
      </c>
      <c r="F3" s="588" t="s">
        <v>2690</v>
      </c>
      <c r="G3" s="144" t="s">
        <v>3828</v>
      </c>
      <c r="H3" s="144" t="s">
        <v>3829</v>
      </c>
      <c r="I3" s="6"/>
      <c r="J3" s="6"/>
    </row>
    <row r="4" spans="1:10" x14ac:dyDescent="0.3">
      <c r="A4" s="21" t="s">
        <v>3830</v>
      </c>
      <c r="B4" s="589" t="s">
        <v>5</v>
      </c>
      <c r="C4" s="128">
        <v>10810247</v>
      </c>
      <c r="D4" s="128">
        <v>4000000</v>
      </c>
      <c r="E4" s="128">
        <v>11000000</v>
      </c>
      <c r="F4" s="590">
        <v>25810247</v>
      </c>
      <c r="G4" s="128">
        <v>3755346</v>
      </c>
      <c r="H4" s="128">
        <v>22054901</v>
      </c>
      <c r="I4" s="89">
        <v>0.13208333333333333</v>
      </c>
      <c r="J4" s="129"/>
    </row>
    <row r="5" spans="1:10" x14ac:dyDescent="0.3">
      <c r="A5" s="21" t="s">
        <v>3831</v>
      </c>
      <c r="B5" s="589" t="s">
        <v>7</v>
      </c>
      <c r="C5" s="129">
        <v>23059933</v>
      </c>
      <c r="D5" s="128">
        <v>4000000</v>
      </c>
      <c r="E5" s="128">
        <v>8000000</v>
      </c>
      <c r="F5" s="590">
        <v>35059933</v>
      </c>
      <c r="G5" s="128">
        <v>8398912</v>
      </c>
      <c r="H5" s="128">
        <v>26661021</v>
      </c>
      <c r="I5" s="89">
        <v>90000</v>
      </c>
      <c r="J5" s="129">
        <f>F5-G5</f>
        <v>26661021</v>
      </c>
    </row>
    <row r="6" spans="1:10" x14ac:dyDescent="0.3">
      <c r="A6" s="21" t="s">
        <v>3832</v>
      </c>
      <c r="B6" s="589" t="s">
        <v>6</v>
      </c>
      <c r="C6" s="128">
        <v>26247812.780000001</v>
      </c>
      <c r="D6" s="128">
        <v>5000000</v>
      </c>
      <c r="E6" s="128">
        <v>25000000</v>
      </c>
      <c r="F6" s="590">
        <v>56247812.780000001</v>
      </c>
      <c r="G6" s="128">
        <v>490066</v>
      </c>
      <c r="H6" s="128">
        <v>55757746.780000001</v>
      </c>
      <c r="J6" s="129"/>
    </row>
    <row r="7" spans="1:10" x14ac:dyDescent="0.3">
      <c r="A7" s="21" t="s">
        <v>3833</v>
      </c>
      <c r="B7" s="589" t="s">
        <v>9</v>
      </c>
      <c r="C7" s="128">
        <v>24201643.540000003</v>
      </c>
      <c r="D7" s="128">
        <v>2000000</v>
      </c>
      <c r="E7" s="128">
        <v>8000000</v>
      </c>
      <c r="F7" s="590">
        <v>34201643.540000007</v>
      </c>
      <c r="G7" s="128">
        <v>1586483</v>
      </c>
      <c r="H7" s="128">
        <v>32615160.540000007</v>
      </c>
      <c r="J7" s="129"/>
    </row>
    <row r="8" spans="1:10" x14ac:dyDescent="0.3">
      <c r="A8" s="21" t="s">
        <v>3834</v>
      </c>
      <c r="B8" s="589" t="s">
        <v>2695</v>
      </c>
      <c r="C8" s="128">
        <v>11874728</v>
      </c>
      <c r="D8" s="128">
        <v>1000000</v>
      </c>
      <c r="E8" s="128">
        <v>10000000</v>
      </c>
      <c r="F8" s="590">
        <v>22874728</v>
      </c>
      <c r="G8" s="128">
        <v>1059174</v>
      </c>
      <c r="H8" s="128">
        <v>21815554</v>
      </c>
      <c r="J8" s="129"/>
    </row>
    <row r="9" spans="1:10" x14ac:dyDescent="0.3">
      <c r="A9" s="21" t="s">
        <v>3835</v>
      </c>
      <c r="B9" s="589" t="s">
        <v>3836</v>
      </c>
      <c r="C9" s="128">
        <v>9768277</v>
      </c>
      <c r="D9" s="128">
        <v>1000000</v>
      </c>
      <c r="E9" s="128">
        <v>5000000</v>
      </c>
      <c r="F9" s="590">
        <v>15768277</v>
      </c>
      <c r="G9" s="128">
        <v>1405616</v>
      </c>
      <c r="H9" s="128">
        <v>14362661</v>
      </c>
      <c r="J9" s="129"/>
    </row>
    <row r="10" spans="1:10" x14ac:dyDescent="0.3">
      <c r="A10" s="21" t="s">
        <v>3837</v>
      </c>
      <c r="B10" s="589" t="s">
        <v>12</v>
      </c>
      <c r="C10" s="128">
        <v>5241746</v>
      </c>
      <c r="D10" s="128">
        <v>500000</v>
      </c>
      <c r="E10" s="128">
        <v>4500000</v>
      </c>
      <c r="F10" s="590">
        <v>10241746</v>
      </c>
      <c r="G10" s="128">
        <v>147640</v>
      </c>
      <c r="H10" s="128">
        <v>10094106</v>
      </c>
      <c r="J10" s="129"/>
    </row>
    <row r="11" spans="1:10" x14ac:dyDescent="0.3">
      <c r="A11" s="56"/>
      <c r="B11" s="591"/>
      <c r="C11" s="592"/>
      <c r="D11" s="592"/>
      <c r="E11" s="592"/>
      <c r="F11" s="592"/>
      <c r="G11" s="128"/>
      <c r="H11" s="128">
        <v>0</v>
      </c>
    </row>
    <row r="12" spans="1:10" x14ac:dyDescent="0.3">
      <c r="G12" s="21"/>
      <c r="H12" s="128">
        <v>0</v>
      </c>
    </row>
    <row r="13" spans="1:10" x14ac:dyDescent="0.3">
      <c r="A13" s="21" t="s">
        <v>1095</v>
      </c>
      <c r="B13" s="593" t="s">
        <v>2765</v>
      </c>
      <c r="C13" s="128">
        <v>16252039</v>
      </c>
      <c r="D13" s="21">
        <v>0</v>
      </c>
      <c r="E13" s="21">
        <v>0</v>
      </c>
      <c r="F13" s="590">
        <v>16252039</v>
      </c>
      <c r="G13" s="128">
        <v>378092</v>
      </c>
      <c r="H13" s="128">
        <v>15873947</v>
      </c>
    </row>
    <row r="14" spans="1:10" x14ac:dyDescent="0.3">
      <c r="A14" s="594" t="s">
        <v>3838</v>
      </c>
      <c r="G14" s="21"/>
      <c r="H14" s="128">
        <v>0</v>
      </c>
    </row>
    <row r="15" spans="1:10" x14ac:dyDescent="0.3">
      <c r="A15" s="21" t="s">
        <v>3586</v>
      </c>
      <c r="B15" s="593" t="s">
        <v>3839</v>
      </c>
      <c r="C15" s="128">
        <v>4269984</v>
      </c>
      <c r="D15" s="21">
        <v>0</v>
      </c>
      <c r="E15" s="21">
        <v>0</v>
      </c>
      <c r="F15" s="590">
        <v>4269984</v>
      </c>
      <c r="G15" s="21"/>
      <c r="H15" s="128">
        <v>4269984</v>
      </c>
    </row>
    <row r="16" spans="1:10" ht="15.75" customHeight="1" x14ac:dyDescent="0.3"/>
    <row r="17" spans="1:1" x14ac:dyDescent="0.3">
      <c r="A17" t="s">
        <v>3840</v>
      </c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"/>
  <sheetViews>
    <sheetView workbookViewId="0">
      <selection activeCell="E23" sqref="E23"/>
    </sheetView>
  </sheetViews>
  <sheetFormatPr defaultRowHeight="15.6" x14ac:dyDescent="0.3"/>
  <cols>
    <col min="1" max="7" width="25.21875" customWidth="1"/>
  </cols>
  <sheetData>
    <row r="1" spans="1:7" ht="15.75" customHeight="1" x14ac:dyDescent="0.3">
      <c r="A1" s="543" t="s">
        <v>3841</v>
      </c>
      <c r="D1" s="543" t="s">
        <v>3842</v>
      </c>
    </row>
    <row r="3" spans="1:7" x14ac:dyDescent="0.3">
      <c r="A3" s="543" t="s">
        <v>3843</v>
      </c>
      <c r="B3" s="543" t="s">
        <v>3844</v>
      </c>
      <c r="D3" s="20" t="s">
        <v>3</v>
      </c>
      <c r="E3" s="20" t="s">
        <v>3845</v>
      </c>
      <c r="F3" s="20" t="s">
        <v>3844</v>
      </c>
      <c r="G3" s="595" t="s">
        <v>3846</v>
      </c>
    </row>
    <row r="4" spans="1:7" x14ac:dyDescent="0.3">
      <c r="A4" t="s">
        <v>5</v>
      </c>
      <c r="B4" s="129">
        <v>1493078</v>
      </c>
      <c r="D4" s="21" t="s">
        <v>5</v>
      </c>
      <c r="E4" s="596">
        <f>12966+492+106</f>
        <v>13564</v>
      </c>
      <c r="F4" s="596">
        <f>13614+628</f>
        <v>14242</v>
      </c>
      <c r="G4" s="402">
        <f>+F4*375</f>
        <v>5340750</v>
      </c>
    </row>
    <row r="5" spans="1:7" ht="31.2" x14ac:dyDescent="0.3">
      <c r="A5" s="399" t="s">
        <v>3847</v>
      </c>
      <c r="B5" s="129">
        <v>46048</v>
      </c>
      <c r="D5" s="21" t="s">
        <v>11</v>
      </c>
      <c r="E5" s="596">
        <v>15112</v>
      </c>
      <c r="F5" s="596">
        <v>16692</v>
      </c>
      <c r="G5" s="402">
        <f t="shared" ref="G5:G17" si="0">+F5*375</f>
        <v>6259500</v>
      </c>
    </row>
    <row r="6" spans="1:7" x14ac:dyDescent="0.3">
      <c r="A6" t="s">
        <v>11</v>
      </c>
      <c r="B6" s="129">
        <v>136795</v>
      </c>
      <c r="D6" s="21" t="s">
        <v>6</v>
      </c>
      <c r="E6" s="596">
        <v>52781</v>
      </c>
      <c r="F6" s="596">
        <v>55479</v>
      </c>
      <c r="G6" s="402">
        <f t="shared" si="0"/>
        <v>20804625</v>
      </c>
    </row>
    <row r="7" spans="1:7" ht="31.2" x14ac:dyDescent="0.3">
      <c r="A7" t="s">
        <v>6</v>
      </c>
      <c r="B7" s="129">
        <v>1416274</v>
      </c>
      <c r="D7" s="127" t="s">
        <v>815</v>
      </c>
      <c r="E7" s="596">
        <v>341</v>
      </c>
      <c r="F7" s="596">
        <v>358</v>
      </c>
      <c r="G7" s="402">
        <f t="shared" si="0"/>
        <v>134250</v>
      </c>
    </row>
    <row r="8" spans="1:7" x14ac:dyDescent="0.3">
      <c r="A8" t="s">
        <v>890</v>
      </c>
      <c r="B8" s="129">
        <v>1311637</v>
      </c>
      <c r="D8" s="21" t="s">
        <v>890</v>
      </c>
      <c r="E8" s="596">
        <v>12410</v>
      </c>
      <c r="F8" s="596">
        <v>13031</v>
      </c>
      <c r="G8" s="402">
        <f t="shared" si="0"/>
        <v>4886625</v>
      </c>
    </row>
    <row r="9" spans="1:7" x14ac:dyDescent="0.3">
      <c r="A9" t="s">
        <v>810</v>
      </c>
      <c r="B9" s="129">
        <v>49766</v>
      </c>
      <c r="D9" s="21" t="s">
        <v>810</v>
      </c>
      <c r="E9" s="596">
        <v>929</v>
      </c>
      <c r="F9" s="596">
        <v>975</v>
      </c>
      <c r="G9" s="402">
        <f t="shared" si="0"/>
        <v>365625</v>
      </c>
    </row>
    <row r="10" spans="1:7" x14ac:dyDescent="0.3">
      <c r="A10" t="s">
        <v>2131</v>
      </c>
      <c r="B10" s="129">
        <v>50174</v>
      </c>
      <c r="D10" s="21" t="s">
        <v>3451</v>
      </c>
      <c r="E10" s="596">
        <v>177</v>
      </c>
      <c r="F10" s="596">
        <v>186</v>
      </c>
      <c r="G10" s="402">
        <f t="shared" si="0"/>
        <v>69750</v>
      </c>
    </row>
    <row r="11" spans="1:7" x14ac:dyDescent="0.3">
      <c r="A11" t="s">
        <v>10</v>
      </c>
      <c r="B11" s="129">
        <v>12372</v>
      </c>
      <c r="D11" s="21" t="s">
        <v>10</v>
      </c>
      <c r="E11" s="596">
        <v>9791</v>
      </c>
      <c r="F11" s="596">
        <v>11069</v>
      </c>
      <c r="G11" s="402">
        <f t="shared" si="0"/>
        <v>4150875</v>
      </c>
    </row>
    <row r="12" spans="1:7" ht="31.2" x14ac:dyDescent="0.3">
      <c r="A12" s="399" t="s">
        <v>2764</v>
      </c>
      <c r="B12" s="129">
        <v>187798</v>
      </c>
      <c r="D12" s="21" t="s">
        <v>823</v>
      </c>
      <c r="E12" s="596">
        <v>753</v>
      </c>
      <c r="F12" s="596">
        <v>791</v>
      </c>
      <c r="G12" s="402">
        <f t="shared" si="0"/>
        <v>296625</v>
      </c>
    </row>
    <row r="13" spans="1:7" ht="31.2" x14ac:dyDescent="0.3">
      <c r="A13" s="399" t="s">
        <v>3848</v>
      </c>
      <c r="B13" s="129">
        <v>57922</v>
      </c>
      <c r="D13" s="127" t="s">
        <v>1620</v>
      </c>
      <c r="E13" s="596">
        <v>1009</v>
      </c>
      <c r="F13" s="596">
        <v>1281</v>
      </c>
      <c r="G13" s="402">
        <f t="shared" si="0"/>
        <v>480375</v>
      </c>
    </row>
    <row r="14" spans="1:7" x14ac:dyDescent="0.3">
      <c r="A14" t="s">
        <v>823</v>
      </c>
      <c r="B14" s="129">
        <v>73663</v>
      </c>
      <c r="D14" s="21" t="s">
        <v>8</v>
      </c>
      <c r="E14" s="596">
        <v>4786</v>
      </c>
      <c r="F14" s="596">
        <v>5293</v>
      </c>
      <c r="G14" s="402">
        <f t="shared" si="0"/>
        <v>1984875</v>
      </c>
    </row>
    <row r="15" spans="1:7" x14ac:dyDescent="0.3">
      <c r="A15" t="s">
        <v>3849</v>
      </c>
      <c r="B15" s="129">
        <v>317289</v>
      </c>
      <c r="D15" s="21" t="s">
        <v>12</v>
      </c>
      <c r="E15" s="596">
        <v>222</v>
      </c>
      <c r="F15" s="596">
        <v>233</v>
      </c>
      <c r="G15" s="402">
        <f t="shared" si="0"/>
        <v>87375</v>
      </c>
    </row>
    <row r="16" spans="1:7" x14ac:dyDescent="0.3">
      <c r="A16" t="s">
        <v>3850</v>
      </c>
      <c r="B16" s="129">
        <v>286690</v>
      </c>
      <c r="D16" s="21" t="s">
        <v>9</v>
      </c>
      <c r="E16" s="596">
        <v>6327</v>
      </c>
      <c r="F16" s="596">
        <v>7707</v>
      </c>
      <c r="G16" s="402">
        <f t="shared" si="0"/>
        <v>2890125</v>
      </c>
    </row>
    <row r="17" spans="1:7" x14ac:dyDescent="0.3">
      <c r="A17" t="s">
        <v>885</v>
      </c>
      <c r="B17" s="129">
        <v>16562</v>
      </c>
      <c r="D17" s="86" t="s">
        <v>2711</v>
      </c>
      <c r="E17" s="597">
        <f>SUM(E4:E16)</f>
        <v>118202</v>
      </c>
      <c r="F17" s="597">
        <f>SUM(F4:F16)</f>
        <v>127337</v>
      </c>
      <c r="G17" s="402">
        <f t="shared" si="0"/>
        <v>47751375</v>
      </c>
    </row>
    <row r="18" spans="1:7" ht="31.2" x14ac:dyDescent="0.3">
      <c r="A18" s="399" t="s">
        <v>2220</v>
      </c>
      <c r="B18" s="129">
        <v>77528</v>
      </c>
    </row>
    <row r="19" spans="1:7" x14ac:dyDescent="0.3">
      <c r="A19" t="s">
        <v>7</v>
      </c>
      <c r="B19" s="129">
        <v>173663</v>
      </c>
      <c r="D19" t="s">
        <v>3851</v>
      </c>
    </row>
    <row r="20" spans="1:7" ht="31.2" x14ac:dyDescent="0.3">
      <c r="A20" s="399" t="s">
        <v>3852</v>
      </c>
      <c r="B20" s="129">
        <v>179701</v>
      </c>
    </row>
    <row r="21" spans="1:7" ht="31.2" x14ac:dyDescent="0.3">
      <c r="A21" s="399" t="s">
        <v>2763</v>
      </c>
      <c r="B21" s="129">
        <v>492228</v>
      </c>
    </row>
    <row r="22" spans="1:7" ht="31.2" x14ac:dyDescent="0.3">
      <c r="A22" s="399" t="s">
        <v>3853</v>
      </c>
      <c r="B22" s="129">
        <v>63724</v>
      </c>
    </row>
    <row r="23" spans="1:7" x14ac:dyDescent="0.3">
      <c r="A23" s="399" t="s">
        <v>8</v>
      </c>
      <c r="B23" s="129">
        <v>187303</v>
      </c>
    </row>
    <row r="24" spans="1:7" x14ac:dyDescent="0.3">
      <c r="A24" s="399" t="s">
        <v>12</v>
      </c>
      <c r="B24" s="129">
        <v>253687</v>
      </c>
    </row>
    <row r="25" spans="1:7" x14ac:dyDescent="0.3">
      <c r="A25" s="399" t="s">
        <v>9</v>
      </c>
      <c r="B25" s="129">
        <v>38300</v>
      </c>
    </row>
    <row r="26" spans="1:7" x14ac:dyDescent="0.3">
      <c r="A26" s="598" t="s">
        <v>2711</v>
      </c>
      <c r="B26" s="599">
        <f>SUM(B4:B25)</f>
        <v>6922202</v>
      </c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9"/>
  <sheetViews>
    <sheetView topLeftCell="I40" workbookViewId="0">
      <selection activeCell="L28" sqref="L28"/>
    </sheetView>
  </sheetViews>
  <sheetFormatPr defaultRowHeight="15.6" x14ac:dyDescent="0.3"/>
  <cols>
    <col min="1" max="1" width="59.21875" style="600" bestFit="1" customWidth="1"/>
    <col min="2" max="2" width="12.44140625" style="600" customWidth="1"/>
    <col min="3" max="3" width="8.21875" style="600" customWidth="1"/>
    <col min="4" max="4" width="11.33203125" style="600" customWidth="1"/>
    <col min="5" max="5" width="8.77734375" style="600" customWidth="1"/>
    <col min="6" max="6" width="10.44140625" style="600" bestFit="1" customWidth="1"/>
    <col min="7" max="7" width="11.44140625" style="600" customWidth="1"/>
    <col min="8" max="8" width="33.44140625" style="600" customWidth="1"/>
    <col min="9" max="9" width="25" style="600" bestFit="1" customWidth="1"/>
    <col min="10" max="10" width="33" style="600" bestFit="1" customWidth="1"/>
    <col min="11" max="11" width="9.44140625" style="600" bestFit="1" customWidth="1"/>
    <col min="12" max="12" width="11.88671875" style="600" customWidth="1"/>
    <col min="13" max="13" width="15" style="600" bestFit="1" customWidth="1"/>
    <col min="14" max="14" width="13.21875" style="600" bestFit="1" customWidth="1"/>
    <col min="15" max="15" width="7.77734375" style="600" bestFit="1" customWidth="1"/>
    <col min="16" max="16" width="8.6640625" style="600" bestFit="1" customWidth="1"/>
    <col min="17" max="17" width="7.77734375" style="600" bestFit="1" customWidth="1"/>
    <col min="18" max="18" width="9.109375" style="600" customWidth="1"/>
    <col min="19" max="19" width="7.77734375" style="600" bestFit="1" customWidth="1"/>
    <col min="20" max="20" width="8.6640625" style="600" bestFit="1" customWidth="1"/>
    <col min="21" max="22" width="9" style="600"/>
  </cols>
  <sheetData>
    <row r="1" spans="1:20" ht="40.200000000000003" customHeight="1" thickBot="1" x14ac:dyDescent="0.45">
      <c r="A1" s="1209" t="s">
        <v>3854</v>
      </c>
      <c r="B1" s="1210"/>
      <c r="C1" s="1211"/>
      <c r="D1" s="1211"/>
      <c r="E1" s="1211"/>
      <c r="F1" s="1211"/>
      <c r="G1" s="1212"/>
      <c r="H1" s="1209" t="s">
        <v>3855</v>
      </c>
      <c r="I1" s="1210"/>
      <c r="J1" s="1213"/>
      <c r="K1" s="1209" t="s">
        <v>3856</v>
      </c>
      <c r="L1" s="1210"/>
      <c r="M1" s="1210"/>
      <c r="N1" s="1210"/>
      <c r="O1" s="1210"/>
      <c r="P1" s="1210"/>
      <c r="Q1" s="1210"/>
      <c r="R1" s="1210"/>
      <c r="S1" s="1210"/>
      <c r="T1" s="1213"/>
    </row>
    <row r="2" spans="1:20" ht="43.2" x14ac:dyDescent="0.3">
      <c r="A2" s="601" t="s">
        <v>3857</v>
      </c>
      <c r="B2" s="602" t="s">
        <v>3858</v>
      </c>
      <c r="C2" s="603" t="s">
        <v>3859</v>
      </c>
      <c r="D2" s="602" t="s">
        <v>3860</v>
      </c>
      <c r="E2" s="603" t="s">
        <v>3861</v>
      </c>
      <c r="F2" s="603" t="s">
        <v>2711</v>
      </c>
      <c r="G2" s="604" t="s">
        <v>3862</v>
      </c>
      <c r="H2" s="601" t="s">
        <v>3863</v>
      </c>
      <c r="I2" s="603" t="s">
        <v>3864</v>
      </c>
      <c r="J2" s="604" t="s">
        <v>3865</v>
      </c>
      <c r="K2" s="601" t="s">
        <v>3866</v>
      </c>
      <c r="L2" s="603" t="s">
        <v>3867</v>
      </c>
      <c r="M2" s="603" t="s">
        <v>11</v>
      </c>
      <c r="N2" s="603" t="s">
        <v>6</v>
      </c>
      <c r="O2" s="603" t="s">
        <v>3451</v>
      </c>
      <c r="P2" s="603" t="s">
        <v>10</v>
      </c>
      <c r="Q2" s="603" t="s">
        <v>7</v>
      </c>
      <c r="R2" s="603" t="s">
        <v>12</v>
      </c>
      <c r="S2" s="603" t="s">
        <v>2695</v>
      </c>
      <c r="T2" s="604" t="s">
        <v>9</v>
      </c>
    </row>
    <row r="3" spans="1:20" x14ac:dyDescent="0.3">
      <c r="A3" s="605" t="s">
        <v>3868</v>
      </c>
      <c r="B3" s="606">
        <v>12675</v>
      </c>
      <c r="C3" s="607" t="s">
        <v>3869</v>
      </c>
      <c r="D3" s="606">
        <v>4182759</v>
      </c>
      <c r="E3" s="606">
        <v>1129344.9300000002</v>
      </c>
      <c r="F3" s="606">
        <v>5312103.93</v>
      </c>
      <c r="G3" s="608">
        <v>5</v>
      </c>
      <c r="H3" s="605"/>
      <c r="I3" s="607" t="s">
        <v>10</v>
      </c>
      <c r="J3" s="608" t="s">
        <v>10</v>
      </c>
      <c r="K3" s="609"/>
      <c r="L3" s="606"/>
      <c r="M3" s="610"/>
      <c r="N3" s="606"/>
      <c r="O3" s="610"/>
      <c r="P3" s="606">
        <v>5312103.93</v>
      </c>
      <c r="Q3" s="610"/>
      <c r="R3" s="606"/>
      <c r="S3" s="610"/>
      <c r="T3" s="611"/>
    </row>
    <row r="4" spans="1:20" x14ac:dyDescent="0.3">
      <c r="A4" s="605" t="s">
        <v>3870</v>
      </c>
      <c r="B4" s="606">
        <v>1108489</v>
      </c>
      <c r="C4" s="607" t="s">
        <v>3871</v>
      </c>
      <c r="D4" s="606">
        <v>1108489</v>
      </c>
      <c r="E4" s="606">
        <v>299292.03000000003</v>
      </c>
      <c r="F4" s="606">
        <v>1407781.03</v>
      </c>
      <c r="G4" s="608" t="s">
        <v>3872</v>
      </c>
      <c r="H4" s="605" t="s">
        <v>3873</v>
      </c>
      <c r="I4" s="607" t="s">
        <v>3866</v>
      </c>
      <c r="J4" s="608" t="s">
        <v>3866</v>
      </c>
      <c r="K4" s="609">
        <v>1407781.03</v>
      </c>
      <c r="L4" s="606"/>
      <c r="M4" s="610"/>
      <c r="N4" s="606"/>
      <c r="O4" s="610"/>
      <c r="P4" s="606"/>
      <c r="Q4" s="610"/>
      <c r="R4" s="606"/>
      <c r="S4" s="610"/>
      <c r="T4" s="611"/>
    </row>
    <row r="5" spans="1:20" x14ac:dyDescent="0.3">
      <c r="A5" s="605" t="s">
        <v>3874</v>
      </c>
      <c r="B5" s="606">
        <v>1228879</v>
      </c>
      <c r="C5" s="607" t="s">
        <v>3871</v>
      </c>
      <c r="D5" s="606">
        <v>1228879</v>
      </c>
      <c r="E5" s="606">
        <v>331797.33</v>
      </c>
      <c r="F5" s="606">
        <v>1560676.33</v>
      </c>
      <c r="G5" s="608">
        <v>25</v>
      </c>
      <c r="H5" s="605"/>
      <c r="I5" s="607" t="s">
        <v>3866</v>
      </c>
      <c r="J5" s="608" t="s">
        <v>3866</v>
      </c>
      <c r="K5" s="609">
        <v>1560676.33</v>
      </c>
      <c r="L5" s="606"/>
      <c r="M5" s="610"/>
      <c r="N5" s="606"/>
      <c r="O5" s="610"/>
      <c r="P5" s="606"/>
      <c r="Q5" s="610"/>
      <c r="R5" s="606"/>
      <c r="S5" s="610"/>
      <c r="T5" s="611"/>
    </row>
    <row r="6" spans="1:20" x14ac:dyDescent="0.3">
      <c r="A6" s="605" t="s">
        <v>3875</v>
      </c>
      <c r="B6" s="606">
        <v>1472625</v>
      </c>
      <c r="C6" s="607" t="s">
        <v>3871</v>
      </c>
      <c r="D6" s="606">
        <v>1472625</v>
      </c>
      <c r="E6" s="606">
        <v>397608.75</v>
      </c>
      <c r="F6" s="606">
        <v>1870233.75</v>
      </c>
      <c r="G6" s="608">
        <v>25</v>
      </c>
      <c r="H6" s="605"/>
      <c r="I6" s="607" t="s">
        <v>3866</v>
      </c>
      <c r="J6" s="608" t="s">
        <v>3866</v>
      </c>
      <c r="K6" s="609">
        <v>1870233.75</v>
      </c>
      <c r="L6" s="606"/>
      <c r="M6" s="610"/>
      <c r="N6" s="606"/>
      <c r="O6" s="610"/>
      <c r="P6" s="606"/>
      <c r="Q6" s="610"/>
      <c r="R6" s="606"/>
      <c r="S6" s="610"/>
      <c r="T6" s="611"/>
    </row>
    <row r="7" spans="1:20" x14ac:dyDescent="0.3">
      <c r="A7" s="605" t="s">
        <v>3876</v>
      </c>
      <c r="B7" s="606">
        <v>7458</v>
      </c>
      <c r="C7" s="607" t="s">
        <v>3877</v>
      </c>
      <c r="D7" s="606">
        <v>3281520</v>
      </c>
      <c r="E7" s="606">
        <v>886010.4</v>
      </c>
      <c r="F7" s="606">
        <v>4167530.4</v>
      </c>
      <c r="G7" s="608">
        <v>40</v>
      </c>
      <c r="H7" s="605" t="s">
        <v>3878</v>
      </c>
      <c r="I7" s="607" t="s">
        <v>3866</v>
      </c>
      <c r="J7" s="608" t="s">
        <v>3866</v>
      </c>
      <c r="K7" s="609">
        <v>4167530.4</v>
      </c>
      <c r="L7" s="606"/>
      <c r="M7" s="610"/>
      <c r="N7" s="606"/>
      <c r="O7" s="610"/>
      <c r="P7" s="606"/>
      <c r="Q7" s="610"/>
      <c r="R7" s="606"/>
      <c r="S7" s="610"/>
      <c r="T7" s="611"/>
    </row>
    <row r="8" spans="1:20" x14ac:dyDescent="0.3">
      <c r="A8" s="605" t="s">
        <v>3879</v>
      </c>
      <c r="B8" s="606">
        <v>37917</v>
      </c>
      <c r="C8" s="607" t="s">
        <v>3869</v>
      </c>
      <c r="D8" s="606">
        <v>12512610</v>
      </c>
      <c r="E8" s="606">
        <v>3378404.7</v>
      </c>
      <c r="F8" s="606">
        <v>15891014.700000001</v>
      </c>
      <c r="G8" s="608">
        <v>25</v>
      </c>
      <c r="H8" s="605"/>
      <c r="I8" s="607" t="s">
        <v>3866</v>
      </c>
      <c r="J8" s="608" t="s">
        <v>3866</v>
      </c>
      <c r="K8" s="609">
        <v>15891014.700000001</v>
      </c>
      <c r="L8" s="606"/>
      <c r="M8" s="610"/>
      <c r="N8" s="606"/>
      <c r="O8" s="610"/>
      <c r="P8" s="606"/>
      <c r="Q8" s="610"/>
      <c r="R8" s="606"/>
      <c r="S8" s="610"/>
      <c r="T8" s="611"/>
    </row>
    <row r="9" spans="1:20" x14ac:dyDescent="0.3">
      <c r="A9" s="605" t="s">
        <v>3880</v>
      </c>
      <c r="B9" s="606">
        <v>18045</v>
      </c>
      <c r="C9" s="607" t="s">
        <v>3869</v>
      </c>
      <c r="D9" s="606">
        <v>5954784</v>
      </c>
      <c r="E9" s="606">
        <v>1607791.6800000002</v>
      </c>
      <c r="F9" s="606">
        <v>7562575.6799999997</v>
      </c>
      <c r="G9" s="608">
        <v>20</v>
      </c>
      <c r="H9" s="605"/>
      <c r="I9" s="607" t="s">
        <v>3881</v>
      </c>
      <c r="J9" s="608" t="s">
        <v>3866</v>
      </c>
      <c r="K9" s="609">
        <v>7562575.6799999997</v>
      </c>
      <c r="L9" s="606"/>
      <c r="M9" s="610"/>
      <c r="N9" s="606"/>
      <c r="O9" s="610"/>
      <c r="P9" s="606"/>
      <c r="Q9" s="610"/>
      <c r="R9" s="606"/>
      <c r="S9" s="610"/>
      <c r="T9" s="611"/>
    </row>
    <row r="10" spans="1:20" x14ac:dyDescent="0.3">
      <c r="A10" s="605" t="s">
        <v>3882</v>
      </c>
      <c r="B10" s="606">
        <v>24740</v>
      </c>
      <c r="C10" s="607" t="s">
        <v>3869</v>
      </c>
      <c r="D10" s="606">
        <v>8164167</v>
      </c>
      <c r="E10" s="606">
        <v>2204325.0900000003</v>
      </c>
      <c r="F10" s="606">
        <v>10368492.09</v>
      </c>
      <c r="G10" s="608">
        <v>5</v>
      </c>
      <c r="H10" s="605" t="s">
        <v>3883</v>
      </c>
      <c r="I10" s="607" t="s">
        <v>3881</v>
      </c>
      <c r="J10" s="608" t="s">
        <v>3866</v>
      </c>
      <c r="K10" s="609">
        <v>10368492.09</v>
      </c>
      <c r="L10" s="606"/>
      <c r="M10" s="610"/>
      <c r="N10" s="606"/>
      <c r="O10" s="610"/>
      <c r="P10" s="606"/>
      <c r="Q10" s="610"/>
      <c r="R10" s="606"/>
      <c r="S10" s="610"/>
      <c r="T10" s="611"/>
    </row>
    <row r="11" spans="1:20" x14ac:dyDescent="0.3">
      <c r="A11" s="605" t="s">
        <v>3884</v>
      </c>
      <c r="B11" s="606">
        <v>4500</v>
      </c>
      <c r="C11" s="607" t="s">
        <v>3885</v>
      </c>
      <c r="D11" s="606">
        <v>1710000</v>
      </c>
      <c r="E11" s="606">
        <v>461700.00000000006</v>
      </c>
      <c r="F11" s="606">
        <v>2171700</v>
      </c>
      <c r="G11" s="608">
        <v>40</v>
      </c>
      <c r="H11" s="605" t="s">
        <v>3886</v>
      </c>
      <c r="I11" s="607" t="s">
        <v>3866</v>
      </c>
      <c r="J11" s="608" t="s">
        <v>3866</v>
      </c>
      <c r="K11" s="609">
        <v>2171700</v>
      </c>
      <c r="L11" s="606"/>
      <c r="M11" s="610"/>
      <c r="N11" s="606"/>
      <c r="O11" s="610"/>
      <c r="P11" s="606"/>
      <c r="Q11" s="610"/>
      <c r="R11" s="606"/>
      <c r="S11" s="610"/>
      <c r="T11" s="611"/>
    </row>
    <row r="12" spans="1:20" x14ac:dyDescent="0.3">
      <c r="A12" s="605" t="s">
        <v>3887</v>
      </c>
      <c r="B12" s="606">
        <v>33669</v>
      </c>
      <c r="C12" s="607" t="s">
        <v>3869</v>
      </c>
      <c r="D12" s="606">
        <v>11110886</v>
      </c>
      <c r="E12" s="606">
        <v>2999939.22</v>
      </c>
      <c r="F12" s="606">
        <v>14110825.220000001</v>
      </c>
      <c r="G12" s="608">
        <v>35</v>
      </c>
      <c r="H12" s="605"/>
      <c r="I12" s="607" t="s">
        <v>3866</v>
      </c>
      <c r="J12" s="608" t="s">
        <v>3866</v>
      </c>
      <c r="K12" s="609">
        <v>14110825.220000001</v>
      </c>
      <c r="L12" s="606"/>
      <c r="M12" s="610"/>
      <c r="N12" s="606"/>
      <c r="O12" s="610"/>
      <c r="P12" s="606"/>
      <c r="Q12" s="610"/>
      <c r="R12" s="606"/>
      <c r="S12" s="610"/>
      <c r="T12" s="611"/>
    </row>
    <row r="13" spans="1:20" x14ac:dyDescent="0.3">
      <c r="A13" s="605" t="s">
        <v>3888</v>
      </c>
      <c r="B13" s="606">
        <v>3534</v>
      </c>
      <c r="C13" s="607" t="s">
        <v>3869</v>
      </c>
      <c r="D13" s="606">
        <v>1166220</v>
      </c>
      <c r="E13" s="606">
        <v>314879.40000000002</v>
      </c>
      <c r="F13" s="606">
        <v>1481099.4</v>
      </c>
      <c r="G13" s="608">
        <v>5</v>
      </c>
      <c r="H13" s="605"/>
      <c r="I13" s="607" t="s">
        <v>2694</v>
      </c>
      <c r="J13" s="608" t="s">
        <v>2694</v>
      </c>
      <c r="K13" s="609"/>
      <c r="L13" s="606">
        <v>1481099.4</v>
      </c>
      <c r="M13" s="610"/>
      <c r="N13" s="606"/>
      <c r="O13" s="610"/>
      <c r="P13" s="606"/>
      <c r="Q13" s="610"/>
      <c r="R13" s="606"/>
      <c r="S13" s="610"/>
      <c r="T13" s="611"/>
    </row>
    <row r="14" spans="1:20" x14ac:dyDescent="0.3">
      <c r="A14" s="605" t="s">
        <v>3889</v>
      </c>
      <c r="B14" s="606">
        <v>234614</v>
      </c>
      <c r="C14" s="607" t="s">
        <v>3885</v>
      </c>
      <c r="D14" s="606">
        <v>89153320</v>
      </c>
      <c r="E14" s="606">
        <v>24071396.400000002</v>
      </c>
      <c r="F14" s="606">
        <v>113224716.40000001</v>
      </c>
      <c r="G14" s="608">
        <v>50</v>
      </c>
      <c r="H14" s="605" t="s">
        <v>3890</v>
      </c>
      <c r="I14" s="607" t="s">
        <v>3866</v>
      </c>
      <c r="J14" s="608" t="s">
        <v>3866</v>
      </c>
      <c r="K14" s="609">
        <v>113224716.40000001</v>
      </c>
      <c r="L14" s="606"/>
      <c r="M14" s="610"/>
      <c r="N14" s="606"/>
      <c r="O14" s="610"/>
      <c r="P14" s="606"/>
      <c r="Q14" s="610"/>
      <c r="R14" s="606"/>
      <c r="S14" s="610"/>
      <c r="T14" s="611"/>
    </row>
    <row r="15" spans="1:20" x14ac:dyDescent="0.3">
      <c r="A15" s="605" t="s">
        <v>3891</v>
      </c>
      <c r="B15" s="606">
        <v>18605</v>
      </c>
      <c r="C15" s="607" t="s">
        <v>3885</v>
      </c>
      <c r="D15" s="606">
        <v>7069710</v>
      </c>
      <c r="E15" s="606">
        <v>1908821.7000000002</v>
      </c>
      <c r="F15" s="606">
        <v>8978531.6999999993</v>
      </c>
      <c r="G15" s="608">
        <v>25</v>
      </c>
      <c r="H15" s="605"/>
      <c r="I15" s="607" t="s">
        <v>3892</v>
      </c>
      <c r="J15" s="608" t="s">
        <v>3866</v>
      </c>
      <c r="K15" s="609">
        <v>8978531.6999999993</v>
      </c>
      <c r="L15" s="606"/>
      <c r="M15" s="610"/>
      <c r="N15" s="606"/>
      <c r="O15" s="610"/>
      <c r="P15" s="606"/>
      <c r="Q15" s="610"/>
      <c r="R15" s="606"/>
      <c r="S15" s="610"/>
      <c r="T15" s="611"/>
    </row>
    <row r="16" spans="1:20" x14ac:dyDescent="0.3">
      <c r="A16" s="605" t="s">
        <v>3893</v>
      </c>
      <c r="B16" s="606">
        <v>26865</v>
      </c>
      <c r="C16" s="607" t="s">
        <v>3885</v>
      </c>
      <c r="D16" s="606">
        <v>10208719</v>
      </c>
      <c r="E16" s="606">
        <v>2756354.1300000004</v>
      </c>
      <c r="F16" s="606">
        <v>12965073.130000001</v>
      </c>
      <c r="G16" s="608">
        <v>5</v>
      </c>
      <c r="H16" s="605"/>
      <c r="I16" s="607" t="s">
        <v>3892</v>
      </c>
      <c r="J16" s="608" t="s">
        <v>3866</v>
      </c>
      <c r="K16" s="609">
        <v>12965073.130000001</v>
      </c>
      <c r="L16" s="606"/>
      <c r="M16" s="610"/>
      <c r="N16" s="606"/>
      <c r="O16" s="610"/>
      <c r="P16" s="606"/>
      <c r="Q16" s="610"/>
      <c r="R16" s="606"/>
      <c r="S16" s="610"/>
      <c r="T16" s="611"/>
    </row>
    <row r="17" spans="1:20" x14ac:dyDescent="0.3">
      <c r="A17" s="605" t="s">
        <v>3894</v>
      </c>
      <c r="B17" s="606">
        <v>1020</v>
      </c>
      <c r="C17" s="607" t="s">
        <v>3877</v>
      </c>
      <c r="D17" s="606">
        <v>448932</v>
      </c>
      <c r="E17" s="606">
        <v>121211.64000000001</v>
      </c>
      <c r="F17" s="606">
        <v>570143.64</v>
      </c>
      <c r="G17" s="608">
        <v>5</v>
      </c>
      <c r="H17" s="605"/>
      <c r="I17" s="607" t="s">
        <v>3451</v>
      </c>
      <c r="J17" s="608" t="s">
        <v>3451</v>
      </c>
      <c r="K17" s="609"/>
      <c r="L17" s="606"/>
      <c r="M17" s="610"/>
      <c r="N17" s="606"/>
      <c r="O17" s="610">
        <v>570143.64</v>
      </c>
      <c r="P17" s="606"/>
      <c r="Q17" s="610"/>
      <c r="R17" s="606"/>
      <c r="S17" s="610"/>
      <c r="T17" s="611"/>
    </row>
    <row r="18" spans="1:20" x14ac:dyDescent="0.3">
      <c r="A18" s="605" t="s">
        <v>3895</v>
      </c>
      <c r="B18" s="606">
        <v>18789</v>
      </c>
      <c r="C18" s="607" t="s">
        <v>3869</v>
      </c>
      <c r="D18" s="606">
        <v>6200370</v>
      </c>
      <c r="E18" s="606">
        <v>1674099.9000000001</v>
      </c>
      <c r="F18" s="606">
        <v>7874469.9000000004</v>
      </c>
      <c r="G18" s="608">
        <v>40</v>
      </c>
      <c r="H18" s="605" t="s">
        <v>3878</v>
      </c>
      <c r="I18" s="607" t="s">
        <v>3892</v>
      </c>
      <c r="J18" s="608" t="s">
        <v>10</v>
      </c>
      <c r="K18" s="609"/>
      <c r="L18" s="606"/>
      <c r="M18" s="610"/>
      <c r="N18" s="606"/>
      <c r="O18" s="610"/>
      <c r="P18" s="606">
        <v>7874469.9000000004</v>
      </c>
      <c r="Q18" s="610"/>
      <c r="R18" s="606"/>
      <c r="S18" s="610"/>
      <c r="T18" s="611"/>
    </row>
    <row r="19" spans="1:20" x14ac:dyDescent="0.3">
      <c r="A19" s="605" t="s">
        <v>3896</v>
      </c>
      <c r="B19" s="606">
        <v>20032</v>
      </c>
      <c r="C19" s="607" t="s">
        <v>3869</v>
      </c>
      <c r="D19" s="606">
        <v>6610577</v>
      </c>
      <c r="E19" s="606">
        <v>1784855.79</v>
      </c>
      <c r="F19" s="606">
        <v>8395432.790000001</v>
      </c>
      <c r="G19" s="608">
        <v>50</v>
      </c>
      <c r="H19" s="605"/>
      <c r="I19" s="607" t="s">
        <v>3897</v>
      </c>
      <c r="J19" s="608" t="s">
        <v>3897</v>
      </c>
      <c r="K19" s="609"/>
      <c r="L19" s="606"/>
      <c r="M19" s="610"/>
      <c r="N19" s="606">
        <v>7341691.9448124031</v>
      </c>
      <c r="O19" s="610"/>
      <c r="P19" s="606"/>
      <c r="Q19" s="610"/>
      <c r="R19" s="606"/>
      <c r="S19" s="610">
        <v>1053740.8451875967</v>
      </c>
      <c r="T19" s="611"/>
    </row>
    <row r="20" spans="1:20" x14ac:dyDescent="0.3">
      <c r="A20" s="605" t="s">
        <v>3898</v>
      </c>
      <c r="B20" s="606">
        <v>392000</v>
      </c>
      <c r="C20" s="607" t="s">
        <v>3871</v>
      </c>
      <c r="D20" s="606">
        <v>392000</v>
      </c>
      <c r="E20" s="606">
        <v>105840</v>
      </c>
      <c r="F20" s="606">
        <v>497840</v>
      </c>
      <c r="G20" s="608">
        <v>20</v>
      </c>
      <c r="H20" s="612"/>
      <c r="I20" s="607" t="s">
        <v>3866</v>
      </c>
      <c r="J20" s="608" t="s">
        <v>3866</v>
      </c>
      <c r="K20" s="609">
        <v>497840</v>
      </c>
      <c r="L20" s="606"/>
      <c r="M20" s="610"/>
      <c r="N20" s="606"/>
      <c r="O20" s="610"/>
      <c r="P20" s="606"/>
      <c r="Q20" s="610"/>
      <c r="R20" s="606"/>
      <c r="S20" s="610"/>
      <c r="T20" s="611"/>
    </row>
    <row r="21" spans="1:20" x14ac:dyDescent="0.3">
      <c r="A21" s="605" t="s">
        <v>3899</v>
      </c>
      <c r="B21" s="606">
        <v>1700500</v>
      </c>
      <c r="C21" s="607" t="s">
        <v>3871</v>
      </c>
      <c r="D21" s="606">
        <v>1700500</v>
      </c>
      <c r="E21" s="606">
        <v>459135.00000000006</v>
      </c>
      <c r="F21" s="606">
        <v>2159635</v>
      </c>
      <c r="G21" s="608">
        <v>0.3</v>
      </c>
      <c r="H21" s="605"/>
      <c r="I21" s="607" t="s">
        <v>3866</v>
      </c>
      <c r="J21" s="608" t="s">
        <v>3866</v>
      </c>
      <c r="K21" s="609">
        <v>2159635</v>
      </c>
      <c r="L21" s="606"/>
      <c r="M21" s="610"/>
      <c r="N21" s="606"/>
      <c r="O21" s="610"/>
      <c r="P21" s="606"/>
      <c r="Q21" s="610"/>
      <c r="R21" s="606"/>
      <c r="S21" s="610"/>
      <c r="T21" s="611"/>
    </row>
    <row r="22" spans="1:20" x14ac:dyDescent="0.3">
      <c r="A22" s="605" t="s">
        <v>3900</v>
      </c>
      <c r="B22" s="606">
        <v>13571</v>
      </c>
      <c r="C22" s="607" t="s">
        <v>3869</v>
      </c>
      <c r="D22" s="606">
        <v>4478348</v>
      </c>
      <c r="E22" s="606">
        <v>1209153.9600000002</v>
      </c>
      <c r="F22" s="606">
        <v>5687501.96</v>
      </c>
      <c r="G22" s="608">
        <v>5</v>
      </c>
      <c r="H22" s="605"/>
      <c r="I22" s="607" t="s">
        <v>9</v>
      </c>
      <c r="J22" s="608" t="s">
        <v>9</v>
      </c>
      <c r="K22" s="609"/>
      <c r="L22" s="606"/>
      <c r="M22" s="610"/>
      <c r="N22" s="606"/>
      <c r="O22" s="610"/>
      <c r="P22" s="606"/>
      <c r="Q22" s="610"/>
      <c r="R22" s="606"/>
      <c r="S22" s="610"/>
      <c r="T22" s="611">
        <v>5687501.96</v>
      </c>
    </row>
    <row r="23" spans="1:20" x14ac:dyDescent="0.3">
      <c r="A23" s="605" t="s">
        <v>3901</v>
      </c>
      <c r="B23" s="606">
        <v>4843</v>
      </c>
      <c r="C23" s="607" t="s">
        <v>3885</v>
      </c>
      <c r="D23" s="606">
        <v>1840188</v>
      </c>
      <c r="E23" s="606">
        <v>496850.76</v>
      </c>
      <c r="F23" s="606">
        <v>2337038.7600000002</v>
      </c>
      <c r="G23" s="608">
        <v>40</v>
      </c>
      <c r="H23" s="605"/>
      <c r="I23" s="607" t="s">
        <v>3892</v>
      </c>
      <c r="J23" s="608" t="s">
        <v>6</v>
      </c>
      <c r="K23" s="609"/>
      <c r="L23" s="606"/>
      <c r="M23" s="610"/>
      <c r="N23" s="606">
        <v>2337038.7600000002</v>
      </c>
      <c r="O23" s="610"/>
      <c r="P23" s="606"/>
      <c r="Q23" s="610"/>
      <c r="R23" s="606"/>
      <c r="S23" s="610"/>
      <c r="T23" s="611"/>
    </row>
    <row r="24" spans="1:20" x14ac:dyDescent="0.3">
      <c r="A24" s="605" t="s">
        <v>3902</v>
      </c>
      <c r="B24" s="606">
        <v>5003</v>
      </c>
      <c r="C24" s="607" t="s">
        <v>3885</v>
      </c>
      <c r="D24" s="606">
        <v>1901292</v>
      </c>
      <c r="E24" s="606">
        <v>513348.84</v>
      </c>
      <c r="F24" s="606">
        <v>2414640.84</v>
      </c>
      <c r="G24" s="608">
        <v>40</v>
      </c>
      <c r="H24" s="605"/>
      <c r="I24" s="607" t="s">
        <v>3892</v>
      </c>
      <c r="J24" s="608" t="s">
        <v>8</v>
      </c>
      <c r="K24" s="609"/>
      <c r="L24" s="606"/>
      <c r="M24" s="610"/>
      <c r="N24" s="606"/>
      <c r="O24" s="610"/>
      <c r="P24" s="606"/>
      <c r="Q24" s="610"/>
      <c r="R24" s="606"/>
      <c r="S24" s="610">
        <v>2414640.84</v>
      </c>
      <c r="T24" s="611"/>
    </row>
    <row r="25" spans="1:20" x14ac:dyDescent="0.3">
      <c r="A25" s="605" t="s">
        <v>3903</v>
      </c>
      <c r="B25" s="606">
        <v>20445</v>
      </c>
      <c r="C25" s="607" t="s">
        <v>3877</v>
      </c>
      <c r="D25" s="606">
        <v>8995778</v>
      </c>
      <c r="E25" s="606">
        <v>2428860.06</v>
      </c>
      <c r="F25" s="606">
        <v>11424638.060000001</v>
      </c>
      <c r="G25" s="608">
        <v>5</v>
      </c>
      <c r="H25" s="605"/>
      <c r="I25" s="607" t="s">
        <v>3866</v>
      </c>
      <c r="J25" s="608" t="s">
        <v>3866</v>
      </c>
      <c r="K25" s="609">
        <v>11424638.060000001</v>
      </c>
      <c r="L25" s="606"/>
      <c r="M25" s="610"/>
      <c r="N25" s="606"/>
      <c r="O25" s="610"/>
      <c r="P25" s="606"/>
      <c r="Q25" s="610"/>
      <c r="R25" s="606"/>
      <c r="S25" s="610"/>
      <c r="T25" s="611"/>
    </row>
    <row r="26" spans="1:20" x14ac:dyDescent="0.3">
      <c r="A26" s="605" t="s">
        <v>3904</v>
      </c>
      <c r="B26" s="606">
        <v>52811</v>
      </c>
      <c r="C26" s="607" t="s">
        <v>3869</v>
      </c>
      <c r="D26" s="606">
        <v>17427465</v>
      </c>
      <c r="E26" s="606">
        <v>4705415.5500000007</v>
      </c>
      <c r="F26" s="606">
        <v>22132880.550000001</v>
      </c>
      <c r="G26" s="608">
        <v>5</v>
      </c>
      <c r="H26" s="605"/>
      <c r="I26" s="607" t="s">
        <v>9</v>
      </c>
      <c r="J26" s="608" t="s">
        <v>9</v>
      </c>
      <c r="K26" s="609"/>
      <c r="L26" s="606"/>
      <c r="M26" s="610"/>
      <c r="N26" s="606"/>
      <c r="O26" s="610"/>
      <c r="P26" s="606"/>
      <c r="Q26" s="610"/>
      <c r="R26" s="606"/>
      <c r="S26" s="610"/>
      <c r="T26" s="611">
        <v>22132880.550000001</v>
      </c>
    </row>
    <row r="27" spans="1:20" x14ac:dyDescent="0.3">
      <c r="A27" s="605" t="s">
        <v>3905</v>
      </c>
      <c r="B27" s="606">
        <v>149789</v>
      </c>
      <c r="C27" s="607" t="s">
        <v>3885</v>
      </c>
      <c r="D27" s="606">
        <v>56919881</v>
      </c>
      <c r="E27" s="606">
        <v>15368367.870000001</v>
      </c>
      <c r="F27" s="606">
        <v>72288248.870000005</v>
      </c>
      <c r="G27" s="608">
        <v>45</v>
      </c>
      <c r="H27" s="605" t="s">
        <v>3906</v>
      </c>
      <c r="I27" s="607" t="s">
        <v>3907</v>
      </c>
      <c r="J27" s="608" t="s">
        <v>3908</v>
      </c>
      <c r="K27" s="609">
        <v>36144124.435000002</v>
      </c>
      <c r="L27" s="606"/>
      <c r="M27" s="610">
        <v>1384827.8654958</v>
      </c>
      <c r="N27" s="606"/>
      <c r="O27" s="610">
        <v>736343.51760501752</v>
      </c>
      <c r="P27" s="606">
        <v>4268700.5171159059</v>
      </c>
      <c r="Q27" s="610">
        <v>8575369.5836123172</v>
      </c>
      <c r="R27" s="606"/>
      <c r="S27" s="610">
        <v>2878852.1276364354</v>
      </c>
      <c r="T27" s="611">
        <v>18300030.823534526</v>
      </c>
    </row>
    <row r="28" spans="1:20" x14ac:dyDescent="0.3">
      <c r="A28" s="605" t="s">
        <v>3909</v>
      </c>
      <c r="B28" s="606">
        <v>680000</v>
      </c>
      <c r="C28" s="607" t="s">
        <v>3871</v>
      </c>
      <c r="D28" s="606">
        <v>680000</v>
      </c>
      <c r="E28" s="606">
        <v>183600</v>
      </c>
      <c r="F28" s="606">
        <v>863600</v>
      </c>
      <c r="G28" s="608">
        <v>15</v>
      </c>
      <c r="H28" s="605"/>
      <c r="I28" s="607" t="s">
        <v>3866</v>
      </c>
      <c r="J28" s="608" t="s">
        <v>3866</v>
      </c>
      <c r="K28" s="609">
        <v>863600</v>
      </c>
      <c r="L28" s="606"/>
      <c r="M28" s="610"/>
      <c r="N28" s="606"/>
      <c r="O28" s="610"/>
      <c r="P28" s="606"/>
      <c r="Q28" s="610"/>
      <c r="R28" s="606"/>
      <c r="S28" s="610"/>
      <c r="T28" s="611"/>
    </row>
    <row r="29" spans="1:20" x14ac:dyDescent="0.3">
      <c r="A29" s="605" t="s">
        <v>3910</v>
      </c>
      <c r="B29" s="606">
        <v>1020000</v>
      </c>
      <c r="C29" s="607" t="s">
        <v>3871</v>
      </c>
      <c r="D29" s="606">
        <v>1020000</v>
      </c>
      <c r="E29" s="606">
        <v>275400</v>
      </c>
      <c r="F29" s="606">
        <v>1295400</v>
      </c>
      <c r="G29" s="608">
        <v>15</v>
      </c>
      <c r="H29" s="605"/>
      <c r="I29" s="607" t="s">
        <v>3866</v>
      </c>
      <c r="J29" s="608" t="s">
        <v>3866</v>
      </c>
      <c r="K29" s="609">
        <v>1295400</v>
      </c>
      <c r="L29" s="606"/>
      <c r="M29" s="610"/>
      <c r="N29" s="606"/>
      <c r="O29" s="610"/>
      <c r="P29" s="606"/>
      <c r="Q29" s="610"/>
      <c r="R29" s="606"/>
      <c r="S29" s="610"/>
      <c r="T29" s="611"/>
    </row>
    <row r="30" spans="1:20" x14ac:dyDescent="0.3">
      <c r="A30" s="605" t="s">
        <v>3911</v>
      </c>
      <c r="B30" s="606">
        <v>850000</v>
      </c>
      <c r="C30" s="607" t="s">
        <v>3871</v>
      </c>
      <c r="D30" s="606">
        <v>850000</v>
      </c>
      <c r="E30" s="606">
        <v>229500.00000000003</v>
      </c>
      <c r="F30" s="606">
        <v>1079500</v>
      </c>
      <c r="G30" s="608">
        <v>15</v>
      </c>
      <c r="H30" s="605"/>
      <c r="I30" s="607" t="s">
        <v>6</v>
      </c>
      <c r="J30" s="608" t="s">
        <v>3866</v>
      </c>
      <c r="K30" s="609">
        <v>1079500</v>
      </c>
      <c r="L30" s="606"/>
      <c r="M30" s="610"/>
      <c r="N30" s="606"/>
      <c r="O30" s="610"/>
      <c r="P30" s="606"/>
      <c r="Q30" s="610"/>
      <c r="R30" s="606"/>
      <c r="S30" s="610"/>
      <c r="T30" s="611"/>
    </row>
    <row r="31" spans="1:20" x14ac:dyDescent="0.3">
      <c r="A31" s="605" t="s">
        <v>3912</v>
      </c>
      <c r="B31" s="606">
        <v>850000</v>
      </c>
      <c r="C31" s="607" t="s">
        <v>3871</v>
      </c>
      <c r="D31" s="606">
        <v>850000</v>
      </c>
      <c r="E31" s="606">
        <v>229500.00000000003</v>
      </c>
      <c r="F31" s="606">
        <v>1079500</v>
      </c>
      <c r="G31" s="608">
        <v>15</v>
      </c>
      <c r="H31" s="605"/>
      <c r="I31" s="607" t="s">
        <v>3866</v>
      </c>
      <c r="J31" s="608" t="s">
        <v>3866</v>
      </c>
      <c r="K31" s="609">
        <v>1079500</v>
      </c>
      <c r="L31" s="606"/>
      <c r="M31" s="610"/>
      <c r="N31" s="606"/>
      <c r="O31" s="610"/>
      <c r="P31" s="606"/>
      <c r="Q31" s="610"/>
      <c r="R31" s="606"/>
      <c r="S31" s="610"/>
      <c r="T31" s="611"/>
    </row>
    <row r="32" spans="1:20" x14ac:dyDescent="0.3">
      <c r="A32" s="605" t="s">
        <v>3913</v>
      </c>
      <c r="B32" s="606">
        <v>510000</v>
      </c>
      <c r="C32" s="607" t="s">
        <v>3871</v>
      </c>
      <c r="D32" s="606">
        <v>510000</v>
      </c>
      <c r="E32" s="606">
        <v>137700</v>
      </c>
      <c r="F32" s="606">
        <v>647700</v>
      </c>
      <c r="G32" s="608">
        <v>15</v>
      </c>
      <c r="H32" s="605"/>
      <c r="I32" s="607" t="s">
        <v>3866</v>
      </c>
      <c r="J32" s="608" t="s">
        <v>3866</v>
      </c>
      <c r="K32" s="609">
        <v>647700</v>
      </c>
      <c r="L32" s="606"/>
      <c r="M32" s="610"/>
      <c r="N32" s="606"/>
      <c r="O32" s="610"/>
      <c r="P32" s="606"/>
      <c r="Q32" s="610"/>
      <c r="R32" s="606"/>
      <c r="S32" s="610"/>
      <c r="T32" s="611"/>
    </row>
    <row r="33" spans="1:20" x14ac:dyDescent="0.3">
      <c r="A33" s="605" t="s">
        <v>3914</v>
      </c>
      <c r="B33" s="606">
        <v>850000</v>
      </c>
      <c r="C33" s="607" t="s">
        <v>3871</v>
      </c>
      <c r="D33" s="606">
        <v>850000</v>
      </c>
      <c r="E33" s="606">
        <v>229500.00000000003</v>
      </c>
      <c r="F33" s="606">
        <v>1079500</v>
      </c>
      <c r="G33" s="608">
        <v>15</v>
      </c>
      <c r="H33" s="605"/>
      <c r="I33" s="607" t="s">
        <v>3866</v>
      </c>
      <c r="J33" s="608" t="s">
        <v>3866</v>
      </c>
      <c r="K33" s="609">
        <v>1079500</v>
      </c>
      <c r="L33" s="606"/>
      <c r="M33" s="610"/>
      <c r="N33" s="606"/>
      <c r="O33" s="610"/>
      <c r="P33" s="606"/>
      <c r="Q33" s="610"/>
      <c r="R33" s="606"/>
      <c r="S33" s="610"/>
      <c r="T33" s="611"/>
    </row>
    <row r="34" spans="1:20" x14ac:dyDescent="0.3">
      <c r="A34" s="605" t="s">
        <v>3915</v>
      </c>
      <c r="B34" s="606">
        <v>510000</v>
      </c>
      <c r="C34" s="607" t="s">
        <v>3871</v>
      </c>
      <c r="D34" s="606">
        <v>510000</v>
      </c>
      <c r="E34" s="606">
        <v>137700</v>
      </c>
      <c r="F34" s="606">
        <v>647700</v>
      </c>
      <c r="G34" s="608">
        <v>15</v>
      </c>
      <c r="H34" s="605"/>
      <c r="I34" s="607" t="s">
        <v>3866</v>
      </c>
      <c r="J34" s="608" t="s">
        <v>3866</v>
      </c>
      <c r="K34" s="609">
        <v>647700</v>
      </c>
      <c r="L34" s="606"/>
      <c r="M34" s="610"/>
      <c r="N34" s="606"/>
      <c r="O34" s="610"/>
      <c r="P34" s="606"/>
      <c r="Q34" s="610"/>
      <c r="R34" s="606"/>
      <c r="S34" s="610"/>
      <c r="T34" s="611"/>
    </row>
    <row r="35" spans="1:20" x14ac:dyDescent="0.3">
      <c r="A35" s="605" t="s">
        <v>3916</v>
      </c>
      <c r="B35" s="606">
        <v>850000</v>
      </c>
      <c r="C35" s="607" t="s">
        <v>3871</v>
      </c>
      <c r="D35" s="606">
        <v>850000</v>
      </c>
      <c r="E35" s="606">
        <v>229500.00000000003</v>
      </c>
      <c r="F35" s="606">
        <v>1079500</v>
      </c>
      <c r="G35" s="608">
        <v>15</v>
      </c>
      <c r="H35" s="605"/>
      <c r="I35" s="607" t="s">
        <v>3866</v>
      </c>
      <c r="J35" s="608" t="s">
        <v>3866</v>
      </c>
      <c r="K35" s="609">
        <v>1079500</v>
      </c>
      <c r="L35" s="606"/>
      <c r="M35" s="610"/>
      <c r="N35" s="606"/>
      <c r="O35" s="610"/>
      <c r="P35" s="606"/>
      <c r="Q35" s="610"/>
      <c r="R35" s="606"/>
      <c r="S35" s="610"/>
      <c r="T35" s="611"/>
    </row>
    <row r="36" spans="1:20" x14ac:dyDescent="0.3">
      <c r="A36" s="605" t="s">
        <v>3917</v>
      </c>
      <c r="B36" s="606">
        <v>680000</v>
      </c>
      <c r="C36" s="607" t="s">
        <v>3871</v>
      </c>
      <c r="D36" s="606">
        <v>680000</v>
      </c>
      <c r="E36" s="606">
        <v>183600</v>
      </c>
      <c r="F36" s="606">
        <v>863600</v>
      </c>
      <c r="G36" s="608">
        <v>15</v>
      </c>
      <c r="H36" s="605"/>
      <c r="I36" s="607" t="s">
        <v>3866</v>
      </c>
      <c r="J36" s="608" t="s">
        <v>3866</v>
      </c>
      <c r="K36" s="609">
        <v>863600</v>
      </c>
      <c r="L36" s="606"/>
      <c r="M36" s="610"/>
      <c r="N36" s="606"/>
      <c r="O36" s="610"/>
      <c r="P36" s="606"/>
      <c r="Q36" s="610"/>
      <c r="R36" s="606"/>
      <c r="S36" s="610"/>
      <c r="T36" s="611"/>
    </row>
    <row r="37" spans="1:20" x14ac:dyDescent="0.3">
      <c r="A37" s="605" t="s">
        <v>3918</v>
      </c>
      <c r="B37" s="606">
        <v>765000</v>
      </c>
      <c r="C37" s="607" t="s">
        <v>3871</v>
      </c>
      <c r="D37" s="606">
        <v>765000</v>
      </c>
      <c r="E37" s="606">
        <v>206550</v>
      </c>
      <c r="F37" s="606">
        <v>971550</v>
      </c>
      <c r="G37" s="608">
        <v>15</v>
      </c>
      <c r="H37" s="605"/>
      <c r="I37" s="607" t="s">
        <v>3866</v>
      </c>
      <c r="J37" s="608" t="s">
        <v>3866</v>
      </c>
      <c r="K37" s="609">
        <v>971550</v>
      </c>
      <c r="L37" s="606"/>
      <c r="M37" s="610"/>
      <c r="N37" s="606"/>
      <c r="O37" s="610"/>
      <c r="P37" s="606"/>
      <c r="Q37" s="610"/>
      <c r="R37" s="606"/>
      <c r="S37" s="610"/>
      <c r="T37" s="611"/>
    </row>
    <row r="38" spans="1:20" x14ac:dyDescent="0.3">
      <c r="A38" s="605" t="s">
        <v>3919</v>
      </c>
      <c r="B38" s="606">
        <v>2040000</v>
      </c>
      <c r="C38" s="607" t="s">
        <v>3871</v>
      </c>
      <c r="D38" s="606">
        <v>2040000</v>
      </c>
      <c r="E38" s="606">
        <v>550800</v>
      </c>
      <c r="F38" s="606">
        <v>2590800</v>
      </c>
      <c r="G38" s="608">
        <v>15</v>
      </c>
      <c r="H38" s="605"/>
      <c r="I38" s="607" t="s">
        <v>3866</v>
      </c>
      <c r="J38" s="608" t="s">
        <v>3866</v>
      </c>
      <c r="K38" s="609">
        <v>2590800</v>
      </c>
      <c r="L38" s="606"/>
      <c r="M38" s="610"/>
      <c r="N38" s="606"/>
      <c r="O38" s="610"/>
      <c r="P38" s="606"/>
      <c r="Q38" s="610"/>
      <c r="R38" s="606"/>
      <c r="S38" s="610"/>
      <c r="T38" s="611"/>
    </row>
    <row r="39" spans="1:20" x14ac:dyDescent="0.3">
      <c r="A39" s="605" t="s">
        <v>3920</v>
      </c>
      <c r="B39" s="606">
        <v>637500</v>
      </c>
      <c r="C39" s="607" t="s">
        <v>3871</v>
      </c>
      <c r="D39" s="606">
        <v>637500</v>
      </c>
      <c r="E39" s="606">
        <v>172125</v>
      </c>
      <c r="F39" s="606">
        <v>809625</v>
      </c>
      <c r="G39" s="608">
        <v>15</v>
      </c>
      <c r="H39" s="605"/>
      <c r="I39" s="607" t="s">
        <v>3866</v>
      </c>
      <c r="J39" s="608" t="s">
        <v>3866</v>
      </c>
      <c r="K39" s="609">
        <v>809625</v>
      </c>
      <c r="L39" s="606"/>
      <c r="M39" s="610"/>
      <c r="N39" s="606"/>
      <c r="O39" s="610"/>
      <c r="P39" s="606"/>
      <c r="Q39" s="610"/>
      <c r="R39" s="606"/>
      <c r="S39" s="610"/>
      <c r="T39" s="611"/>
    </row>
    <row r="40" spans="1:20" x14ac:dyDescent="0.3">
      <c r="A40" s="605" t="s">
        <v>3921</v>
      </c>
      <c r="B40" s="606">
        <v>1020000</v>
      </c>
      <c r="C40" s="607" t="s">
        <v>3871</v>
      </c>
      <c r="D40" s="606">
        <v>1020000</v>
      </c>
      <c r="E40" s="606">
        <v>275400</v>
      </c>
      <c r="F40" s="606">
        <v>1295400</v>
      </c>
      <c r="G40" s="608">
        <v>15</v>
      </c>
      <c r="H40" s="605"/>
      <c r="I40" s="607" t="s">
        <v>3866</v>
      </c>
      <c r="J40" s="608" t="s">
        <v>3866</v>
      </c>
      <c r="K40" s="609">
        <v>1295400</v>
      </c>
      <c r="L40" s="606"/>
      <c r="M40" s="610"/>
      <c r="N40" s="606"/>
      <c r="O40" s="610"/>
      <c r="P40" s="606"/>
      <c r="Q40" s="610"/>
      <c r="R40" s="606"/>
      <c r="S40" s="610"/>
      <c r="T40" s="611"/>
    </row>
    <row r="41" spans="1:20" x14ac:dyDescent="0.3">
      <c r="A41" s="605" t="s">
        <v>3922</v>
      </c>
      <c r="B41" s="606">
        <v>680000</v>
      </c>
      <c r="C41" s="607" t="s">
        <v>3871</v>
      </c>
      <c r="D41" s="606">
        <v>680000</v>
      </c>
      <c r="E41" s="606">
        <v>183600</v>
      </c>
      <c r="F41" s="606">
        <v>863600</v>
      </c>
      <c r="G41" s="608">
        <v>15</v>
      </c>
      <c r="H41" s="605"/>
      <c r="I41" s="607" t="s">
        <v>3866</v>
      </c>
      <c r="J41" s="608" t="s">
        <v>3866</v>
      </c>
      <c r="K41" s="609">
        <v>863600</v>
      </c>
      <c r="L41" s="606"/>
      <c r="M41" s="610"/>
      <c r="N41" s="606"/>
      <c r="O41" s="610"/>
      <c r="P41" s="606"/>
      <c r="Q41" s="610"/>
      <c r="R41" s="606"/>
      <c r="S41" s="610"/>
      <c r="T41" s="611"/>
    </row>
    <row r="42" spans="1:20" x14ac:dyDescent="0.3">
      <c r="A42" s="605" t="s">
        <v>3923</v>
      </c>
      <c r="B42" s="606">
        <v>630000</v>
      </c>
      <c r="C42" s="607" t="s">
        <v>3871</v>
      </c>
      <c r="D42" s="606">
        <v>630000</v>
      </c>
      <c r="E42" s="606">
        <v>170100</v>
      </c>
      <c r="F42" s="606">
        <v>800100</v>
      </c>
      <c r="G42" s="608">
        <v>30</v>
      </c>
      <c r="H42" s="605"/>
      <c r="I42" s="607" t="s">
        <v>3866</v>
      </c>
      <c r="J42" s="608" t="s">
        <v>3866</v>
      </c>
      <c r="K42" s="609">
        <v>800100</v>
      </c>
      <c r="L42" s="606"/>
      <c r="M42" s="610"/>
      <c r="N42" s="606"/>
      <c r="O42" s="610"/>
      <c r="P42" s="606"/>
      <c r="Q42" s="610"/>
      <c r="R42" s="606"/>
      <c r="S42" s="610"/>
      <c r="T42" s="611"/>
    </row>
    <row r="43" spans="1:20" ht="16.2" thickBot="1" x14ac:dyDescent="0.35">
      <c r="A43" s="613" t="s">
        <v>3924</v>
      </c>
      <c r="B43" s="614">
        <v>67009</v>
      </c>
      <c r="C43" s="615" t="s">
        <v>3885</v>
      </c>
      <c r="D43" s="614">
        <v>25463599</v>
      </c>
      <c r="E43" s="614">
        <v>6875171.7300000004</v>
      </c>
      <c r="F43" s="614">
        <v>32338770.73</v>
      </c>
      <c r="G43" s="616">
        <v>50</v>
      </c>
      <c r="H43" s="617" t="s">
        <v>3925</v>
      </c>
      <c r="I43" s="618" t="s">
        <v>3866</v>
      </c>
      <c r="J43" s="619" t="s">
        <v>3866</v>
      </c>
      <c r="K43" s="620">
        <v>32338770.73</v>
      </c>
      <c r="L43" s="621"/>
      <c r="M43" s="622"/>
      <c r="N43" s="621"/>
      <c r="O43" s="622"/>
      <c r="P43" s="621"/>
      <c r="Q43" s="622"/>
      <c r="R43" s="621"/>
      <c r="S43" s="622"/>
      <c r="T43" s="623"/>
    </row>
    <row r="44" spans="1:20" ht="16.2" thickBot="1" x14ac:dyDescent="0.35">
      <c r="H44" s="1214" t="s">
        <v>3926</v>
      </c>
      <c r="I44" s="1215"/>
      <c r="J44" s="624">
        <v>292811233.65499997</v>
      </c>
      <c r="K44" s="625">
        <v>292811233.65500003</v>
      </c>
      <c r="L44" s="626">
        <v>1481099.4</v>
      </c>
      <c r="M44" s="627">
        <v>1384827.8654958</v>
      </c>
      <c r="N44" s="626">
        <v>9678730.7048124038</v>
      </c>
      <c r="O44" s="627">
        <v>1306487.1576050175</v>
      </c>
      <c r="P44" s="626">
        <v>17455274.347115904</v>
      </c>
      <c r="Q44" s="627">
        <v>8575369.5836123172</v>
      </c>
      <c r="R44" s="626">
        <v>0</v>
      </c>
      <c r="S44" s="627">
        <v>6347233.8128240323</v>
      </c>
      <c r="T44" s="628">
        <v>46120413.333534524</v>
      </c>
    </row>
    <row r="45" spans="1:20" x14ac:dyDescent="0.3">
      <c r="H45" s="1216" t="s">
        <v>3927</v>
      </c>
      <c r="I45" s="1217"/>
      <c r="J45" s="629">
        <v>208000000</v>
      </c>
    </row>
    <row r="46" spans="1:20" ht="16.2" thickBot="1" x14ac:dyDescent="0.35">
      <c r="H46" s="1218" t="s">
        <v>3928</v>
      </c>
      <c r="I46" s="1219"/>
      <c r="J46" s="630">
        <v>84811233.654999971</v>
      </c>
    </row>
    <row r="47" spans="1:20" ht="16.2" thickBot="1" x14ac:dyDescent="0.35">
      <c r="H47" s="1220" t="s">
        <v>3929</v>
      </c>
      <c r="I47" s="1221"/>
      <c r="J47" s="629">
        <v>92349436.204999998</v>
      </c>
      <c r="L47" s="601" t="s">
        <v>3866</v>
      </c>
      <c r="M47" s="631">
        <f>-K44</f>
        <v>-292811233.65500003</v>
      </c>
    </row>
    <row r="48" spans="1:20" ht="18.600000000000001" thickBot="1" x14ac:dyDescent="0.4">
      <c r="H48" s="1207" t="s">
        <v>3930</v>
      </c>
      <c r="I48" s="1208"/>
      <c r="J48" s="632">
        <v>303276118</v>
      </c>
      <c r="L48" s="603" t="s">
        <v>3867</v>
      </c>
      <c r="M48" s="633">
        <f>-L44</f>
        <v>-1481099.4</v>
      </c>
    </row>
    <row r="49" spans="12:15" ht="16.2" thickBot="1" x14ac:dyDescent="0.35">
      <c r="L49" s="603" t="s">
        <v>11</v>
      </c>
      <c r="M49" s="633">
        <f>-M44</f>
        <v>-1384827.8654958</v>
      </c>
    </row>
    <row r="50" spans="12:15" ht="16.2" thickBot="1" x14ac:dyDescent="0.35">
      <c r="L50" s="603" t="s">
        <v>6</v>
      </c>
      <c r="M50" s="633">
        <f>-N44</f>
        <v>-9678730.7048124038</v>
      </c>
    </row>
    <row r="51" spans="12:15" ht="16.2" thickBot="1" x14ac:dyDescent="0.35">
      <c r="L51" s="603" t="s">
        <v>3451</v>
      </c>
      <c r="M51" s="633">
        <f>-O44</f>
        <v>-1306487.1576050175</v>
      </c>
    </row>
    <row r="52" spans="12:15" ht="16.2" thickBot="1" x14ac:dyDescent="0.35">
      <c r="L52" s="603" t="s">
        <v>10</v>
      </c>
      <c r="M52" s="633">
        <f>-P44</f>
        <v>-17455274.347115904</v>
      </c>
    </row>
    <row r="53" spans="12:15" ht="16.2" thickBot="1" x14ac:dyDescent="0.35">
      <c r="L53" s="603" t="s">
        <v>7</v>
      </c>
      <c r="M53" s="633">
        <f>-Q44</f>
        <v>-8575369.5836123172</v>
      </c>
    </row>
    <row r="54" spans="12:15" ht="16.2" thickBot="1" x14ac:dyDescent="0.35">
      <c r="L54" s="603" t="s">
        <v>12</v>
      </c>
      <c r="M54" s="633">
        <f>-R44</f>
        <v>0</v>
      </c>
      <c r="N54" s="600" t="s">
        <v>3931</v>
      </c>
    </row>
    <row r="55" spans="12:15" ht="16.2" thickBot="1" x14ac:dyDescent="0.35">
      <c r="L55" s="603" t="s">
        <v>2695</v>
      </c>
      <c r="M55" s="633">
        <f>-S44</f>
        <v>-6347233.8128240323</v>
      </c>
      <c r="N55" s="634">
        <v>-6347234</v>
      </c>
      <c r="O55" s="635">
        <f>N55-M55</f>
        <v>-0.18717596773058176</v>
      </c>
    </row>
    <row r="56" spans="12:15" x14ac:dyDescent="0.3">
      <c r="L56" s="604" t="s">
        <v>9</v>
      </c>
      <c r="M56" s="636">
        <f>-T44</f>
        <v>-46120413.333534524</v>
      </c>
    </row>
    <row r="57" spans="12:15" x14ac:dyDescent="0.3">
      <c r="M57" s="637">
        <f>SUM(M48:M56)</f>
        <v>-92349436.204999998</v>
      </c>
    </row>
    <row r="58" spans="12:15" x14ac:dyDescent="0.3">
      <c r="L58" s="600" t="s">
        <v>3932</v>
      </c>
      <c r="M58" s="634">
        <v>-92439436</v>
      </c>
    </row>
    <row r="59" spans="12:15" x14ac:dyDescent="0.3">
      <c r="M59" s="637">
        <f>M58-M57</f>
        <v>-89999.795000001788</v>
      </c>
    </row>
  </sheetData>
  <mergeCells count="8">
    <mergeCell ref="H48:I48"/>
    <mergeCell ref="A1:G1"/>
    <mergeCell ref="H1:J1"/>
    <mergeCell ref="K1:T1"/>
    <mergeCell ref="H44:I44"/>
    <mergeCell ref="H45:I45"/>
    <mergeCell ref="H46:I46"/>
    <mergeCell ref="H47:I47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1"/>
  <sheetViews>
    <sheetView topLeftCell="A16" workbookViewId="0">
      <selection activeCell="K22" sqref="K22"/>
    </sheetView>
  </sheetViews>
  <sheetFormatPr defaultRowHeight="15.6" x14ac:dyDescent="0.3"/>
  <cols>
    <col min="1" max="1" width="10.109375" customWidth="1"/>
    <col min="2" max="2" width="9.6640625" customWidth="1"/>
    <col min="3" max="3" width="14.109375" customWidth="1"/>
    <col min="4" max="4" width="10.77734375" bestFit="1" customWidth="1"/>
    <col min="5" max="5" width="16" bestFit="1" customWidth="1"/>
    <col min="6" max="6" width="16.109375" bestFit="1" customWidth="1"/>
    <col min="7" max="7" width="17.33203125" bestFit="1" customWidth="1"/>
    <col min="8" max="8" width="17.88671875" bestFit="1" customWidth="1"/>
    <col min="9" max="9" width="14.33203125" customWidth="1"/>
    <col min="10" max="10" width="13.6640625" customWidth="1"/>
    <col min="11" max="11" width="21.21875" customWidth="1"/>
    <col min="12" max="12" width="12.88671875" bestFit="1" customWidth="1"/>
  </cols>
  <sheetData>
    <row r="1" spans="1:11" ht="21" x14ac:dyDescent="0.4">
      <c r="A1" s="18" t="s">
        <v>3933</v>
      </c>
    </row>
    <row r="3" spans="1:11" x14ac:dyDescent="0.3">
      <c r="A3" s="89">
        <v>1700000000</v>
      </c>
      <c r="B3" s="1222" t="s">
        <v>3934</v>
      </c>
      <c r="C3" s="1223"/>
      <c r="D3" s="1223"/>
      <c r="E3" s="1223"/>
      <c r="F3" s="1223"/>
      <c r="G3" s="1223"/>
      <c r="H3" s="1224"/>
    </row>
    <row r="4" spans="1:11" ht="28.8" x14ac:dyDescent="0.3">
      <c r="B4" s="19" t="s">
        <v>772</v>
      </c>
      <c r="C4" s="19" t="s">
        <v>2684</v>
      </c>
      <c r="D4" s="19" t="s">
        <v>2685</v>
      </c>
      <c r="E4" s="19" t="s">
        <v>2686</v>
      </c>
      <c r="F4" s="19" t="s">
        <v>2687</v>
      </c>
      <c r="G4" s="19" t="s">
        <v>2688</v>
      </c>
      <c r="H4" s="19" t="s">
        <v>2689</v>
      </c>
      <c r="I4" s="19" t="s">
        <v>3935</v>
      </c>
    </row>
    <row r="5" spans="1:11" x14ac:dyDescent="0.3">
      <c r="A5" s="16" t="s">
        <v>2691</v>
      </c>
      <c r="B5" s="83" t="s">
        <v>6</v>
      </c>
      <c r="C5" s="84">
        <v>0.18073034243398439</v>
      </c>
      <c r="D5" s="85">
        <f>+D$8*$C5</f>
        <v>61448316.427554697</v>
      </c>
      <c r="E5" s="85">
        <f>+E$8*$C5</f>
        <v>29187950.303088479</v>
      </c>
      <c r="F5" s="85">
        <f>+F$8*$C5</f>
        <v>7681039.5534443371</v>
      </c>
      <c r="G5" s="85">
        <f>+G$8*$C5</f>
        <v>768103.95534443366</v>
      </c>
      <c r="H5" s="85">
        <f>+H$8*$C5</f>
        <v>23811222.615677442</v>
      </c>
      <c r="I5" s="85">
        <f>+D5/0.4</f>
        <v>153620791.06888673</v>
      </c>
    </row>
    <row r="6" spans="1:11" x14ac:dyDescent="0.3">
      <c r="A6" s="16" t="s">
        <v>2692</v>
      </c>
      <c r="B6" s="83" t="s">
        <v>9</v>
      </c>
      <c r="C6" s="84">
        <v>0.55274526615688058</v>
      </c>
      <c r="D6" s="85">
        <f t="shared" ref="D6:H7" si="0">+D$8*$C6</f>
        <v>187933390.49333939</v>
      </c>
      <c r="E6" s="85">
        <f t="shared" si="0"/>
        <v>89268360.484336212</v>
      </c>
      <c r="F6" s="85">
        <f t="shared" si="0"/>
        <v>23491673.811667424</v>
      </c>
      <c r="G6" s="85">
        <f t="shared" si="0"/>
        <v>2349167.3811667426</v>
      </c>
      <c r="H6" s="85">
        <f t="shared" si="0"/>
        <v>72824188.816169009</v>
      </c>
      <c r="I6" s="85">
        <f>+D6/0.4</f>
        <v>469833476.23334843</v>
      </c>
    </row>
    <row r="7" spans="1:11" x14ac:dyDescent="0.3">
      <c r="A7" s="16" t="s">
        <v>2693</v>
      </c>
      <c r="B7" s="83" t="s">
        <v>10</v>
      </c>
      <c r="C7" s="84">
        <v>0.26652439140913498</v>
      </c>
      <c r="D7" s="85">
        <f t="shared" si="0"/>
        <v>90618293.079105899</v>
      </c>
      <c r="E7" s="85">
        <f t="shared" si="0"/>
        <v>43043689.212575302</v>
      </c>
      <c r="F7" s="85">
        <f t="shared" si="0"/>
        <v>11327286.634888237</v>
      </c>
      <c r="G7" s="85">
        <f t="shared" si="0"/>
        <v>1132728.6634888237</v>
      </c>
      <c r="H7" s="85">
        <f t="shared" si="0"/>
        <v>35114588.56815353</v>
      </c>
      <c r="I7" s="85">
        <f>+D7/0.4</f>
        <v>226545732.69776472</v>
      </c>
    </row>
    <row r="8" spans="1:11" x14ac:dyDescent="0.3">
      <c r="A8" s="16"/>
      <c r="B8" s="86" t="s">
        <v>2690</v>
      </c>
      <c r="C8" s="87">
        <v>0.99999999999999989</v>
      </c>
      <c r="D8" s="88">
        <f>+$A$3*0.4/2</f>
        <v>340000000</v>
      </c>
      <c r="E8" s="88">
        <f>+$A$3*0.19/2</f>
        <v>161500000</v>
      </c>
      <c r="F8" s="88">
        <f>+$A$3*0.05/2</f>
        <v>42500000</v>
      </c>
      <c r="G8" s="88">
        <f>+$A$3*0.005/2</f>
        <v>4250000</v>
      </c>
      <c r="H8" s="88">
        <f>+$A$3*0.155/2</f>
        <v>131750000</v>
      </c>
      <c r="I8" s="85">
        <f>+D8/0.4</f>
        <v>850000000</v>
      </c>
    </row>
    <row r="9" spans="1:11" x14ac:dyDescent="0.3">
      <c r="I9" s="638"/>
    </row>
    <row r="10" spans="1:11" x14ac:dyDescent="0.3">
      <c r="I10" s="638"/>
    </row>
    <row r="11" spans="1:11" x14ac:dyDescent="0.3">
      <c r="B11" s="1222" t="s">
        <v>3936</v>
      </c>
      <c r="C11" s="1223"/>
      <c r="D11" s="1223"/>
      <c r="E11" s="1223"/>
      <c r="F11" s="1223"/>
      <c r="G11" s="1223"/>
      <c r="H11" s="1224"/>
      <c r="I11" s="638"/>
    </row>
    <row r="12" spans="1:11" ht="72" x14ac:dyDescent="0.3">
      <c r="B12" s="19" t="s">
        <v>772</v>
      </c>
      <c r="C12" s="1222" t="s">
        <v>2685</v>
      </c>
      <c r="D12" s="1224"/>
      <c r="E12" s="19" t="s">
        <v>2686</v>
      </c>
      <c r="F12" s="19"/>
      <c r="G12" s="19"/>
      <c r="H12" s="19" t="s">
        <v>3937</v>
      </c>
      <c r="I12" s="639" t="s">
        <v>3935</v>
      </c>
      <c r="J12" s="640"/>
      <c r="K12" s="19" t="s">
        <v>3938</v>
      </c>
    </row>
    <row r="13" spans="1:11" x14ac:dyDescent="0.3">
      <c r="A13" s="16" t="s">
        <v>3939</v>
      </c>
      <c r="B13" s="83" t="s">
        <v>9</v>
      </c>
      <c r="C13" s="1225">
        <f>(250000000+916666667-I14)*0.4</f>
        <v>270765043.60000002</v>
      </c>
      <c r="D13" s="1225"/>
      <c r="E13" s="85">
        <f>+C13/0.4*0.19</f>
        <v>128613395.71000001</v>
      </c>
      <c r="F13" s="85"/>
      <c r="G13" s="85"/>
      <c r="H13" s="85">
        <f>+C13-E13-F13-G13</f>
        <v>142151647.89000002</v>
      </c>
      <c r="I13" s="85">
        <f>+C13/0.4</f>
        <v>676912609</v>
      </c>
      <c r="J13" s="641" t="s">
        <v>3940</v>
      </c>
      <c r="K13" s="85">
        <f>-I13*0.03</f>
        <v>-20307378.27</v>
      </c>
    </row>
    <row r="14" spans="1:11" ht="14.4" customHeight="1" x14ac:dyDescent="0.3">
      <c r="A14" s="16" t="s">
        <v>3939</v>
      </c>
      <c r="B14" s="83" t="s">
        <v>9</v>
      </c>
      <c r="C14" s="1225">
        <f>(I14)*0.4</f>
        <v>195901623.20000002</v>
      </c>
      <c r="D14" s="1225"/>
      <c r="E14" s="85">
        <f>+I14*0.19</f>
        <v>93053271.019999996</v>
      </c>
      <c r="F14" s="85"/>
      <c r="G14" s="85"/>
      <c r="H14" s="85">
        <f>+C14-E14-F14-G14</f>
        <v>102848352.18000002</v>
      </c>
      <c r="I14" s="85">
        <v>489754058</v>
      </c>
      <c r="J14" s="642" t="s">
        <v>3941</v>
      </c>
      <c r="K14" s="85">
        <f>-I14*0.03</f>
        <v>-14692621.74</v>
      </c>
    </row>
    <row r="15" spans="1:11" x14ac:dyDescent="0.3">
      <c r="G15" s="3"/>
      <c r="H15" s="3"/>
      <c r="I15" s="638"/>
      <c r="K15">
        <f>+I15*0.03</f>
        <v>0</v>
      </c>
    </row>
    <row r="16" spans="1:11" x14ac:dyDescent="0.3">
      <c r="B16" s="1222" t="s">
        <v>3942</v>
      </c>
      <c r="C16" s="1223"/>
      <c r="D16" s="1223"/>
      <c r="E16" s="1223"/>
      <c r="F16" s="1223"/>
      <c r="G16" s="1223"/>
      <c r="H16" s="1224"/>
      <c r="I16" s="638"/>
      <c r="K16">
        <f>+I16*0.03</f>
        <v>0</v>
      </c>
    </row>
    <row r="17" spans="1:13" ht="72" x14ac:dyDescent="0.3">
      <c r="B17" s="19" t="s">
        <v>772</v>
      </c>
      <c r="C17" s="1222" t="s">
        <v>2685</v>
      </c>
      <c r="D17" s="1224"/>
      <c r="E17" s="19" t="s">
        <v>2686</v>
      </c>
      <c r="F17" s="19"/>
      <c r="G17" s="19"/>
      <c r="H17" s="19" t="s">
        <v>3937</v>
      </c>
      <c r="I17" s="19" t="s">
        <v>3935</v>
      </c>
      <c r="K17" s="19" t="s">
        <v>3938</v>
      </c>
    </row>
    <row r="18" spans="1:13" x14ac:dyDescent="0.3">
      <c r="A18" s="16" t="s">
        <v>3939</v>
      </c>
      <c r="B18" s="83" t="s">
        <v>9</v>
      </c>
      <c r="C18" s="1227">
        <v>8309333</v>
      </c>
      <c r="D18" s="1228"/>
      <c r="E18" s="85">
        <f>+C18/0.4*0.19</f>
        <v>3946933.1749999998</v>
      </c>
      <c r="F18" s="85"/>
      <c r="G18" s="85"/>
      <c r="H18" s="85">
        <f>+C18-E18-F18-G18</f>
        <v>4362399.8250000002</v>
      </c>
      <c r="I18" s="85">
        <f>+C18/0.4</f>
        <v>20773332.5</v>
      </c>
      <c r="K18" s="85">
        <f>-I18*0.03</f>
        <v>-623199.97499999998</v>
      </c>
    </row>
    <row r="19" spans="1:13" x14ac:dyDescent="0.3">
      <c r="A19" t="s">
        <v>3943</v>
      </c>
      <c r="B19" s="83" t="s">
        <v>10</v>
      </c>
      <c r="C19" s="1227">
        <v>77415333</v>
      </c>
      <c r="D19" s="1228"/>
      <c r="E19" s="85">
        <f>+C19/0.4*0.19</f>
        <v>36772283.174999997</v>
      </c>
      <c r="F19" s="85"/>
      <c r="G19" s="85"/>
      <c r="H19" s="85">
        <f>+C19-E19-F19-G19</f>
        <v>40643049.825000003</v>
      </c>
      <c r="I19" s="85">
        <f>+C19/0.4</f>
        <v>193538332.5</v>
      </c>
      <c r="K19" s="85">
        <f>-I19*0.03</f>
        <v>-5806149.9749999996</v>
      </c>
    </row>
    <row r="20" spans="1:13" x14ac:dyDescent="0.3">
      <c r="A20" t="s">
        <v>3944</v>
      </c>
      <c r="B20" s="83" t="s">
        <v>5</v>
      </c>
      <c r="C20" s="1227">
        <v>9341333</v>
      </c>
      <c r="D20" s="1228"/>
      <c r="E20" s="85">
        <f>+C20/0.4*0.19</f>
        <v>4437133.1749999998</v>
      </c>
      <c r="F20" s="85"/>
      <c r="G20" s="85"/>
      <c r="H20" s="85">
        <f>+C20-E20-F20-G20</f>
        <v>4904199.8250000002</v>
      </c>
      <c r="I20" s="85">
        <f>+C20/0.4</f>
        <v>23353332.5</v>
      </c>
      <c r="K20" s="85">
        <f>-I20*0.03</f>
        <v>-700599.97499999998</v>
      </c>
    </row>
    <row r="21" spans="1:13" x14ac:dyDescent="0.3">
      <c r="B21" s="349"/>
      <c r="C21" s="643"/>
      <c r="D21" s="643"/>
      <c r="E21" s="644"/>
      <c r="F21" s="644"/>
      <c r="G21" s="644"/>
      <c r="H21" s="644"/>
      <c r="K21" s="3">
        <f>SUM(H18:H20)+SUM(K18:K20)</f>
        <v>42779699.550000012</v>
      </c>
    </row>
    <row r="22" spans="1:13" ht="15.6" customHeight="1" x14ac:dyDescent="0.3">
      <c r="A22" s="543" t="s">
        <v>3034</v>
      </c>
      <c r="B22" s="645"/>
      <c r="C22" s="1226">
        <f>+D8+C13+C14+C18+C19+C20</f>
        <v>901732665.80000007</v>
      </c>
      <c r="D22" s="1226"/>
      <c r="E22" s="23">
        <f>+E8+E13+E18+E19+E20+E14</f>
        <v>428323016.25500005</v>
      </c>
      <c r="F22" s="23">
        <f>+F8+F13+F18+F19+F20+F14</f>
        <v>42500000</v>
      </c>
      <c r="G22" s="23">
        <f>+G8+G13+G18+G19+G20+G14</f>
        <v>4250000</v>
      </c>
      <c r="H22" s="23">
        <f>+H8+H13+H18+H19+H20+H14</f>
        <v>426659649.54499996</v>
      </c>
      <c r="I22" s="23">
        <f>+I8+I13+I18+I19+I20+I14</f>
        <v>2254331664.5</v>
      </c>
      <c r="J22" s="3"/>
      <c r="K22" s="3"/>
      <c r="L22" s="352"/>
    </row>
    <row r="23" spans="1:13" x14ac:dyDescent="0.3">
      <c r="A23" s="543" t="s">
        <v>3945</v>
      </c>
      <c r="B23" s="645"/>
      <c r="C23" s="1226">
        <f>+D8</f>
        <v>340000000</v>
      </c>
      <c r="D23" s="1226"/>
      <c r="E23" s="23">
        <f>+E8</f>
        <v>161500000</v>
      </c>
      <c r="F23" s="23">
        <f>+F8</f>
        <v>42500000</v>
      </c>
      <c r="G23" s="23">
        <f>+G8</f>
        <v>4250000</v>
      </c>
      <c r="H23" s="23">
        <f>+H8</f>
        <v>131750000</v>
      </c>
      <c r="I23" s="23">
        <f>+I8</f>
        <v>850000000</v>
      </c>
      <c r="J23" s="3"/>
      <c r="K23" s="3"/>
      <c r="L23" s="352"/>
    </row>
    <row r="24" spans="1:13" x14ac:dyDescent="0.3">
      <c r="A24" s="543" t="s">
        <v>3946</v>
      </c>
      <c r="B24" s="645"/>
      <c r="C24" s="1226">
        <f>+C13+C18+C19+C20</f>
        <v>365831042.60000002</v>
      </c>
      <c r="D24" s="1226"/>
      <c r="E24" s="646">
        <f>+E13+E18+E19+E20</f>
        <v>173769745.23500001</v>
      </c>
      <c r="F24" s="646">
        <f>+F13+F18+F19+F20</f>
        <v>0</v>
      </c>
      <c r="G24" s="646">
        <f>+G13+G18+G19+G20</f>
        <v>0</v>
      </c>
      <c r="H24" s="646">
        <f>+H13+H18+H19+H20</f>
        <v>192061297.36500001</v>
      </c>
      <c r="I24" s="646">
        <f>+I13+I18+I19+I20</f>
        <v>914577606.5</v>
      </c>
    </row>
    <row r="25" spans="1:13" x14ac:dyDescent="0.3">
      <c r="A25" s="543" t="s">
        <v>3947</v>
      </c>
      <c r="B25" s="645"/>
      <c r="C25" s="1226">
        <f>+C14</f>
        <v>195901623.20000002</v>
      </c>
      <c r="D25" s="1226"/>
      <c r="E25" s="646">
        <f>+E14</f>
        <v>93053271.019999996</v>
      </c>
      <c r="F25" s="646">
        <f>+F14</f>
        <v>0</v>
      </c>
      <c r="G25" s="646">
        <f>+G14</f>
        <v>0</v>
      </c>
      <c r="H25" s="646">
        <f>+H14</f>
        <v>102848352.18000002</v>
      </c>
      <c r="I25" s="646">
        <f>+I14</f>
        <v>489754058</v>
      </c>
    </row>
    <row r="26" spans="1:13" x14ac:dyDescent="0.3">
      <c r="B26" s="349"/>
      <c r="C26" s="643"/>
      <c r="D26" s="643"/>
      <c r="E26" s="644"/>
      <c r="F26" s="644"/>
      <c r="G26" s="644"/>
      <c r="H26" s="644"/>
    </row>
    <row r="27" spans="1:13" x14ac:dyDescent="0.3">
      <c r="A27" t="s">
        <v>3948</v>
      </c>
      <c r="E27" s="352"/>
    </row>
    <row r="28" spans="1:13" x14ac:dyDescent="0.3">
      <c r="A28" s="89"/>
      <c r="B28" s="89"/>
      <c r="C28" s="89"/>
      <c r="D28" s="89"/>
      <c r="E28" s="647"/>
      <c r="F28" s="648">
        <f>+F24+G24+F25+G25</f>
        <v>0</v>
      </c>
      <c r="G28" s="647">
        <f>+F28/5.5*3</f>
        <v>0</v>
      </c>
      <c r="H28" s="89"/>
      <c r="I28" s="89"/>
      <c r="J28" s="89"/>
      <c r="K28" s="89"/>
      <c r="L28" s="89"/>
      <c r="M28" s="89"/>
    </row>
    <row r="29" spans="1:13" x14ac:dyDescent="0.3">
      <c r="A29" s="89"/>
      <c r="B29" s="89"/>
      <c r="C29" s="89"/>
      <c r="D29" s="89"/>
      <c r="E29" s="89"/>
      <c r="F29" s="648">
        <f>+F13+G13+F14+G14+F18+G18</f>
        <v>0</v>
      </c>
      <c r="G29" s="647">
        <f>+F29/5.5*3</f>
        <v>0</v>
      </c>
      <c r="H29" s="649">
        <f>+F29-G29</f>
        <v>0</v>
      </c>
      <c r="I29" s="89"/>
      <c r="J29" s="89"/>
      <c r="K29" s="89"/>
      <c r="L29" s="89"/>
      <c r="M29" s="89"/>
    </row>
    <row r="30" spans="1:13" x14ac:dyDescent="0.3">
      <c r="A30" s="89"/>
      <c r="B30" s="89"/>
      <c r="C30" s="89"/>
      <c r="D30" s="89"/>
      <c r="E30" s="89"/>
      <c r="F30" s="648">
        <f>+F29-F14-G14</f>
        <v>0</v>
      </c>
      <c r="G30" s="647">
        <f>+F30/5.5*3</f>
        <v>0</v>
      </c>
      <c r="H30" s="649"/>
      <c r="I30" s="89"/>
      <c r="J30" s="89"/>
      <c r="K30" s="89"/>
      <c r="L30" s="89"/>
      <c r="M30" s="89"/>
    </row>
    <row r="31" spans="1:13" x14ac:dyDescent="0.3">
      <c r="A31" s="89"/>
      <c r="B31" s="89"/>
      <c r="C31" s="89"/>
      <c r="D31" s="89"/>
      <c r="E31" s="89"/>
      <c r="F31" s="648">
        <f>+F29-F30</f>
        <v>0</v>
      </c>
      <c r="G31" s="648">
        <f>+G29-G30</f>
        <v>0</v>
      </c>
      <c r="H31" s="649">
        <f>+F31-G31</f>
        <v>0</v>
      </c>
      <c r="I31" s="89"/>
      <c r="J31" s="89"/>
      <c r="K31" s="89"/>
      <c r="L31" s="89"/>
      <c r="M31" s="89"/>
    </row>
  </sheetData>
  <mergeCells count="14">
    <mergeCell ref="C24:D24"/>
    <mergeCell ref="C25:D25"/>
    <mergeCell ref="C17:D17"/>
    <mergeCell ref="C18:D18"/>
    <mergeCell ref="C19:D19"/>
    <mergeCell ref="C20:D20"/>
    <mergeCell ref="C22:D22"/>
    <mergeCell ref="C23:D23"/>
    <mergeCell ref="B16:H16"/>
    <mergeCell ref="B3:H3"/>
    <mergeCell ref="B11:H11"/>
    <mergeCell ref="C12:D12"/>
    <mergeCell ref="C13:D13"/>
    <mergeCell ref="C14:D1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U45"/>
  <sheetViews>
    <sheetView zoomScale="70" zoomScaleNormal="7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E38" sqref="E38"/>
    </sheetView>
  </sheetViews>
  <sheetFormatPr defaultColWidth="9" defaultRowHeight="15.6" x14ac:dyDescent="0.3"/>
  <cols>
    <col min="1" max="1" width="9.109375" style="264" customWidth="1"/>
    <col min="2" max="2" width="50.21875" style="264" customWidth="1"/>
    <col min="3" max="6" width="11.33203125" style="264" customWidth="1"/>
    <col min="7" max="7" width="11.33203125" style="265" customWidth="1"/>
    <col min="8" max="20" width="11.33203125" style="264" customWidth="1"/>
    <col min="21" max="21" width="12.77734375" style="1065" customWidth="1"/>
    <col min="22" max="16384" width="9" style="264"/>
  </cols>
  <sheetData>
    <row r="1" spans="1:21" s="263" customFormat="1" ht="62.4" x14ac:dyDescent="0.3">
      <c r="A1" s="767" t="s">
        <v>1162</v>
      </c>
      <c r="B1" s="768" t="s">
        <v>1163</v>
      </c>
      <c r="C1" s="769" t="s">
        <v>4024</v>
      </c>
      <c r="D1" s="769" t="s">
        <v>4025</v>
      </c>
      <c r="E1" s="769" t="s">
        <v>4026</v>
      </c>
      <c r="F1" s="769" t="s">
        <v>4027</v>
      </c>
      <c r="G1" s="769" t="s">
        <v>4028</v>
      </c>
      <c r="H1" s="769" t="s">
        <v>4029</v>
      </c>
      <c r="I1" s="769" t="s">
        <v>4030</v>
      </c>
      <c r="J1" s="769" t="s">
        <v>2977</v>
      </c>
      <c r="K1" s="769" t="s">
        <v>2981</v>
      </c>
      <c r="L1" s="769" t="s">
        <v>4031</v>
      </c>
      <c r="M1" s="769" t="s">
        <v>2979</v>
      </c>
      <c r="N1" s="769" t="s">
        <v>2980</v>
      </c>
      <c r="O1" s="769" t="s">
        <v>2982</v>
      </c>
      <c r="P1" s="770" t="s">
        <v>2983</v>
      </c>
      <c r="Q1" s="771" t="s">
        <v>4010</v>
      </c>
      <c r="R1" s="772" t="s">
        <v>4018</v>
      </c>
      <c r="S1" s="772" t="s">
        <v>4019</v>
      </c>
      <c r="T1" s="772" t="s">
        <v>841</v>
      </c>
      <c r="U1" s="1060" t="s">
        <v>2690</v>
      </c>
    </row>
    <row r="2" spans="1:21" s="263" customFormat="1" x14ac:dyDescent="0.3">
      <c r="A2" s="773"/>
      <c r="B2" s="21"/>
      <c r="C2" s="21">
        <v>3</v>
      </c>
      <c r="D2" s="21">
        <v>4</v>
      </c>
      <c r="E2" s="21">
        <v>5</v>
      </c>
      <c r="F2" s="21">
        <v>6</v>
      </c>
      <c r="G2" s="21">
        <v>7</v>
      </c>
      <c r="H2" s="21">
        <v>8</v>
      </c>
      <c r="I2" s="21">
        <v>9</v>
      </c>
      <c r="J2" s="21">
        <v>10</v>
      </c>
      <c r="K2" s="21">
        <v>11</v>
      </c>
      <c r="L2" s="21">
        <v>12</v>
      </c>
      <c r="M2" s="21">
        <v>13</v>
      </c>
      <c r="N2" s="21">
        <v>14</v>
      </c>
      <c r="O2" s="21">
        <v>15</v>
      </c>
      <c r="P2" s="21">
        <v>16</v>
      </c>
      <c r="Q2" s="21">
        <v>17</v>
      </c>
      <c r="R2" s="21">
        <v>18</v>
      </c>
      <c r="S2" s="21">
        <v>19</v>
      </c>
      <c r="T2" s="21">
        <v>20</v>
      </c>
      <c r="U2" s="1061"/>
    </row>
    <row r="3" spans="1:21" s="263" customFormat="1" x14ac:dyDescent="0.3">
      <c r="A3" s="773"/>
      <c r="B3" s="21" t="s">
        <v>4040</v>
      </c>
      <c r="C3" s="21">
        <v>16</v>
      </c>
      <c r="D3" s="21">
        <v>9</v>
      </c>
      <c r="E3" s="21">
        <v>2</v>
      </c>
      <c r="F3" s="21">
        <v>10</v>
      </c>
      <c r="G3" s="21">
        <v>4</v>
      </c>
      <c r="H3" s="21">
        <v>6</v>
      </c>
      <c r="I3" s="21">
        <v>3</v>
      </c>
      <c r="J3" s="21">
        <v>6</v>
      </c>
      <c r="K3" s="21">
        <v>8</v>
      </c>
      <c r="L3" s="21">
        <v>8</v>
      </c>
      <c r="M3" s="21">
        <v>4</v>
      </c>
      <c r="N3" s="21">
        <v>8</v>
      </c>
      <c r="O3" s="21">
        <v>5</v>
      </c>
      <c r="P3" s="21">
        <v>9</v>
      </c>
      <c r="Q3" s="21">
        <v>0</v>
      </c>
      <c r="R3" s="21">
        <v>0</v>
      </c>
      <c r="S3" s="21">
        <v>0</v>
      </c>
      <c r="T3" s="21">
        <v>0</v>
      </c>
      <c r="U3" s="1061">
        <f>SUM(C3:T3)</f>
        <v>98</v>
      </c>
    </row>
    <row r="4" spans="1:21" s="263" customFormat="1" x14ac:dyDescent="0.3">
      <c r="A4" s="773"/>
      <c r="B4" s="21" t="s">
        <v>4032</v>
      </c>
      <c r="C4" s="21">
        <v>16</v>
      </c>
      <c r="D4" s="21">
        <v>9</v>
      </c>
      <c r="E4" s="21">
        <v>2</v>
      </c>
      <c r="F4" s="21">
        <v>10</v>
      </c>
      <c r="G4" s="21">
        <v>4</v>
      </c>
      <c r="H4" s="21">
        <v>6</v>
      </c>
      <c r="I4" s="21">
        <v>3</v>
      </c>
      <c r="J4" s="21">
        <v>6</v>
      </c>
      <c r="K4" s="21">
        <v>8</v>
      </c>
      <c r="L4" s="21">
        <v>8</v>
      </c>
      <c r="M4" s="21">
        <v>4</v>
      </c>
      <c r="N4" s="21">
        <v>8</v>
      </c>
      <c r="O4" s="21">
        <v>5</v>
      </c>
      <c r="P4" s="21">
        <v>0</v>
      </c>
      <c r="Q4" s="21">
        <v>0</v>
      </c>
      <c r="R4" s="21">
        <v>0</v>
      </c>
      <c r="S4" s="21">
        <v>0</v>
      </c>
      <c r="T4" s="21">
        <v>0</v>
      </c>
      <c r="U4" s="1061">
        <f>SUM(C4:T4)</f>
        <v>89</v>
      </c>
    </row>
    <row r="5" spans="1:21" s="263" customFormat="1" x14ac:dyDescent="0.3">
      <c r="A5" s="774">
        <v>1</v>
      </c>
      <c r="B5" s="756" t="s">
        <v>4033</v>
      </c>
      <c r="C5" s="757">
        <f t="shared" ref="C5:T5" si="0">+C3/$U$3</f>
        <v>0.16326530612244897</v>
      </c>
      <c r="D5" s="757">
        <f t="shared" si="0"/>
        <v>9.1836734693877556E-2</v>
      </c>
      <c r="E5" s="757">
        <f t="shared" si="0"/>
        <v>2.0408163265306121E-2</v>
      </c>
      <c r="F5" s="757">
        <f t="shared" si="0"/>
        <v>0.10204081632653061</v>
      </c>
      <c r="G5" s="757">
        <f t="shared" si="0"/>
        <v>4.0816326530612242E-2</v>
      </c>
      <c r="H5" s="757">
        <f t="shared" si="0"/>
        <v>6.1224489795918366E-2</v>
      </c>
      <c r="I5" s="757">
        <f t="shared" si="0"/>
        <v>3.0612244897959183E-2</v>
      </c>
      <c r="J5" s="757">
        <f t="shared" si="0"/>
        <v>6.1224489795918366E-2</v>
      </c>
      <c r="K5" s="757">
        <f t="shared" si="0"/>
        <v>8.1632653061224483E-2</v>
      </c>
      <c r="L5" s="757">
        <f t="shared" si="0"/>
        <v>8.1632653061224483E-2</v>
      </c>
      <c r="M5" s="757">
        <f t="shared" si="0"/>
        <v>4.0816326530612242E-2</v>
      </c>
      <c r="N5" s="757">
        <f t="shared" si="0"/>
        <v>8.1632653061224483E-2</v>
      </c>
      <c r="O5" s="757">
        <f t="shared" si="0"/>
        <v>5.1020408163265307E-2</v>
      </c>
      <c r="P5" s="757">
        <f t="shared" si="0"/>
        <v>9.1836734693877556E-2</v>
      </c>
      <c r="Q5" s="757">
        <f t="shared" si="0"/>
        <v>0</v>
      </c>
      <c r="R5" s="757">
        <f t="shared" si="0"/>
        <v>0</v>
      </c>
      <c r="S5" s="757">
        <f t="shared" si="0"/>
        <v>0</v>
      </c>
      <c r="T5" s="757">
        <f t="shared" si="0"/>
        <v>0</v>
      </c>
      <c r="U5" s="778">
        <f>SUM(C5:T5)</f>
        <v>1</v>
      </c>
    </row>
    <row r="6" spans="1:21" s="263" customFormat="1" x14ac:dyDescent="0.3">
      <c r="A6" s="774">
        <v>2</v>
      </c>
      <c r="B6" s="756" t="s">
        <v>4039</v>
      </c>
      <c r="C6" s="757">
        <f t="shared" ref="C6:U6" si="1">+C4/$U$4</f>
        <v>0.1797752808988764</v>
      </c>
      <c r="D6" s="757">
        <f t="shared" si="1"/>
        <v>0.10112359550561797</v>
      </c>
      <c r="E6" s="757">
        <f t="shared" si="1"/>
        <v>2.247191011235955E-2</v>
      </c>
      <c r="F6" s="757">
        <f t="shared" si="1"/>
        <v>0.11235955056179775</v>
      </c>
      <c r="G6" s="757">
        <f t="shared" si="1"/>
        <v>4.49438202247191E-2</v>
      </c>
      <c r="H6" s="757">
        <f t="shared" si="1"/>
        <v>6.741573033707865E-2</v>
      </c>
      <c r="I6" s="757">
        <f t="shared" si="1"/>
        <v>3.3707865168539325E-2</v>
      </c>
      <c r="J6" s="757">
        <f t="shared" si="1"/>
        <v>6.741573033707865E-2</v>
      </c>
      <c r="K6" s="757">
        <f t="shared" si="1"/>
        <v>8.98876404494382E-2</v>
      </c>
      <c r="L6" s="757">
        <f t="shared" si="1"/>
        <v>8.98876404494382E-2</v>
      </c>
      <c r="M6" s="757">
        <f t="shared" si="1"/>
        <v>4.49438202247191E-2</v>
      </c>
      <c r="N6" s="757">
        <f t="shared" si="1"/>
        <v>8.98876404494382E-2</v>
      </c>
      <c r="O6" s="757">
        <f t="shared" si="1"/>
        <v>5.6179775280898875E-2</v>
      </c>
      <c r="P6" s="757">
        <f t="shared" si="1"/>
        <v>0</v>
      </c>
      <c r="Q6" s="757">
        <f t="shared" si="1"/>
        <v>0</v>
      </c>
      <c r="R6" s="757">
        <f t="shared" si="1"/>
        <v>0</v>
      </c>
      <c r="S6" s="757">
        <f t="shared" si="1"/>
        <v>0</v>
      </c>
      <c r="T6" s="757">
        <f t="shared" si="1"/>
        <v>0</v>
      </c>
      <c r="U6" s="1062">
        <f t="shared" si="1"/>
        <v>1</v>
      </c>
    </row>
    <row r="7" spans="1:21" s="263" customFormat="1" x14ac:dyDescent="0.3">
      <c r="A7" s="773"/>
      <c r="B7" s="718" t="s">
        <v>4041</v>
      </c>
      <c r="C7" s="718">
        <v>62</v>
      </c>
      <c r="D7" s="718">
        <v>9.5</v>
      </c>
      <c r="E7" s="718">
        <v>2</v>
      </c>
      <c r="F7" s="718">
        <v>19</v>
      </c>
      <c r="G7" s="718">
        <v>4</v>
      </c>
      <c r="H7" s="718">
        <f>39.5/2</f>
        <v>19.75</v>
      </c>
      <c r="I7" s="718">
        <f>39.5/2</f>
        <v>19.75</v>
      </c>
      <c r="J7" s="718">
        <v>16</v>
      </c>
      <c r="K7" s="718">
        <v>9.5</v>
      </c>
      <c r="L7" s="718">
        <v>9.5</v>
      </c>
      <c r="M7" s="718">
        <v>1.5</v>
      </c>
      <c r="N7" s="718">
        <v>61.5</v>
      </c>
      <c r="O7" s="718">
        <v>5</v>
      </c>
      <c r="P7" s="718">
        <v>0</v>
      </c>
      <c r="Q7" s="718">
        <v>0</v>
      </c>
      <c r="R7" s="718">
        <v>0</v>
      </c>
      <c r="S7" s="719">
        <v>0</v>
      </c>
      <c r="T7" s="719">
        <v>0</v>
      </c>
      <c r="U7" s="1063">
        <f>SUM(C7:T7)</f>
        <v>239</v>
      </c>
    </row>
    <row r="8" spans="1:21" s="263" customFormat="1" x14ac:dyDescent="0.3">
      <c r="A8" s="774">
        <v>3</v>
      </c>
      <c r="B8" s="758" t="s">
        <v>4042</v>
      </c>
      <c r="C8" s="759">
        <f>+C7/$U$7</f>
        <v>0.2594142259414226</v>
      </c>
      <c r="D8" s="759">
        <f t="shared" ref="D8:T8" si="2">+D7/$U$7</f>
        <v>3.9748953974895397E-2</v>
      </c>
      <c r="E8" s="759">
        <f t="shared" si="2"/>
        <v>8.368200836820083E-3</v>
      </c>
      <c r="F8" s="759">
        <f t="shared" si="2"/>
        <v>7.9497907949790794E-2</v>
      </c>
      <c r="G8" s="759">
        <f t="shared" si="2"/>
        <v>1.6736401673640166E-2</v>
      </c>
      <c r="H8" s="759">
        <f t="shared" si="2"/>
        <v>8.263598326359832E-2</v>
      </c>
      <c r="I8" s="759">
        <f t="shared" si="2"/>
        <v>8.263598326359832E-2</v>
      </c>
      <c r="J8" s="759">
        <f t="shared" si="2"/>
        <v>6.6945606694560664E-2</v>
      </c>
      <c r="K8" s="759">
        <f t="shared" si="2"/>
        <v>3.9748953974895397E-2</v>
      </c>
      <c r="L8" s="759">
        <f t="shared" si="2"/>
        <v>3.9748953974895397E-2</v>
      </c>
      <c r="M8" s="759">
        <f t="shared" si="2"/>
        <v>6.2761506276150627E-3</v>
      </c>
      <c r="N8" s="759">
        <f t="shared" si="2"/>
        <v>0.25732217573221755</v>
      </c>
      <c r="O8" s="759">
        <f t="shared" si="2"/>
        <v>2.0920502092050208E-2</v>
      </c>
      <c r="P8" s="759">
        <f t="shared" si="2"/>
        <v>0</v>
      </c>
      <c r="Q8" s="759">
        <f t="shared" si="2"/>
        <v>0</v>
      </c>
      <c r="R8" s="759">
        <f t="shared" si="2"/>
        <v>0</v>
      </c>
      <c r="S8" s="759">
        <f t="shared" si="2"/>
        <v>0</v>
      </c>
      <c r="T8" s="759">
        <f t="shared" si="2"/>
        <v>0</v>
      </c>
      <c r="U8" s="778">
        <v>1</v>
      </c>
    </row>
    <row r="9" spans="1:21" s="16" customFormat="1" x14ac:dyDescent="0.3">
      <c r="A9" s="775"/>
      <c r="B9" s="718" t="s">
        <v>4043</v>
      </c>
      <c r="C9" s="718">
        <v>3</v>
      </c>
      <c r="D9" s="718">
        <v>0</v>
      </c>
      <c r="E9" s="718">
        <v>0</v>
      </c>
      <c r="F9" s="718">
        <v>0</v>
      </c>
      <c r="G9" s="718">
        <v>0</v>
      </c>
      <c r="H9" s="718">
        <v>0</v>
      </c>
      <c r="I9" s="718">
        <v>1</v>
      </c>
      <c r="J9" s="718">
        <v>0</v>
      </c>
      <c r="K9" s="718">
        <v>0</v>
      </c>
      <c r="L9" s="718">
        <v>2</v>
      </c>
      <c r="M9" s="718">
        <v>2</v>
      </c>
      <c r="N9" s="718">
        <v>1</v>
      </c>
      <c r="O9" s="718">
        <v>0</v>
      </c>
      <c r="P9" s="718">
        <v>0</v>
      </c>
      <c r="Q9" s="718">
        <v>0</v>
      </c>
      <c r="R9" s="718">
        <v>0</v>
      </c>
      <c r="S9" s="719">
        <v>0</v>
      </c>
      <c r="T9" s="719">
        <v>0</v>
      </c>
      <c r="U9" s="1063">
        <f>SUM(C9:T9)</f>
        <v>9</v>
      </c>
    </row>
    <row r="10" spans="1:21" s="263" customFormat="1" x14ac:dyDescent="0.3">
      <c r="A10" s="774">
        <v>4</v>
      </c>
      <c r="B10" s="756" t="s">
        <v>4044</v>
      </c>
      <c r="C10" s="757">
        <v>0.33333333333333331</v>
      </c>
      <c r="D10" s="757">
        <v>0</v>
      </c>
      <c r="E10" s="757">
        <v>0</v>
      </c>
      <c r="F10" s="757">
        <v>0</v>
      </c>
      <c r="G10" s="757">
        <v>0</v>
      </c>
      <c r="H10" s="757">
        <v>0</v>
      </c>
      <c r="I10" s="757">
        <v>0.1111111111111111</v>
      </c>
      <c r="J10" s="757">
        <v>0</v>
      </c>
      <c r="K10" s="757">
        <v>0</v>
      </c>
      <c r="L10" s="757">
        <v>0.22222222222222221</v>
      </c>
      <c r="M10" s="757">
        <v>0.22222222222222221</v>
      </c>
      <c r="N10" s="757">
        <v>0.1111111111111111</v>
      </c>
      <c r="O10" s="757">
        <v>0</v>
      </c>
      <c r="P10" s="757">
        <v>0</v>
      </c>
      <c r="Q10" s="757">
        <v>0</v>
      </c>
      <c r="R10" s="757">
        <v>0</v>
      </c>
      <c r="S10" s="757">
        <v>0</v>
      </c>
      <c r="T10" s="757">
        <v>0</v>
      </c>
      <c r="U10" s="778">
        <v>1</v>
      </c>
    </row>
    <row r="11" spans="1:21" s="263" customFormat="1" x14ac:dyDescent="0.3">
      <c r="A11" s="774">
        <v>5</v>
      </c>
      <c r="B11" s="756" t="s">
        <v>4045</v>
      </c>
      <c r="C11" s="757">
        <v>0</v>
      </c>
      <c r="D11" s="757">
        <v>0</v>
      </c>
      <c r="E11" s="757">
        <v>0</v>
      </c>
      <c r="F11" s="757">
        <v>0</v>
      </c>
      <c r="G11" s="757">
        <v>0</v>
      </c>
      <c r="H11" s="757">
        <v>0</v>
      </c>
      <c r="I11" s="757">
        <v>0</v>
      </c>
      <c r="J11" s="757">
        <v>0</v>
      </c>
      <c r="K11" s="757">
        <v>0</v>
      </c>
      <c r="L11" s="757">
        <v>0</v>
      </c>
      <c r="M11" s="757">
        <v>1</v>
      </c>
      <c r="N11" s="757">
        <v>0</v>
      </c>
      <c r="O11" s="757">
        <v>0</v>
      </c>
      <c r="P11" s="757">
        <v>0</v>
      </c>
      <c r="Q11" s="757">
        <v>0</v>
      </c>
      <c r="R11" s="757">
        <v>0</v>
      </c>
      <c r="S11" s="757">
        <v>0</v>
      </c>
      <c r="T11" s="757">
        <v>0</v>
      </c>
      <c r="U11" s="778">
        <f t="shared" ref="U11:U31" si="3">SUM(C11:T11)</f>
        <v>1</v>
      </c>
    </row>
    <row r="12" spans="1:21" s="263" customFormat="1" x14ac:dyDescent="0.3">
      <c r="A12" s="773"/>
      <c r="B12" s="21" t="s">
        <v>4046</v>
      </c>
      <c r="C12" s="715">
        <f>+C4</f>
        <v>16</v>
      </c>
      <c r="D12" s="715">
        <f t="shared" ref="D12:T12" si="4">+D4</f>
        <v>9</v>
      </c>
      <c r="E12" s="715">
        <f t="shared" si="4"/>
        <v>2</v>
      </c>
      <c r="F12" s="715">
        <f t="shared" si="4"/>
        <v>10</v>
      </c>
      <c r="G12" s="715">
        <f t="shared" si="4"/>
        <v>4</v>
      </c>
      <c r="H12" s="715">
        <f t="shared" si="4"/>
        <v>6</v>
      </c>
      <c r="I12" s="715">
        <f t="shared" si="4"/>
        <v>3</v>
      </c>
      <c r="J12" s="715">
        <f t="shared" si="4"/>
        <v>6</v>
      </c>
      <c r="K12" s="715">
        <f t="shared" si="4"/>
        <v>8</v>
      </c>
      <c r="L12" s="715">
        <f t="shared" si="4"/>
        <v>8</v>
      </c>
      <c r="M12" s="715">
        <f t="shared" si="4"/>
        <v>4</v>
      </c>
      <c r="N12" s="715">
        <f t="shared" si="4"/>
        <v>8</v>
      </c>
      <c r="O12" s="715">
        <f t="shared" si="4"/>
        <v>5</v>
      </c>
      <c r="P12" s="715">
        <f t="shared" si="4"/>
        <v>0</v>
      </c>
      <c r="Q12" s="715">
        <f t="shared" si="4"/>
        <v>0</v>
      </c>
      <c r="R12" s="715">
        <f t="shared" si="4"/>
        <v>0</v>
      </c>
      <c r="S12" s="715">
        <f t="shared" si="4"/>
        <v>0</v>
      </c>
      <c r="T12" s="715">
        <f t="shared" si="4"/>
        <v>0</v>
      </c>
      <c r="U12" s="778">
        <f t="shared" si="3"/>
        <v>89</v>
      </c>
    </row>
    <row r="13" spans="1:21" s="263" customFormat="1" x14ac:dyDescent="0.3">
      <c r="A13" s="776"/>
      <c r="B13" s="760" t="s">
        <v>4047</v>
      </c>
      <c r="C13" s="761">
        <f>+C12/$U$12</f>
        <v>0.1797752808988764</v>
      </c>
      <c r="D13" s="761">
        <f t="shared" ref="D13:T13" si="5">+D12/$U$12</f>
        <v>0.10112359550561797</v>
      </c>
      <c r="E13" s="761">
        <f t="shared" si="5"/>
        <v>2.247191011235955E-2</v>
      </c>
      <c r="F13" s="761">
        <f t="shared" si="5"/>
        <v>0.11235955056179775</v>
      </c>
      <c r="G13" s="761">
        <f t="shared" si="5"/>
        <v>4.49438202247191E-2</v>
      </c>
      <c r="H13" s="761">
        <f t="shared" si="5"/>
        <v>6.741573033707865E-2</v>
      </c>
      <c r="I13" s="761">
        <f t="shared" si="5"/>
        <v>3.3707865168539325E-2</v>
      </c>
      <c r="J13" s="761">
        <f t="shared" si="5"/>
        <v>6.741573033707865E-2</v>
      </c>
      <c r="K13" s="761">
        <f t="shared" si="5"/>
        <v>8.98876404494382E-2</v>
      </c>
      <c r="L13" s="761">
        <f t="shared" si="5"/>
        <v>8.98876404494382E-2</v>
      </c>
      <c r="M13" s="761">
        <f t="shared" si="5"/>
        <v>4.49438202247191E-2</v>
      </c>
      <c r="N13" s="761">
        <f t="shared" si="5"/>
        <v>8.98876404494382E-2</v>
      </c>
      <c r="O13" s="761">
        <f t="shared" si="5"/>
        <v>5.6179775280898875E-2</v>
      </c>
      <c r="P13" s="761">
        <f t="shared" si="5"/>
        <v>0</v>
      </c>
      <c r="Q13" s="761">
        <f t="shared" si="5"/>
        <v>0</v>
      </c>
      <c r="R13" s="761">
        <f t="shared" si="5"/>
        <v>0</v>
      </c>
      <c r="S13" s="761">
        <f t="shared" si="5"/>
        <v>0</v>
      </c>
      <c r="T13" s="761">
        <f t="shared" si="5"/>
        <v>0</v>
      </c>
      <c r="U13" s="778">
        <f t="shared" si="3"/>
        <v>1</v>
      </c>
    </row>
    <row r="14" spans="1:21" s="263" customFormat="1" x14ac:dyDescent="0.3">
      <c r="A14" s="773"/>
      <c r="B14" s="21" t="s">
        <v>4048</v>
      </c>
      <c r="C14" s="715">
        <v>194</v>
      </c>
      <c r="D14" s="715">
        <v>21.5</v>
      </c>
      <c r="E14" s="715">
        <v>6</v>
      </c>
      <c r="F14" s="715">
        <v>26</v>
      </c>
      <c r="G14" s="715">
        <v>9</v>
      </c>
      <c r="H14" s="715">
        <f>51.5/2</f>
        <v>25.75</v>
      </c>
      <c r="I14" s="715">
        <v>25.75</v>
      </c>
      <c r="J14" s="715">
        <v>43</v>
      </c>
      <c r="K14" s="715">
        <v>76.5</v>
      </c>
      <c r="L14" s="715">
        <v>31.5</v>
      </c>
      <c r="M14" s="715">
        <v>5.5</v>
      </c>
      <c r="N14" s="715">
        <v>115.5</v>
      </c>
      <c r="O14" s="715">
        <v>7</v>
      </c>
      <c r="P14" s="715">
        <v>0</v>
      </c>
      <c r="Q14" s="715">
        <v>0</v>
      </c>
      <c r="R14" s="715">
        <v>0</v>
      </c>
      <c r="S14" s="715">
        <v>0</v>
      </c>
      <c r="T14" s="715">
        <v>0</v>
      </c>
      <c r="U14" s="778">
        <f t="shared" si="3"/>
        <v>587</v>
      </c>
    </row>
    <row r="15" spans="1:21" s="263" customFormat="1" x14ac:dyDescent="0.3">
      <c r="A15" s="774">
        <v>6</v>
      </c>
      <c r="B15" s="756" t="s">
        <v>4049</v>
      </c>
      <c r="C15" s="757">
        <f>+C14/$U$14</f>
        <v>0.33049403747870526</v>
      </c>
      <c r="D15" s="757">
        <f t="shared" ref="D15:T15" si="6">+D14/$U$14</f>
        <v>3.6626916524701875E-2</v>
      </c>
      <c r="E15" s="757">
        <f t="shared" si="6"/>
        <v>1.0221465076660987E-2</v>
      </c>
      <c r="F15" s="757">
        <f t="shared" si="6"/>
        <v>4.4293015332197615E-2</v>
      </c>
      <c r="G15" s="757">
        <f t="shared" si="6"/>
        <v>1.5332197614991482E-2</v>
      </c>
      <c r="H15" s="757">
        <f t="shared" si="6"/>
        <v>4.3867120954003407E-2</v>
      </c>
      <c r="I15" s="757">
        <f t="shared" si="6"/>
        <v>4.3867120954003407E-2</v>
      </c>
      <c r="J15" s="757">
        <f t="shared" si="6"/>
        <v>7.3253833049403749E-2</v>
      </c>
      <c r="K15" s="757">
        <f t="shared" si="6"/>
        <v>0.13032367972742759</v>
      </c>
      <c r="L15" s="757">
        <f t="shared" si="6"/>
        <v>5.3662691652470187E-2</v>
      </c>
      <c r="M15" s="757">
        <f t="shared" si="6"/>
        <v>9.3696763202725727E-3</v>
      </c>
      <c r="N15" s="757">
        <f t="shared" si="6"/>
        <v>0.19676320272572401</v>
      </c>
      <c r="O15" s="757">
        <f t="shared" si="6"/>
        <v>1.192504258943782E-2</v>
      </c>
      <c r="P15" s="757">
        <f t="shared" si="6"/>
        <v>0</v>
      </c>
      <c r="Q15" s="757">
        <f t="shared" si="6"/>
        <v>0</v>
      </c>
      <c r="R15" s="757">
        <f t="shared" si="6"/>
        <v>0</v>
      </c>
      <c r="S15" s="757">
        <f t="shared" si="6"/>
        <v>0</v>
      </c>
      <c r="T15" s="757">
        <f t="shared" si="6"/>
        <v>0</v>
      </c>
      <c r="U15" s="778">
        <f t="shared" si="3"/>
        <v>0.99999999999999989</v>
      </c>
    </row>
    <row r="16" spans="1:21" s="263" customFormat="1" x14ac:dyDescent="0.3">
      <c r="A16" s="774">
        <v>7</v>
      </c>
      <c r="B16" s="756" t="s">
        <v>4050</v>
      </c>
      <c r="C16" s="757">
        <f t="shared" ref="C16:O16" si="7">+C13*0.4+C15*0.6</f>
        <v>0.2702065348467737</v>
      </c>
      <c r="D16" s="757">
        <f t="shared" si="7"/>
        <v>6.2425588117068317E-2</v>
      </c>
      <c r="E16" s="757">
        <f t="shared" si="7"/>
        <v>1.5121643090940412E-2</v>
      </c>
      <c r="F16" s="757">
        <f t="shared" si="7"/>
        <v>7.1519629424037667E-2</v>
      </c>
      <c r="G16" s="757">
        <f t="shared" si="7"/>
        <v>2.7176846658882529E-2</v>
      </c>
      <c r="H16" s="757">
        <f t="shared" si="7"/>
        <v>5.3286564707233502E-2</v>
      </c>
      <c r="I16" s="757">
        <f t="shared" si="7"/>
        <v>3.9803418639817775E-2</v>
      </c>
      <c r="J16" s="757">
        <f t="shared" si="7"/>
        <v>7.0918591964473712E-2</v>
      </c>
      <c r="K16" s="757">
        <f t="shared" si="7"/>
        <v>0.11414926401623182</v>
      </c>
      <c r="L16" s="757">
        <f t="shared" si="7"/>
        <v>6.8152671171257395E-2</v>
      </c>
      <c r="M16" s="757">
        <f t="shared" si="7"/>
        <v>2.3599333882051186E-2</v>
      </c>
      <c r="N16" s="757">
        <f t="shared" si="7"/>
        <v>0.15401297781520967</v>
      </c>
      <c r="O16" s="757">
        <f t="shared" si="7"/>
        <v>2.9626935666022241E-2</v>
      </c>
      <c r="P16" s="757">
        <f>+P13*0.4</f>
        <v>0</v>
      </c>
      <c r="Q16" s="757">
        <f>+Q13*0.4+Q15*0.6</f>
        <v>0</v>
      </c>
      <c r="R16" s="757">
        <f>+R13*0.4+R15*0.6</f>
        <v>0</v>
      </c>
      <c r="S16" s="757">
        <f>+S13*0.4+S15*0.6</f>
        <v>0</v>
      </c>
      <c r="T16" s="757">
        <f>+T13*0.4+T15*0.6</f>
        <v>0</v>
      </c>
      <c r="U16" s="778">
        <f t="shared" si="3"/>
        <v>0.99999999999999989</v>
      </c>
    </row>
    <row r="17" spans="1:21" s="263" customFormat="1" x14ac:dyDescent="0.3">
      <c r="A17" s="773"/>
      <c r="B17" s="21" t="s">
        <v>4051</v>
      </c>
      <c r="C17" s="715">
        <v>0</v>
      </c>
      <c r="D17" s="715">
        <v>0</v>
      </c>
      <c r="E17" s="715">
        <v>0</v>
      </c>
      <c r="F17" s="715">
        <v>0</v>
      </c>
      <c r="G17" s="715">
        <v>0</v>
      </c>
      <c r="H17" s="715">
        <v>0</v>
      </c>
      <c r="I17" s="715">
        <v>0</v>
      </c>
      <c r="J17" s="715">
        <v>0</v>
      </c>
      <c r="K17" s="715">
        <v>8</v>
      </c>
      <c r="L17" s="715">
        <v>0</v>
      </c>
      <c r="M17" s="715">
        <v>0</v>
      </c>
      <c r="N17" s="715">
        <v>0</v>
      </c>
      <c r="O17" s="715">
        <v>6</v>
      </c>
      <c r="P17" s="715">
        <v>0</v>
      </c>
      <c r="Q17" s="715">
        <v>0</v>
      </c>
      <c r="R17" s="715">
        <v>0</v>
      </c>
      <c r="S17" s="715">
        <v>0</v>
      </c>
      <c r="T17" s="715">
        <v>0</v>
      </c>
      <c r="U17" s="778">
        <f t="shared" si="3"/>
        <v>14</v>
      </c>
    </row>
    <row r="18" spans="1:21" s="263" customFormat="1" x14ac:dyDescent="0.3">
      <c r="A18" s="773"/>
      <c r="B18" s="21" t="s">
        <v>4052</v>
      </c>
      <c r="C18" s="715">
        <v>0</v>
      </c>
      <c r="D18" s="715">
        <v>0</v>
      </c>
      <c r="E18" s="715">
        <v>0</v>
      </c>
      <c r="F18" s="715">
        <v>0</v>
      </c>
      <c r="G18" s="715">
        <v>0</v>
      </c>
      <c r="H18" s="715">
        <v>0</v>
      </c>
      <c r="I18" s="715">
        <v>0</v>
      </c>
      <c r="J18" s="715">
        <v>0</v>
      </c>
      <c r="K18" s="715">
        <f>+K17/U17</f>
        <v>0.5714285714285714</v>
      </c>
      <c r="L18" s="715">
        <v>0</v>
      </c>
      <c r="M18" s="715">
        <v>0</v>
      </c>
      <c r="N18" s="715">
        <v>0</v>
      </c>
      <c r="O18" s="715">
        <f>+O17/U17</f>
        <v>0.42857142857142855</v>
      </c>
      <c r="P18" s="715">
        <v>0</v>
      </c>
      <c r="Q18" s="715">
        <v>0</v>
      </c>
      <c r="R18" s="715">
        <v>0</v>
      </c>
      <c r="S18" s="715">
        <v>0</v>
      </c>
      <c r="T18" s="715">
        <v>0</v>
      </c>
      <c r="U18" s="778">
        <f t="shared" si="3"/>
        <v>1</v>
      </c>
    </row>
    <row r="19" spans="1:21" s="263" customFormat="1" x14ac:dyDescent="0.3">
      <c r="A19" s="773"/>
      <c r="B19" s="21" t="s">
        <v>4053</v>
      </c>
      <c r="C19" s="715">
        <v>0</v>
      </c>
      <c r="D19" s="715">
        <v>0</v>
      </c>
      <c r="E19" s="715">
        <v>0</v>
      </c>
      <c r="F19" s="715">
        <v>0</v>
      </c>
      <c r="G19" s="715">
        <v>0</v>
      </c>
      <c r="H19" s="715">
        <v>0</v>
      </c>
      <c r="I19" s="715">
        <v>0</v>
      </c>
      <c r="J19" s="715">
        <v>0</v>
      </c>
      <c r="K19" s="715">
        <f>+K14</f>
        <v>76.5</v>
      </c>
      <c r="L19" s="715">
        <v>0</v>
      </c>
      <c r="M19" s="715">
        <v>0</v>
      </c>
      <c r="N19" s="715">
        <v>0</v>
      </c>
      <c r="O19" s="715">
        <f>+O14</f>
        <v>7</v>
      </c>
      <c r="P19" s="715">
        <v>0</v>
      </c>
      <c r="Q19" s="715">
        <v>0</v>
      </c>
      <c r="R19" s="715">
        <v>0</v>
      </c>
      <c r="S19" s="715">
        <v>0</v>
      </c>
      <c r="T19" s="715">
        <v>0</v>
      </c>
      <c r="U19" s="778">
        <f t="shared" si="3"/>
        <v>83.5</v>
      </c>
    </row>
    <row r="20" spans="1:21" s="263" customFormat="1" x14ac:dyDescent="0.3">
      <c r="A20" s="773"/>
      <c r="B20" s="21" t="s">
        <v>4054</v>
      </c>
      <c r="C20" s="715">
        <v>0</v>
      </c>
      <c r="D20" s="715">
        <v>0</v>
      </c>
      <c r="E20" s="715">
        <v>0</v>
      </c>
      <c r="F20" s="715">
        <v>0</v>
      </c>
      <c r="G20" s="715">
        <v>0</v>
      </c>
      <c r="H20" s="715">
        <v>0</v>
      </c>
      <c r="I20" s="715">
        <v>0</v>
      </c>
      <c r="J20" s="715">
        <v>0</v>
      </c>
      <c r="K20" s="715">
        <f>+K19/U19</f>
        <v>0.91616766467065869</v>
      </c>
      <c r="L20" s="715">
        <v>0</v>
      </c>
      <c r="M20" s="715">
        <v>0</v>
      </c>
      <c r="N20" s="715">
        <v>0</v>
      </c>
      <c r="O20" s="715">
        <f>+O19/U19</f>
        <v>8.3832335329341312E-2</v>
      </c>
      <c r="P20" s="715">
        <v>0</v>
      </c>
      <c r="Q20" s="715">
        <v>0</v>
      </c>
      <c r="R20" s="715">
        <v>0</v>
      </c>
      <c r="S20" s="715">
        <v>0</v>
      </c>
      <c r="T20" s="715">
        <v>0</v>
      </c>
      <c r="U20" s="778">
        <f t="shared" si="3"/>
        <v>1</v>
      </c>
    </row>
    <row r="21" spans="1:21" s="762" customFormat="1" x14ac:dyDescent="0.3">
      <c r="A21" s="774">
        <v>8</v>
      </c>
      <c r="B21" s="756" t="s">
        <v>4055</v>
      </c>
      <c r="C21" s="757">
        <v>0</v>
      </c>
      <c r="D21" s="757">
        <v>0</v>
      </c>
      <c r="E21" s="757">
        <v>0</v>
      </c>
      <c r="F21" s="757">
        <v>0</v>
      </c>
      <c r="G21" s="757">
        <v>0</v>
      </c>
      <c r="H21" s="757">
        <v>0</v>
      </c>
      <c r="I21" s="757">
        <v>0</v>
      </c>
      <c r="J21" s="757">
        <v>0</v>
      </c>
      <c r="K21" s="757">
        <f>+K18*0.4+K20*0.6</f>
        <v>0.77827202737382373</v>
      </c>
      <c r="L21" s="757">
        <v>0</v>
      </c>
      <c r="M21" s="757">
        <v>0</v>
      </c>
      <c r="N21" s="757">
        <v>0</v>
      </c>
      <c r="O21" s="757">
        <f>+O18*0.4+O20*0.6</f>
        <v>0.22172797262617622</v>
      </c>
      <c r="P21" s="757">
        <v>0</v>
      </c>
      <c r="Q21" s="757">
        <v>0</v>
      </c>
      <c r="R21" s="757">
        <v>0</v>
      </c>
      <c r="S21" s="757">
        <v>0</v>
      </c>
      <c r="T21" s="757">
        <v>0</v>
      </c>
      <c r="U21" s="778">
        <f t="shared" si="3"/>
        <v>1</v>
      </c>
    </row>
    <row r="22" spans="1:21" s="263" customFormat="1" x14ac:dyDescent="0.3">
      <c r="A22" s="773"/>
      <c r="B22" s="21" t="s">
        <v>4056</v>
      </c>
      <c r="C22" s="715">
        <v>0</v>
      </c>
      <c r="D22" s="715">
        <v>1</v>
      </c>
      <c r="E22" s="715">
        <v>0</v>
      </c>
      <c r="F22" s="715">
        <v>0</v>
      </c>
      <c r="G22" s="715">
        <v>0</v>
      </c>
      <c r="H22" s="715">
        <v>0</v>
      </c>
      <c r="I22" s="715">
        <v>0</v>
      </c>
      <c r="J22" s="715">
        <v>1</v>
      </c>
      <c r="K22" s="715">
        <v>0</v>
      </c>
      <c r="L22" s="715">
        <v>0</v>
      </c>
      <c r="M22" s="715">
        <v>0</v>
      </c>
      <c r="N22" s="715">
        <v>2</v>
      </c>
      <c r="O22" s="715">
        <v>1</v>
      </c>
      <c r="P22" s="715">
        <v>0</v>
      </c>
      <c r="Q22" s="715">
        <v>0</v>
      </c>
      <c r="R22" s="715">
        <v>0</v>
      </c>
      <c r="S22" s="715">
        <v>0</v>
      </c>
      <c r="T22" s="715">
        <v>0</v>
      </c>
      <c r="U22" s="778">
        <f t="shared" si="3"/>
        <v>5</v>
      </c>
    </row>
    <row r="23" spans="1:21" s="263" customFormat="1" x14ac:dyDescent="0.3">
      <c r="A23" s="774">
        <v>9</v>
      </c>
      <c r="B23" s="758" t="s">
        <v>4184</v>
      </c>
      <c r="C23" s="759">
        <f>+C22/$U$22</f>
        <v>0</v>
      </c>
      <c r="D23" s="759">
        <f t="shared" ref="D23:T23" si="8">+D22/$U$22</f>
        <v>0.2</v>
      </c>
      <c r="E23" s="759">
        <f t="shared" si="8"/>
        <v>0</v>
      </c>
      <c r="F23" s="759">
        <f t="shared" si="8"/>
        <v>0</v>
      </c>
      <c r="G23" s="759">
        <f t="shared" si="8"/>
        <v>0</v>
      </c>
      <c r="H23" s="759">
        <f t="shared" si="8"/>
        <v>0</v>
      </c>
      <c r="I23" s="759">
        <f t="shared" si="8"/>
        <v>0</v>
      </c>
      <c r="J23" s="759">
        <f t="shared" si="8"/>
        <v>0.2</v>
      </c>
      <c r="K23" s="759">
        <f t="shared" si="8"/>
        <v>0</v>
      </c>
      <c r="L23" s="759">
        <f t="shared" si="8"/>
        <v>0</v>
      </c>
      <c r="M23" s="759">
        <f t="shared" si="8"/>
        <v>0</v>
      </c>
      <c r="N23" s="759">
        <f t="shared" si="8"/>
        <v>0.4</v>
      </c>
      <c r="O23" s="759">
        <f t="shared" si="8"/>
        <v>0.2</v>
      </c>
      <c r="P23" s="759">
        <f t="shared" si="8"/>
        <v>0</v>
      </c>
      <c r="Q23" s="759">
        <f t="shared" si="8"/>
        <v>0</v>
      </c>
      <c r="R23" s="759">
        <f t="shared" si="8"/>
        <v>0</v>
      </c>
      <c r="S23" s="759">
        <f t="shared" si="8"/>
        <v>0</v>
      </c>
      <c r="T23" s="759">
        <f t="shared" si="8"/>
        <v>0</v>
      </c>
      <c r="U23" s="778">
        <f t="shared" si="3"/>
        <v>1</v>
      </c>
    </row>
    <row r="24" spans="1:21" s="720" customFormat="1" x14ac:dyDescent="0.3">
      <c r="A24" s="777"/>
      <c r="B24" s="90" t="s">
        <v>4057</v>
      </c>
      <c r="C24" s="90">
        <f>64048618+15214204</f>
        <v>79262822</v>
      </c>
      <c r="D24" s="90">
        <v>66312187</v>
      </c>
      <c r="E24" s="90">
        <v>11424372</v>
      </c>
      <c r="F24" s="90">
        <v>62545655</v>
      </c>
      <c r="G24" s="90">
        <v>22534466</v>
      </c>
      <c r="H24" s="90">
        <v>38091950</v>
      </c>
      <c r="I24" s="90">
        <f>14153513+4905982</f>
        <v>19059495</v>
      </c>
      <c r="J24" s="90">
        <v>38788200</v>
      </c>
      <c r="K24" s="90">
        <v>45171534</v>
      </c>
      <c r="L24" s="90">
        <f>29873452+5895023</f>
        <v>35768475</v>
      </c>
      <c r="M24" s="90">
        <f>13299408+11155851</f>
        <v>24455259</v>
      </c>
      <c r="N24" s="90">
        <f>46624187+5673232</f>
        <v>52297419</v>
      </c>
      <c r="O24" s="90">
        <v>33706635</v>
      </c>
      <c r="P24" s="90">
        <v>61300554</v>
      </c>
      <c r="Q24" s="90">
        <v>11496440</v>
      </c>
      <c r="R24" s="90">
        <v>386120</v>
      </c>
      <c r="S24" s="90">
        <f>+'1 kari főtábla'!AD212</f>
        <v>0</v>
      </c>
      <c r="T24" s="90">
        <f>+'1 kari főtábla'!AE212</f>
        <v>0</v>
      </c>
      <c r="U24" s="778">
        <f t="shared" si="3"/>
        <v>602601583</v>
      </c>
    </row>
    <row r="25" spans="1:21" s="762" customFormat="1" x14ac:dyDescent="0.3">
      <c r="A25" s="774">
        <v>10</v>
      </c>
      <c r="B25" s="756" t="s">
        <v>4058</v>
      </c>
      <c r="C25" s="757">
        <f>+C24/$U$24</f>
        <v>0.13153437401441409</v>
      </c>
      <c r="D25" s="757">
        <f t="shared" ref="D25:T25" si="9">+D24/$U$24</f>
        <v>0.11004316760980032</v>
      </c>
      <c r="E25" s="757">
        <f t="shared" si="9"/>
        <v>1.8958416841729404E-2</v>
      </c>
      <c r="F25" s="757">
        <f t="shared" si="9"/>
        <v>0.10379271605730249</v>
      </c>
      <c r="G25" s="757">
        <f t="shared" si="9"/>
        <v>3.7395298379095034E-2</v>
      </c>
      <c r="H25" s="757">
        <f t="shared" si="9"/>
        <v>6.3212495742813207E-2</v>
      </c>
      <c r="I25" s="757">
        <f t="shared" si="9"/>
        <v>3.16286839226574E-2</v>
      </c>
      <c r="J25" s="757">
        <f t="shared" si="9"/>
        <v>6.4367902598091914E-2</v>
      </c>
      <c r="K25" s="757">
        <f t="shared" si="9"/>
        <v>7.4960861827009173E-2</v>
      </c>
      <c r="L25" s="757">
        <f t="shared" si="9"/>
        <v>5.9356755788675053E-2</v>
      </c>
      <c r="M25" s="757">
        <f t="shared" si="9"/>
        <v>4.058279913280613E-2</v>
      </c>
      <c r="N25" s="757">
        <f t="shared" si="9"/>
        <v>8.6786063089382887E-2</v>
      </c>
      <c r="O25" s="757">
        <f t="shared" si="9"/>
        <v>5.5935191594078504E-2</v>
      </c>
      <c r="P25" s="757">
        <f t="shared" si="9"/>
        <v>0.10172650674898742</v>
      </c>
      <c r="Q25" s="757">
        <f t="shared" si="9"/>
        <v>1.9078011615512137E-2</v>
      </c>
      <c r="R25" s="757">
        <f t="shared" si="9"/>
        <v>6.4075503764483138E-4</v>
      </c>
      <c r="S25" s="757">
        <f t="shared" si="9"/>
        <v>0</v>
      </c>
      <c r="T25" s="757">
        <f t="shared" si="9"/>
        <v>0</v>
      </c>
      <c r="U25" s="778">
        <f t="shared" si="3"/>
        <v>0.99999999999999989</v>
      </c>
    </row>
    <row r="26" spans="1:21" x14ac:dyDescent="0.3">
      <c r="A26" s="779"/>
      <c r="B26" s="765" t="s">
        <v>4185</v>
      </c>
      <c r="C26" s="141">
        <f>+'1 kari főtábla'!N4</f>
        <v>90918134.668957964</v>
      </c>
      <c r="D26" s="141">
        <f>+'1 kari főtábla'!O4</f>
        <v>10654288.941381192</v>
      </c>
      <c r="E26" s="141">
        <f>+'1 kari főtábla'!P4</f>
        <v>1569444.573689163</v>
      </c>
      <c r="F26" s="141">
        <f>+'1 kari főtábla'!Q4</f>
        <v>18272964.318674561</v>
      </c>
      <c r="G26" s="141">
        <f>+'1 kari főtábla'!R4</f>
        <v>5179913.0785105638</v>
      </c>
      <c r="H26" s="141">
        <f>+'1 kari főtábla'!S4</f>
        <v>28126645.669710267</v>
      </c>
      <c r="I26" s="141">
        <f>+'1 kari főtábla'!T4</f>
        <v>17414772.779293645</v>
      </c>
      <c r="J26" s="141">
        <f>+'1 kari főtábla'!U4</f>
        <v>21374815.569439165</v>
      </c>
      <c r="K26" s="141">
        <f>+'1 kari főtábla'!V4</f>
        <v>27947575.536446568</v>
      </c>
      <c r="L26" s="141">
        <f>+'1 kari főtábla'!W4</f>
        <v>17271451.591497488</v>
      </c>
      <c r="M26" s="141">
        <f>+'1 kari főtábla'!X4</f>
        <v>2611755.5682723564</v>
      </c>
      <c r="N26" s="141">
        <f>+'1 kari főtábla'!Y4</f>
        <v>78715524.109550804</v>
      </c>
      <c r="O26" s="141">
        <f>+'1 kari főtábla'!Z4</f>
        <v>6953135.528767406</v>
      </c>
      <c r="P26" s="141">
        <f>+'1 kari főtábla'!AA4</f>
        <v>422235.6968181238</v>
      </c>
      <c r="Q26" s="141">
        <f>+'1 kari főtábla'!AB4</f>
        <v>0</v>
      </c>
      <c r="R26" s="141">
        <f>+'1 kari főtábla'!AC4</f>
        <v>0</v>
      </c>
      <c r="S26" s="141">
        <f>+'1 kari főtábla'!AD4</f>
        <v>0</v>
      </c>
      <c r="T26" s="141">
        <f>+'1 kari főtábla'!AE4</f>
        <v>0</v>
      </c>
      <c r="U26" s="778">
        <f t="shared" si="3"/>
        <v>327432657.63100928</v>
      </c>
    </row>
    <row r="27" spans="1:21" s="780" customFormat="1" x14ac:dyDescent="0.3">
      <c r="A27" s="781">
        <v>11</v>
      </c>
      <c r="B27" s="782" t="s">
        <v>4186</v>
      </c>
      <c r="C27" s="757">
        <f>+C26/$U$26</f>
        <v>0.27766972093362635</v>
      </c>
      <c r="D27" s="757">
        <f t="shared" ref="D27:T27" si="10">+D26/$U$26</f>
        <v>3.2538870797022737E-2</v>
      </c>
      <c r="E27" s="757">
        <f t="shared" si="10"/>
        <v>4.7931827724337836E-3</v>
      </c>
      <c r="F27" s="757">
        <f t="shared" si="10"/>
        <v>5.5806786198054646E-2</v>
      </c>
      <c r="G27" s="757">
        <f t="shared" si="10"/>
        <v>1.5819781435326211E-2</v>
      </c>
      <c r="H27" s="757">
        <f t="shared" si="10"/>
        <v>8.5900550889480218E-2</v>
      </c>
      <c r="I27" s="757">
        <f t="shared" si="10"/>
        <v>5.3185815078099871E-2</v>
      </c>
      <c r="J27" s="757">
        <f t="shared" si="10"/>
        <v>6.5280035669279188E-2</v>
      </c>
      <c r="K27" s="757">
        <f t="shared" si="10"/>
        <v>8.535365940174873E-2</v>
      </c>
      <c r="L27" s="757">
        <f t="shared" si="10"/>
        <v>5.2748103125867939E-2</v>
      </c>
      <c r="M27" s="757">
        <f t="shared" si="10"/>
        <v>7.9764663279726922E-3</v>
      </c>
      <c r="N27" s="757">
        <f t="shared" si="10"/>
        <v>0.24040217820379106</v>
      </c>
      <c r="O27" s="757">
        <f t="shared" si="10"/>
        <v>2.1235314702796201E-2</v>
      </c>
      <c r="P27" s="757">
        <f t="shared" si="10"/>
        <v>1.2895344645003312E-3</v>
      </c>
      <c r="Q27" s="757">
        <f t="shared" si="10"/>
        <v>0</v>
      </c>
      <c r="R27" s="757">
        <f t="shared" si="10"/>
        <v>0</v>
      </c>
      <c r="S27" s="757">
        <f t="shared" si="10"/>
        <v>0</v>
      </c>
      <c r="T27" s="757">
        <f t="shared" si="10"/>
        <v>0</v>
      </c>
      <c r="U27" s="778">
        <f t="shared" si="3"/>
        <v>0.99999999999999989</v>
      </c>
    </row>
    <row r="28" spans="1:21" x14ac:dyDescent="0.3">
      <c r="A28" s="779"/>
      <c r="B28" s="765" t="s">
        <v>4187</v>
      </c>
      <c r="C28" s="765"/>
      <c r="D28" s="141">
        <v>352445</v>
      </c>
      <c r="E28" s="765"/>
      <c r="F28" s="765"/>
      <c r="G28" s="766"/>
      <c r="H28" s="765"/>
      <c r="I28" s="765"/>
      <c r="J28" s="765"/>
      <c r="K28" s="765"/>
      <c r="L28" s="765"/>
      <c r="M28" s="141">
        <v>359004</v>
      </c>
      <c r="N28" s="765"/>
      <c r="O28" s="765"/>
      <c r="P28" s="765"/>
      <c r="Q28" s="765"/>
      <c r="R28" s="765"/>
      <c r="S28" s="765"/>
      <c r="T28" s="765"/>
      <c r="U28" s="778">
        <f t="shared" si="3"/>
        <v>711449</v>
      </c>
    </row>
    <row r="29" spans="1:21" s="265" customFormat="1" x14ac:dyDescent="0.3">
      <c r="A29" s="781">
        <v>12</v>
      </c>
      <c r="B29" s="764" t="s">
        <v>4188</v>
      </c>
      <c r="C29" s="781"/>
      <c r="D29" s="759">
        <f>+D28/$U$28</f>
        <v>0.49539039340838203</v>
      </c>
      <c r="E29" s="759">
        <f t="shared" ref="E29:T29" si="11">+E28/$U$28</f>
        <v>0</v>
      </c>
      <c r="F29" s="759">
        <f t="shared" si="11"/>
        <v>0</v>
      </c>
      <c r="G29" s="759">
        <f t="shared" si="11"/>
        <v>0</v>
      </c>
      <c r="H29" s="759">
        <f t="shared" si="11"/>
        <v>0</v>
      </c>
      <c r="I29" s="759">
        <f t="shared" si="11"/>
        <v>0</v>
      </c>
      <c r="J29" s="759">
        <f t="shared" si="11"/>
        <v>0</v>
      </c>
      <c r="K29" s="759">
        <f t="shared" si="11"/>
        <v>0</v>
      </c>
      <c r="L29" s="759">
        <f t="shared" si="11"/>
        <v>0</v>
      </c>
      <c r="M29" s="759">
        <f t="shared" si="11"/>
        <v>0.50460960659161791</v>
      </c>
      <c r="N29" s="759">
        <f t="shared" si="11"/>
        <v>0</v>
      </c>
      <c r="O29" s="759">
        <f t="shared" si="11"/>
        <v>0</v>
      </c>
      <c r="P29" s="759">
        <f t="shared" si="11"/>
        <v>0</v>
      </c>
      <c r="Q29" s="759">
        <f t="shared" si="11"/>
        <v>0</v>
      </c>
      <c r="R29" s="759">
        <f t="shared" si="11"/>
        <v>0</v>
      </c>
      <c r="S29" s="759">
        <f t="shared" si="11"/>
        <v>0</v>
      </c>
      <c r="T29" s="759">
        <f t="shared" si="11"/>
        <v>0</v>
      </c>
      <c r="U29" s="778">
        <f t="shared" si="3"/>
        <v>1</v>
      </c>
    </row>
    <row r="30" spans="1:21" x14ac:dyDescent="0.3">
      <c r="A30" s="1066"/>
      <c r="B30" s="263" t="s">
        <v>4215</v>
      </c>
      <c r="C30" s="270">
        <v>-3886907</v>
      </c>
      <c r="D30" s="270">
        <v>-4588565</v>
      </c>
      <c r="E30" s="270">
        <v>-836471</v>
      </c>
      <c r="F30" s="270">
        <v>-4829395</v>
      </c>
      <c r="G30" s="270">
        <v>-1689496</v>
      </c>
      <c r="H30" s="270">
        <v>-2848036</v>
      </c>
      <c r="I30" s="270">
        <v>-1288422</v>
      </c>
      <c r="J30" s="270">
        <v>-2849375</v>
      </c>
      <c r="K30" s="270">
        <v>-3603430</v>
      </c>
      <c r="L30" s="270">
        <v>-1135006</v>
      </c>
      <c r="M30" s="270">
        <v>-1949715</v>
      </c>
      <c r="N30" s="270">
        <v>-3407979</v>
      </c>
      <c r="O30" s="270">
        <v>-2465242</v>
      </c>
      <c r="P30" s="270">
        <v>-3489733</v>
      </c>
      <c r="Q30" s="270">
        <v>-683421</v>
      </c>
      <c r="R30" s="270">
        <v>-145179</v>
      </c>
      <c r="S30" s="722"/>
      <c r="T30" s="722"/>
      <c r="U30" s="778">
        <f t="shared" si="3"/>
        <v>-39696372</v>
      </c>
    </row>
    <row r="31" spans="1:21" x14ac:dyDescent="0.3">
      <c r="A31" s="781">
        <v>13</v>
      </c>
      <c r="B31" s="783" t="s">
        <v>4189</v>
      </c>
      <c r="C31" s="757">
        <f>+C30/$U$30</f>
        <v>9.7915925415048011E-2</v>
      </c>
      <c r="D31" s="757">
        <f t="shared" ref="D31:T31" si="12">+D30/$U$30</f>
        <v>0.11559154574629642</v>
      </c>
      <c r="E31" s="757">
        <f t="shared" si="12"/>
        <v>2.1071724136402188E-2</v>
      </c>
      <c r="F31" s="757">
        <f t="shared" si="12"/>
        <v>0.12165834701468436</v>
      </c>
      <c r="G31" s="757">
        <f t="shared" si="12"/>
        <v>4.2560463711897902E-2</v>
      </c>
      <c r="H31" s="757">
        <f t="shared" si="12"/>
        <v>7.1745498555888174E-2</v>
      </c>
      <c r="I31" s="757">
        <f t="shared" si="12"/>
        <v>3.2456920748324306E-2</v>
      </c>
      <c r="J31" s="757">
        <f t="shared" si="12"/>
        <v>7.1779229598110381E-2</v>
      </c>
      <c r="K31" s="757">
        <f t="shared" si="12"/>
        <v>9.0774794230565961E-2</v>
      </c>
      <c r="L31" s="757">
        <f t="shared" si="12"/>
        <v>2.8592184696374773E-2</v>
      </c>
      <c r="M31" s="757">
        <f t="shared" si="12"/>
        <v>4.9115697525204567E-2</v>
      </c>
      <c r="N31" s="757">
        <f t="shared" si="12"/>
        <v>8.5851145288541736E-2</v>
      </c>
      <c r="O31" s="757">
        <f t="shared" si="12"/>
        <v>6.2102451075377874E-2</v>
      </c>
      <c r="P31" s="757">
        <f t="shared" si="12"/>
        <v>8.7910628205519634E-2</v>
      </c>
      <c r="Q31" s="757">
        <f t="shared" si="12"/>
        <v>1.7216208070601514E-2</v>
      </c>
      <c r="R31" s="785">
        <f t="shared" si="12"/>
        <v>3.6572359811622079E-3</v>
      </c>
      <c r="S31" s="757">
        <f t="shared" si="12"/>
        <v>0</v>
      </c>
      <c r="T31" s="757">
        <f t="shared" si="12"/>
        <v>0</v>
      </c>
      <c r="U31" s="778">
        <f t="shared" si="3"/>
        <v>1.0000000000000002</v>
      </c>
    </row>
    <row r="32" spans="1:21" s="784" customFormat="1" x14ac:dyDescent="0.3">
      <c r="A32" s="1067"/>
      <c r="B32" s="1068" t="s">
        <v>4190</v>
      </c>
      <c r="C32" s="270">
        <v>10770079.32</v>
      </c>
      <c r="D32" s="270">
        <v>0</v>
      </c>
      <c r="E32" s="270">
        <v>0</v>
      </c>
      <c r="F32" s="270">
        <v>0</v>
      </c>
      <c r="G32" s="270">
        <v>0</v>
      </c>
      <c r="H32" s="270">
        <v>0</v>
      </c>
      <c r="I32" s="270">
        <v>3858360.66</v>
      </c>
      <c r="J32" s="270">
        <v>0</v>
      </c>
      <c r="K32" s="270">
        <v>0</v>
      </c>
      <c r="L32" s="270">
        <v>5784637.3200000003</v>
      </c>
      <c r="M32" s="270">
        <v>9657837</v>
      </c>
      <c r="N32" s="270">
        <v>4473744.66</v>
      </c>
      <c r="O32" s="270">
        <v>0</v>
      </c>
      <c r="P32" s="270"/>
      <c r="Q32" s="270">
        <v>0</v>
      </c>
      <c r="R32" s="270">
        <v>0</v>
      </c>
      <c r="S32" s="270">
        <v>0</v>
      </c>
      <c r="T32" s="270">
        <v>0</v>
      </c>
      <c r="U32" s="1069">
        <v>34544658.960000001</v>
      </c>
    </row>
    <row r="33" spans="1:21" ht="16.2" thickBot="1" x14ac:dyDescent="0.35">
      <c r="A33" s="1070">
        <v>14</v>
      </c>
      <c r="B33" s="1071" t="s">
        <v>4191</v>
      </c>
      <c r="C33" s="1072">
        <v>0.3117726341565828</v>
      </c>
      <c r="D33" s="1072">
        <v>0</v>
      </c>
      <c r="E33" s="1072">
        <v>0</v>
      </c>
      <c r="F33" s="1072">
        <v>0</v>
      </c>
      <c r="G33" s="1072">
        <v>0</v>
      </c>
      <c r="H33" s="1072">
        <v>0</v>
      </c>
      <c r="I33" s="1072">
        <v>0.11169195980390713</v>
      </c>
      <c r="J33" s="1072">
        <v>0</v>
      </c>
      <c r="K33" s="1072">
        <v>0</v>
      </c>
      <c r="L33" s="1072">
        <v>0.16745388416478957</v>
      </c>
      <c r="M33" s="1072">
        <v>0.27957540444046691</v>
      </c>
      <c r="N33" s="1072">
        <v>0.12950611743425358</v>
      </c>
      <c r="O33" s="1072">
        <v>0</v>
      </c>
      <c r="P33" s="1072">
        <v>0</v>
      </c>
      <c r="Q33" s="1072">
        <v>0</v>
      </c>
      <c r="R33" s="1072">
        <v>0</v>
      </c>
      <c r="S33" s="1072">
        <v>0</v>
      </c>
      <c r="T33" s="1072">
        <v>0</v>
      </c>
      <c r="U33" s="1073">
        <v>0.99999999999999989</v>
      </c>
    </row>
    <row r="39" spans="1:21" x14ac:dyDescent="0.3">
      <c r="G39" s="264"/>
      <c r="R39" s="763"/>
      <c r="U39" s="1064"/>
    </row>
    <row r="40" spans="1:21" x14ac:dyDescent="0.3">
      <c r="G40" s="264"/>
      <c r="R40" s="763"/>
      <c r="U40" s="1064"/>
    </row>
    <row r="41" spans="1:21" x14ac:dyDescent="0.3">
      <c r="G41" s="264"/>
      <c r="R41" s="763"/>
      <c r="U41" s="1064"/>
    </row>
    <row r="42" spans="1:21" x14ac:dyDescent="0.3">
      <c r="G42" s="264"/>
      <c r="R42" s="763"/>
      <c r="U42" s="1064"/>
    </row>
    <row r="43" spans="1:21" x14ac:dyDescent="0.3">
      <c r="G43" s="264"/>
      <c r="R43" s="763"/>
      <c r="U43" s="1064"/>
    </row>
    <row r="44" spans="1:21" x14ac:dyDescent="0.3">
      <c r="G44" s="264"/>
      <c r="R44" s="763"/>
      <c r="U44" s="1064"/>
    </row>
    <row r="45" spans="1:21" x14ac:dyDescent="0.3">
      <c r="G45" s="264"/>
      <c r="R45" s="763"/>
      <c r="U45" s="1064"/>
    </row>
  </sheetData>
  <pageMargins left="0.70866141732283472" right="0.70866141732283472" top="0.74803149606299213" bottom="0.74803149606299213" header="0.31496062992125984" footer="0.31496062992125984"/>
  <pageSetup paperSize="9" scale="75" orientation="landscape" r:id="rId1"/>
  <headerFooter>
    <oddHeader>&amp;L&amp;"Garamond,Félkövér"&amp;20 1. b) melléklet - Pedagógiai és Pszichológiai Kar /Szombathely/
2021. évi belső költségvetése során alkalmazott felosztási algoritmusok</oddHead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7"/>
  <sheetViews>
    <sheetView topLeftCell="E1" workbookViewId="0">
      <selection activeCell="E2" sqref="E2:AE2"/>
    </sheetView>
  </sheetViews>
  <sheetFormatPr defaultRowHeight="15.6" x14ac:dyDescent="0.3"/>
  <cols>
    <col min="1" max="1" width="41.6640625" hidden="1" customWidth="1"/>
    <col min="2" max="2" width="19.109375" hidden="1" customWidth="1"/>
    <col min="3" max="3" width="20.77734375" hidden="1" customWidth="1"/>
    <col min="4" max="4" width="0" hidden="1" customWidth="1"/>
    <col min="5" max="5" width="20.77734375" bestFit="1" customWidth="1"/>
  </cols>
  <sheetData>
    <row r="1" spans="1:31" ht="110.4" x14ac:dyDescent="0.3">
      <c r="A1" t="s">
        <v>2903</v>
      </c>
      <c r="B1" t="s">
        <v>2894</v>
      </c>
      <c r="C1" t="s">
        <v>2902</v>
      </c>
      <c r="E1" t="s">
        <v>2903</v>
      </c>
      <c r="F1" s="133" t="s">
        <v>2881</v>
      </c>
      <c r="G1" s="133" t="s">
        <v>2882</v>
      </c>
      <c r="H1" s="133" t="s">
        <v>2883</v>
      </c>
      <c r="I1" s="133" t="s">
        <v>2884</v>
      </c>
      <c r="J1" s="133" t="s">
        <v>2885</v>
      </c>
      <c r="K1" s="133" t="s">
        <v>2886</v>
      </c>
      <c r="L1" s="133" t="s">
        <v>2887</v>
      </c>
      <c r="M1" s="133" t="s">
        <v>2888</v>
      </c>
      <c r="N1" s="133" t="s">
        <v>2889</v>
      </c>
      <c r="O1" s="133" t="s">
        <v>2890</v>
      </c>
      <c r="P1" s="133" t="s">
        <v>2891</v>
      </c>
      <c r="Q1" s="133" t="s">
        <v>2892</v>
      </c>
      <c r="R1" s="133" t="s">
        <v>2893</v>
      </c>
      <c r="S1" s="133" t="s">
        <v>2895</v>
      </c>
      <c r="T1" s="133" t="s">
        <v>2896</v>
      </c>
      <c r="U1" s="133" t="s">
        <v>2897</v>
      </c>
      <c r="V1" s="133" t="s">
        <v>2898</v>
      </c>
      <c r="W1" s="133" t="s">
        <v>2899</v>
      </c>
      <c r="X1" s="133" t="s">
        <v>2900</v>
      </c>
      <c r="Y1" s="133" t="s">
        <v>2901</v>
      </c>
      <c r="Z1" s="143" t="s">
        <v>106</v>
      </c>
      <c r="AA1" s="143" t="s">
        <v>107</v>
      </c>
      <c r="AB1" s="143" t="s">
        <v>108</v>
      </c>
      <c r="AC1" s="143" t="s">
        <v>2904</v>
      </c>
      <c r="AD1" s="135" t="s">
        <v>2879</v>
      </c>
      <c r="AE1" s="136" t="s">
        <v>2880</v>
      </c>
    </row>
    <row r="2" spans="1:31" x14ac:dyDescent="0.3">
      <c r="A2" s="132" t="s">
        <v>2881</v>
      </c>
      <c r="B2" s="137">
        <v>114.0316091954023</v>
      </c>
      <c r="C2" s="140">
        <v>379159.52840995637</v>
      </c>
      <c r="E2" t="s">
        <v>2894</v>
      </c>
      <c r="F2" s="137">
        <v>114.0316091954023</v>
      </c>
      <c r="G2" s="137">
        <v>24.367528735632185</v>
      </c>
      <c r="H2" s="137">
        <v>47.4</v>
      </c>
      <c r="I2" s="137">
        <v>22.28</v>
      </c>
      <c r="J2" s="137">
        <v>45.68</v>
      </c>
      <c r="K2" s="137">
        <v>57.67</v>
      </c>
      <c r="L2" s="137">
        <v>63</v>
      </c>
      <c r="M2" s="137">
        <v>12.8</v>
      </c>
      <c r="N2" s="137">
        <v>14.35</v>
      </c>
      <c r="O2" s="137">
        <v>19.331609195402297</v>
      </c>
      <c r="P2" s="137">
        <v>39.11913793103448</v>
      </c>
      <c r="Q2" s="137">
        <v>30.7</v>
      </c>
      <c r="R2" s="137">
        <v>62.08</v>
      </c>
      <c r="S2" s="137">
        <v>50.95</v>
      </c>
      <c r="T2" s="137">
        <v>40.011321839080466</v>
      </c>
      <c r="U2" s="137">
        <v>107.38252873563218</v>
      </c>
      <c r="V2" s="137">
        <v>70.531609195402297</v>
      </c>
      <c r="W2" s="137">
        <v>16</v>
      </c>
      <c r="X2" s="137">
        <v>8</v>
      </c>
      <c r="Y2" s="137">
        <v>24.5</v>
      </c>
      <c r="Z2" s="137">
        <v>128.65</v>
      </c>
      <c r="AA2" s="137">
        <v>20</v>
      </c>
      <c r="AB2" s="137">
        <v>15.25</v>
      </c>
      <c r="AC2" s="137"/>
      <c r="AD2" s="138">
        <v>4.5</v>
      </c>
      <c r="AE2" s="139">
        <v>2</v>
      </c>
    </row>
    <row r="3" spans="1:31" ht="16.2" thickBot="1" x14ac:dyDescent="0.35">
      <c r="A3" s="132" t="s">
        <v>2882</v>
      </c>
      <c r="B3" s="137">
        <v>24.367528735632185</v>
      </c>
      <c r="C3" s="141">
        <v>107956.88252499999</v>
      </c>
      <c r="E3" t="s">
        <v>2902</v>
      </c>
      <c r="F3" s="140">
        <v>379159.52840995637</v>
      </c>
      <c r="G3" s="141">
        <v>107956.88252499999</v>
      </c>
      <c r="H3" s="141">
        <v>222320.57371623666</v>
      </c>
      <c r="I3" s="141">
        <v>54706.989974999997</v>
      </c>
      <c r="J3" s="141">
        <v>187763.07103248246</v>
      </c>
      <c r="K3" s="141">
        <v>214046.95</v>
      </c>
      <c r="L3" s="141">
        <v>200409.97280603502</v>
      </c>
      <c r="M3" s="141">
        <v>53218.851699999999</v>
      </c>
      <c r="N3" s="141">
        <v>41598.902799999996</v>
      </c>
      <c r="O3" s="141">
        <v>72905.662549999994</v>
      </c>
      <c r="P3" s="141">
        <v>128402.15773767303</v>
      </c>
      <c r="Q3" s="141">
        <v>93945.866400000014</v>
      </c>
      <c r="R3" s="141">
        <v>195472.27465000001</v>
      </c>
      <c r="S3" s="141">
        <v>158461.79819097868</v>
      </c>
      <c r="T3" s="141">
        <v>114440.76757500001</v>
      </c>
      <c r="U3" s="141">
        <v>393554.59006249998</v>
      </c>
      <c r="V3" s="141">
        <v>78538.4277</v>
      </c>
      <c r="W3" s="141">
        <v>39290.808574999995</v>
      </c>
      <c r="X3" s="141">
        <v>34345.417799999996</v>
      </c>
      <c r="Y3" s="141">
        <v>92002.500924999971</v>
      </c>
      <c r="Z3" s="140">
        <v>111021.92709999999</v>
      </c>
      <c r="AA3" s="140">
        <v>105219.12015</v>
      </c>
      <c r="AB3" s="140">
        <v>97325.686249999999</v>
      </c>
      <c r="AC3" s="140">
        <v>93656.849000000002</v>
      </c>
      <c r="AD3" s="140">
        <v>18719.264575000001</v>
      </c>
      <c r="AE3" s="142">
        <v>8794.8610000000008</v>
      </c>
    </row>
    <row r="4" spans="1:31" x14ac:dyDescent="0.3">
      <c r="A4" s="132" t="s">
        <v>2883</v>
      </c>
      <c r="B4" s="137">
        <v>47.4</v>
      </c>
      <c r="C4" s="141">
        <v>222320.57371623666</v>
      </c>
    </row>
    <row r="5" spans="1:31" x14ac:dyDescent="0.3">
      <c r="A5" s="132" t="s">
        <v>2884</v>
      </c>
      <c r="B5" s="137">
        <v>22.28</v>
      </c>
      <c r="C5" s="141">
        <v>54706.989974999997</v>
      </c>
    </row>
    <row r="6" spans="1:31" x14ac:dyDescent="0.3">
      <c r="A6" s="132" t="s">
        <v>2885</v>
      </c>
      <c r="B6" s="137">
        <v>45.68</v>
      </c>
      <c r="C6" s="141">
        <v>187763.07103248246</v>
      </c>
    </row>
    <row r="7" spans="1:31" x14ac:dyDescent="0.3">
      <c r="A7" s="132" t="s">
        <v>2886</v>
      </c>
      <c r="B7" s="137">
        <v>57.67</v>
      </c>
      <c r="C7" s="141">
        <v>214046.95</v>
      </c>
    </row>
    <row r="8" spans="1:31" x14ac:dyDescent="0.3">
      <c r="A8" s="133" t="s">
        <v>2887</v>
      </c>
      <c r="B8" s="137">
        <v>63</v>
      </c>
      <c r="C8" s="141">
        <v>200409.97280603502</v>
      </c>
    </row>
    <row r="9" spans="1:31" x14ac:dyDescent="0.3">
      <c r="A9" s="132" t="s">
        <v>2888</v>
      </c>
      <c r="B9" s="137">
        <v>12.8</v>
      </c>
      <c r="C9" s="141">
        <v>53218.851699999999</v>
      </c>
    </row>
    <row r="10" spans="1:31" x14ac:dyDescent="0.3">
      <c r="A10" s="132" t="s">
        <v>2889</v>
      </c>
      <c r="B10" s="137">
        <v>14.35</v>
      </c>
      <c r="C10" s="141">
        <v>41598.902799999996</v>
      </c>
    </row>
    <row r="11" spans="1:31" x14ac:dyDescent="0.3">
      <c r="A11" s="132" t="s">
        <v>2890</v>
      </c>
      <c r="B11" s="137">
        <v>19.331609195402297</v>
      </c>
      <c r="C11" s="141">
        <v>72905.662549999994</v>
      </c>
    </row>
    <row r="12" spans="1:31" x14ac:dyDescent="0.3">
      <c r="A12" s="132" t="s">
        <v>2891</v>
      </c>
      <c r="B12" s="137">
        <v>39.11913793103448</v>
      </c>
      <c r="C12" s="141">
        <v>128402.15773767303</v>
      </c>
    </row>
    <row r="13" spans="1:31" x14ac:dyDescent="0.3">
      <c r="A13" s="132" t="s">
        <v>2892</v>
      </c>
      <c r="B13" s="137">
        <v>30.7</v>
      </c>
      <c r="C13" s="141">
        <v>93945.866400000014</v>
      </c>
    </row>
    <row r="14" spans="1:31" x14ac:dyDescent="0.3">
      <c r="A14" s="132" t="s">
        <v>2893</v>
      </c>
      <c r="B14" s="137">
        <v>62.08</v>
      </c>
      <c r="C14" s="141">
        <v>195472.27465000001</v>
      </c>
    </row>
    <row r="15" spans="1:31" x14ac:dyDescent="0.3">
      <c r="A15" s="132" t="s">
        <v>2895</v>
      </c>
      <c r="B15" s="137">
        <v>50.95</v>
      </c>
      <c r="C15" s="141">
        <v>158461.79819097868</v>
      </c>
    </row>
    <row r="16" spans="1:31" x14ac:dyDescent="0.3">
      <c r="A16" s="132" t="s">
        <v>2896</v>
      </c>
      <c r="B16" s="137">
        <v>40.011321839080466</v>
      </c>
      <c r="C16" s="141">
        <v>114440.76757500001</v>
      </c>
    </row>
    <row r="17" spans="1:3" x14ac:dyDescent="0.3">
      <c r="A17" s="132" t="s">
        <v>2897</v>
      </c>
      <c r="B17" s="137">
        <v>107.38252873563218</v>
      </c>
      <c r="C17" s="141">
        <v>393554.59006249998</v>
      </c>
    </row>
    <row r="18" spans="1:3" x14ac:dyDescent="0.3">
      <c r="A18" s="132" t="s">
        <v>2898</v>
      </c>
      <c r="B18" s="137">
        <v>70.531609195402297</v>
      </c>
      <c r="C18" s="141">
        <v>78538.4277</v>
      </c>
    </row>
    <row r="19" spans="1:3" x14ac:dyDescent="0.3">
      <c r="A19" s="132" t="s">
        <v>2899</v>
      </c>
      <c r="B19" s="137">
        <v>16</v>
      </c>
      <c r="C19" s="141">
        <v>39290.808574999995</v>
      </c>
    </row>
    <row r="20" spans="1:3" x14ac:dyDescent="0.3">
      <c r="A20" s="132" t="s">
        <v>2900</v>
      </c>
      <c r="B20" s="137">
        <v>8</v>
      </c>
      <c r="C20" s="141">
        <v>34345.417799999996</v>
      </c>
    </row>
    <row r="21" spans="1:3" x14ac:dyDescent="0.3">
      <c r="A21" s="132" t="s">
        <v>2901</v>
      </c>
      <c r="B21" s="137">
        <v>24.5</v>
      </c>
      <c r="C21" s="141">
        <v>92002.500924999971</v>
      </c>
    </row>
    <row r="22" spans="1:3" x14ac:dyDescent="0.3">
      <c r="A22" s="134" t="s">
        <v>106</v>
      </c>
      <c r="B22" s="137">
        <v>128.65</v>
      </c>
      <c r="C22" s="140">
        <v>111021.92709999999</v>
      </c>
    </row>
    <row r="23" spans="1:3" x14ac:dyDescent="0.3">
      <c r="A23" s="134" t="s">
        <v>107</v>
      </c>
      <c r="B23" s="137">
        <v>20</v>
      </c>
      <c r="C23" s="140">
        <v>105219.12015</v>
      </c>
    </row>
    <row r="24" spans="1:3" x14ac:dyDescent="0.3">
      <c r="A24" s="134" t="s">
        <v>108</v>
      </c>
      <c r="B24" s="137">
        <v>15.25</v>
      </c>
      <c r="C24" s="140">
        <v>97325.686249999999</v>
      </c>
    </row>
    <row r="25" spans="1:3" x14ac:dyDescent="0.3">
      <c r="A25" s="134" t="s">
        <v>2904</v>
      </c>
      <c r="B25" s="137"/>
      <c r="C25" s="140">
        <v>93656.849000000002</v>
      </c>
    </row>
    <row r="26" spans="1:3" x14ac:dyDescent="0.3">
      <c r="A26" s="135" t="s">
        <v>2879</v>
      </c>
      <c r="B26" s="138">
        <v>4.5</v>
      </c>
      <c r="C26" s="140">
        <v>18719.264575000001</v>
      </c>
    </row>
    <row r="27" spans="1:3" ht="16.2" thickBot="1" x14ac:dyDescent="0.35">
      <c r="A27" s="136" t="s">
        <v>2880</v>
      </c>
      <c r="B27" s="139">
        <v>2</v>
      </c>
      <c r="C27" s="142">
        <v>8794.8610000000008</v>
      </c>
    </row>
  </sheetData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4"/>
  <sheetViews>
    <sheetView zoomScale="80" zoomScaleNormal="80" workbookViewId="0">
      <selection sqref="A1:I1048576"/>
    </sheetView>
  </sheetViews>
  <sheetFormatPr defaultRowHeight="15.6" x14ac:dyDescent="0.3"/>
  <cols>
    <col min="1" max="1" width="13.77734375" style="730" customWidth="1"/>
    <col min="2" max="2" width="31.21875" style="730" bestFit="1" customWidth="1"/>
    <col min="3" max="6" width="22.44140625" style="730" customWidth="1"/>
    <col min="7" max="7" width="22.44140625" style="732" customWidth="1"/>
    <col min="8" max="8" width="14.109375" style="730" bestFit="1" customWidth="1"/>
    <col min="9" max="9" width="9" style="730"/>
  </cols>
  <sheetData>
    <row r="1" spans="1:8" ht="18" x14ac:dyDescent="0.35">
      <c r="B1" s="731" t="s">
        <v>4068</v>
      </c>
    </row>
    <row r="2" spans="1:8" x14ac:dyDescent="0.3">
      <c r="B2" s="733"/>
    </row>
    <row r="3" spans="1:8" x14ac:dyDescent="0.3">
      <c r="G3" s="734" t="s">
        <v>51</v>
      </c>
    </row>
    <row r="4" spans="1:8" ht="124.8" x14ac:dyDescent="0.3">
      <c r="B4" s="1229" t="s">
        <v>4069</v>
      </c>
      <c r="C4" s="1230" t="s">
        <v>4070</v>
      </c>
      <c r="D4" s="735" t="s">
        <v>4071</v>
      </c>
      <c r="E4" s="735" t="s">
        <v>4072</v>
      </c>
      <c r="F4" s="735" t="s">
        <v>4073</v>
      </c>
      <c r="G4" s="1231" t="s">
        <v>4074</v>
      </c>
    </row>
    <row r="5" spans="1:8" x14ac:dyDescent="0.3">
      <c r="B5" s="1229"/>
      <c r="C5" s="1230"/>
      <c r="D5" s="736">
        <v>0.03</v>
      </c>
      <c r="E5" s="736" t="s">
        <v>4075</v>
      </c>
      <c r="F5" s="736">
        <v>0.01</v>
      </c>
      <c r="G5" s="1231"/>
    </row>
    <row r="6" spans="1:8" x14ac:dyDescent="0.3">
      <c r="A6" s="737"/>
      <c r="B6" s="737"/>
      <c r="C6" s="735" t="s">
        <v>55</v>
      </c>
      <c r="D6" s="735" t="s">
        <v>56</v>
      </c>
      <c r="E6" s="735" t="s">
        <v>57</v>
      </c>
      <c r="F6" s="735" t="s">
        <v>58</v>
      </c>
      <c r="G6" s="738" t="s">
        <v>4076</v>
      </c>
    </row>
    <row r="7" spans="1:8" x14ac:dyDescent="0.3">
      <c r="A7" s="739" t="s">
        <v>5</v>
      </c>
      <c r="B7" s="739" t="s">
        <v>796</v>
      </c>
      <c r="C7" s="740">
        <v>1343818.2226431104</v>
      </c>
      <c r="D7" s="741">
        <v>40314.546679293315</v>
      </c>
      <c r="E7" s="742">
        <v>20816500</v>
      </c>
      <c r="F7" s="741">
        <v>208165</v>
      </c>
      <c r="G7" s="741">
        <v>248479.54667929333</v>
      </c>
      <c r="H7" s="743"/>
    </row>
    <row r="8" spans="1:8" x14ac:dyDescent="0.3">
      <c r="A8" s="739" t="s">
        <v>6</v>
      </c>
      <c r="B8" s="739" t="s">
        <v>797</v>
      </c>
      <c r="C8" s="740">
        <v>294319989.99110591</v>
      </c>
      <c r="D8" s="741">
        <v>8829599.6997331772</v>
      </c>
      <c r="E8" s="742">
        <v>692421749</v>
      </c>
      <c r="F8" s="741">
        <v>6924217.4900000002</v>
      </c>
      <c r="G8" s="741">
        <v>15753817.189733177</v>
      </c>
      <c r="H8" s="743"/>
    </row>
    <row r="9" spans="1:8" x14ac:dyDescent="0.3">
      <c r="A9" s="739" t="s">
        <v>7</v>
      </c>
      <c r="B9" s="739" t="s">
        <v>798</v>
      </c>
      <c r="C9" s="740">
        <v>282122024.85560125</v>
      </c>
      <c r="D9" s="741">
        <v>8463660.7456680369</v>
      </c>
      <c r="E9" s="742">
        <v>434626929</v>
      </c>
      <c r="F9" s="741">
        <v>4346269.29</v>
      </c>
      <c r="G9" s="741">
        <v>12809930.035668038</v>
      </c>
      <c r="H9" s="743"/>
    </row>
    <row r="10" spans="1:8" x14ac:dyDescent="0.3">
      <c r="A10" s="739" t="s">
        <v>8</v>
      </c>
      <c r="B10" s="739" t="s">
        <v>799</v>
      </c>
      <c r="C10" s="740">
        <v>146075173.35479435</v>
      </c>
      <c r="D10" s="741">
        <v>4382255.20064383</v>
      </c>
      <c r="E10" s="742">
        <v>207919713</v>
      </c>
      <c r="F10" s="741">
        <v>2079197.1300000001</v>
      </c>
      <c r="G10" s="741">
        <v>6461452.3306438299</v>
      </c>
      <c r="H10" s="743"/>
    </row>
    <row r="11" spans="1:8" x14ac:dyDescent="0.3">
      <c r="A11" s="739" t="s">
        <v>9</v>
      </c>
      <c r="B11" s="739" t="s">
        <v>800</v>
      </c>
      <c r="C11" s="740">
        <v>391581495.79217201</v>
      </c>
      <c r="D11" s="741">
        <v>11747444.873765159</v>
      </c>
      <c r="E11" s="742">
        <v>7560000</v>
      </c>
      <c r="F11" s="741">
        <v>75600</v>
      </c>
      <c r="G11" s="741">
        <v>11823044.873765159</v>
      </c>
      <c r="H11" s="743"/>
    </row>
    <row r="12" spans="1:8" x14ac:dyDescent="0.3">
      <c r="A12" s="739" t="s">
        <v>10</v>
      </c>
      <c r="B12" s="739" t="s">
        <v>801</v>
      </c>
      <c r="C12" s="740">
        <v>474868506.57518548</v>
      </c>
      <c r="D12" s="741">
        <v>14246055.197255563</v>
      </c>
      <c r="E12" s="742">
        <v>243064752</v>
      </c>
      <c r="F12" s="741">
        <v>2430647.52</v>
      </c>
      <c r="G12" s="741">
        <v>16676702.717255563</v>
      </c>
      <c r="H12" s="743"/>
    </row>
    <row r="13" spans="1:8" x14ac:dyDescent="0.3">
      <c r="A13" s="739" t="s">
        <v>11</v>
      </c>
      <c r="B13" s="739" t="s">
        <v>802</v>
      </c>
      <c r="C13" s="740">
        <v>0</v>
      </c>
      <c r="D13" s="741">
        <v>0</v>
      </c>
      <c r="E13" s="742"/>
      <c r="F13" s="741">
        <v>0</v>
      </c>
      <c r="G13" s="741">
        <v>0</v>
      </c>
      <c r="H13" s="743"/>
    </row>
    <row r="14" spans="1:8" x14ac:dyDescent="0.3">
      <c r="A14" s="739" t="s">
        <v>12</v>
      </c>
      <c r="B14" s="739" t="s">
        <v>803</v>
      </c>
      <c r="C14" s="740">
        <v>817135.42130582419</v>
      </c>
      <c r="D14" s="741">
        <v>24514.062639174725</v>
      </c>
      <c r="E14" s="742">
        <v>33286149</v>
      </c>
      <c r="F14" s="741">
        <v>332861.49</v>
      </c>
      <c r="G14" s="741">
        <v>357375.55263917474</v>
      </c>
      <c r="H14" s="743"/>
    </row>
    <row r="15" spans="1:8" x14ac:dyDescent="0.3">
      <c r="A15" s="739" t="s">
        <v>3451</v>
      </c>
      <c r="B15" s="739" t="s">
        <v>3653</v>
      </c>
      <c r="C15" s="740">
        <v>20703375.399250362</v>
      </c>
      <c r="D15" s="741">
        <v>621101.26197751088</v>
      </c>
      <c r="E15" s="742">
        <v>45044336</v>
      </c>
      <c r="F15" s="741">
        <v>450443.36</v>
      </c>
      <c r="G15" s="741">
        <v>1071544.6219775109</v>
      </c>
      <c r="H15" s="743"/>
    </row>
    <row r="16" spans="1:8" x14ac:dyDescent="0.3">
      <c r="A16" s="739" t="s">
        <v>804</v>
      </c>
      <c r="B16" s="739" t="s">
        <v>3774</v>
      </c>
      <c r="C16" s="740">
        <v>5239256.3252908494</v>
      </c>
      <c r="D16" s="741">
        <v>157177.68975872546</v>
      </c>
      <c r="E16" s="742"/>
      <c r="F16" s="741">
        <v>0</v>
      </c>
      <c r="G16" s="741">
        <v>157177.68975872546</v>
      </c>
      <c r="H16" s="743"/>
    </row>
    <row r="17" spans="1:8" x14ac:dyDescent="0.3">
      <c r="A17" s="739" t="s">
        <v>2777</v>
      </c>
      <c r="B17" s="739" t="s">
        <v>4077</v>
      </c>
      <c r="C17" s="740">
        <v>35681443.674728706</v>
      </c>
      <c r="D17" s="741">
        <v>1070443.3102418613</v>
      </c>
      <c r="E17" s="742">
        <v>3237915</v>
      </c>
      <c r="F17" s="741">
        <v>32379.15</v>
      </c>
      <c r="G17" s="741">
        <v>1102822.4602418612</v>
      </c>
      <c r="H17" s="743"/>
    </row>
    <row r="18" spans="1:8" x14ac:dyDescent="0.3">
      <c r="B18" s="744" t="s">
        <v>2690</v>
      </c>
      <c r="C18" s="745">
        <v>1652752219.612078</v>
      </c>
      <c r="D18" s="745">
        <v>49582566.588362336</v>
      </c>
      <c r="E18" s="745">
        <v>1687978043</v>
      </c>
      <c r="F18" s="745">
        <v>16879780.43</v>
      </c>
      <c r="G18" s="745">
        <v>66462347.018362328</v>
      </c>
      <c r="H18" s="743"/>
    </row>
    <row r="20" spans="1:8" x14ac:dyDescent="0.3">
      <c r="B20" s="746" t="s">
        <v>4078</v>
      </c>
      <c r="C20" s="747"/>
      <c r="D20" s="748"/>
      <c r="E20" s="748"/>
    </row>
    <row r="21" spans="1:8" x14ac:dyDescent="0.3">
      <c r="B21" s="749" t="s">
        <v>79</v>
      </c>
      <c r="C21" s="749" t="s">
        <v>4079</v>
      </c>
      <c r="D21" s="748"/>
      <c r="E21" s="748"/>
    </row>
    <row r="22" spans="1:8" x14ac:dyDescent="0.3">
      <c r="B22" s="750" t="s">
        <v>4080</v>
      </c>
      <c r="C22" s="750" t="s">
        <v>4081</v>
      </c>
      <c r="D22" s="748"/>
      <c r="E22" s="751"/>
      <c r="F22" s="752"/>
    </row>
    <row r="23" spans="1:8" x14ac:dyDescent="0.3">
      <c r="B23" s="750" t="s">
        <v>4082</v>
      </c>
      <c r="C23" s="750" t="s">
        <v>4083</v>
      </c>
      <c r="D23" s="748"/>
      <c r="E23" s="751"/>
      <c r="F23" s="752"/>
    </row>
    <row r="24" spans="1:8" x14ac:dyDescent="0.3">
      <c r="B24" s="750" t="s">
        <v>4084</v>
      </c>
      <c r="C24" s="750" t="s">
        <v>4085</v>
      </c>
      <c r="D24" s="748"/>
      <c r="E24" s="751"/>
      <c r="F24" s="752"/>
    </row>
    <row r="25" spans="1:8" x14ac:dyDescent="0.3">
      <c r="B25" s="750" t="s">
        <v>4086</v>
      </c>
      <c r="C25" s="750" t="s">
        <v>4087</v>
      </c>
      <c r="D25" s="748"/>
      <c r="E25" s="751"/>
      <c r="F25" s="752"/>
    </row>
    <row r="26" spans="1:8" x14ac:dyDescent="0.3">
      <c r="B26" s="750" t="s">
        <v>4088</v>
      </c>
      <c r="C26" s="750" t="s">
        <v>4089</v>
      </c>
      <c r="D26" s="748"/>
      <c r="E26" s="751"/>
      <c r="F26" s="752"/>
    </row>
    <row r="27" spans="1:8" x14ac:dyDescent="0.3">
      <c r="B27" s="750" t="s">
        <v>4090</v>
      </c>
      <c r="C27" s="750" t="s">
        <v>4091</v>
      </c>
      <c r="D27" s="748"/>
      <c r="E27" s="751"/>
      <c r="F27" s="752"/>
    </row>
    <row r="28" spans="1:8" x14ac:dyDescent="0.3">
      <c r="B28" s="750" t="s">
        <v>4092</v>
      </c>
      <c r="C28" s="750" t="s">
        <v>4093</v>
      </c>
      <c r="D28" s="748"/>
      <c r="E28" s="751"/>
      <c r="F28" s="752"/>
    </row>
    <row r="29" spans="1:8" x14ac:dyDescent="0.3">
      <c r="B29" s="750" t="s">
        <v>4094</v>
      </c>
      <c r="C29" s="750" t="s">
        <v>4095</v>
      </c>
      <c r="D29" s="748"/>
      <c r="E29" s="751"/>
      <c r="F29" s="752"/>
    </row>
    <row r="30" spans="1:8" x14ac:dyDescent="0.3">
      <c r="B30" s="750" t="s">
        <v>4096</v>
      </c>
      <c r="C30" s="750" t="s">
        <v>4097</v>
      </c>
      <c r="D30" s="748"/>
      <c r="E30" s="751"/>
      <c r="F30" s="752"/>
    </row>
    <row r="31" spans="1:8" x14ac:dyDescent="0.3">
      <c r="B31" s="750" t="s">
        <v>4098</v>
      </c>
      <c r="C31" s="750" t="s">
        <v>4099</v>
      </c>
      <c r="D31" s="748"/>
      <c r="E31" s="751"/>
      <c r="F31" s="752"/>
    </row>
    <row r="32" spans="1:8" x14ac:dyDescent="0.3">
      <c r="B32" s="750" t="s">
        <v>4100</v>
      </c>
      <c r="C32" s="750" t="s">
        <v>4101</v>
      </c>
      <c r="D32" s="748"/>
      <c r="E32" s="751"/>
      <c r="F32" s="752"/>
    </row>
    <row r="33" spans="2:6" x14ac:dyDescent="0.3">
      <c r="B33" s="750" t="s">
        <v>4102</v>
      </c>
      <c r="C33" s="750" t="s">
        <v>4103</v>
      </c>
      <c r="D33" s="748"/>
      <c r="E33" s="751"/>
      <c r="F33" s="752"/>
    </row>
    <row r="34" spans="2:6" x14ac:dyDescent="0.3">
      <c r="B34" s="750" t="s">
        <v>4104</v>
      </c>
      <c r="C34" s="750" t="s">
        <v>4105</v>
      </c>
      <c r="D34" s="748"/>
      <c r="E34" s="751"/>
      <c r="F34" s="752"/>
    </row>
    <row r="35" spans="2:6" x14ac:dyDescent="0.3">
      <c r="B35" s="750" t="s">
        <v>4106</v>
      </c>
      <c r="C35" s="750" t="s">
        <v>4107</v>
      </c>
      <c r="D35" s="748"/>
      <c r="E35" s="751"/>
      <c r="F35" s="752"/>
    </row>
    <row r="36" spans="2:6" x14ac:dyDescent="0.3">
      <c r="B36" s="750" t="s">
        <v>4108</v>
      </c>
      <c r="C36" s="750" t="s">
        <v>4109</v>
      </c>
      <c r="D36" s="748"/>
      <c r="E36" s="751"/>
      <c r="F36" s="752"/>
    </row>
    <row r="37" spans="2:6" x14ac:dyDescent="0.3">
      <c r="B37" s="750" t="s">
        <v>4110</v>
      </c>
      <c r="C37" s="750" t="s">
        <v>4111</v>
      </c>
      <c r="D37" s="748"/>
      <c r="E37" s="751"/>
      <c r="F37" s="752"/>
    </row>
    <row r="38" spans="2:6" x14ac:dyDescent="0.3">
      <c r="B38" s="750" t="s">
        <v>4112</v>
      </c>
      <c r="C38" s="750" t="s">
        <v>4113</v>
      </c>
      <c r="D38" s="748"/>
      <c r="E38" s="751"/>
      <c r="F38" s="752"/>
    </row>
    <row r="39" spans="2:6" x14ac:dyDescent="0.3">
      <c r="B39" s="750" t="s">
        <v>4114</v>
      </c>
      <c r="C39" s="750" t="s">
        <v>4115</v>
      </c>
      <c r="D39" s="748"/>
      <c r="E39" s="751"/>
      <c r="F39" s="752"/>
    </row>
    <row r="40" spans="2:6" x14ac:dyDescent="0.3">
      <c r="B40" s="750" t="s">
        <v>4116</v>
      </c>
      <c r="C40" s="750" t="s">
        <v>4117</v>
      </c>
      <c r="D40" s="748"/>
      <c r="E40" s="751"/>
      <c r="F40" s="752"/>
    </row>
    <row r="41" spans="2:6" x14ac:dyDescent="0.3">
      <c r="B41" s="750" t="s">
        <v>4118</v>
      </c>
      <c r="C41" s="750" t="s">
        <v>4119</v>
      </c>
      <c r="D41" s="748"/>
      <c r="E41" s="751"/>
      <c r="F41" s="752"/>
    </row>
    <row r="42" spans="2:6" x14ac:dyDescent="0.3">
      <c r="B42" s="750" t="s">
        <v>4120</v>
      </c>
      <c r="C42" s="750" t="s">
        <v>4121</v>
      </c>
      <c r="D42" s="748"/>
      <c r="E42" s="751"/>
      <c r="F42" s="752"/>
    </row>
    <row r="43" spans="2:6" x14ac:dyDescent="0.3">
      <c r="B43" s="750" t="s">
        <v>4122</v>
      </c>
      <c r="C43" s="750" t="s">
        <v>4123</v>
      </c>
      <c r="D43" s="748"/>
      <c r="E43" s="751"/>
      <c r="F43" s="752"/>
    </row>
    <row r="44" spans="2:6" x14ac:dyDescent="0.3">
      <c r="B44" s="750" t="s">
        <v>4124</v>
      </c>
      <c r="C44" s="750" t="s">
        <v>4125</v>
      </c>
      <c r="D44" s="748"/>
      <c r="E44" s="751"/>
      <c r="F44" s="752"/>
    </row>
    <row r="45" spans="2:6" x14ac:dyDescent="0.3">
      <c r="B45" s="750" t="s">
        <v>4126</v>
      </c>
      <c r="C45" s="750" t="s">
        <v>4127</v>
      </c>
      <c r="D45" s="748"/>
      <c r="E45" s="751"/>
      <c r="F45" s="752"/>
    </row>
    <row r="46" spans="2:6" x14ac:dyDescent="0.3">
      <c r="B46" s="750" t="s">
        <v>4128</v>
      </c>
      <c r="C46" s="750" t="s">
        <v>4129</v>
      </c>
      <c r="D46" s="748"/>
      <c r="E46" s="751"/>
      <c r="F46" s="752"/>
    </row>
    <row r="47" spans="2:6" x14ac:dyDescent="0.3">
      <c r="B47" s="750" t="s">
        <v>4130</v>
      </c>
      <c r="C47" s="750" t="s">
        <v>4131</v>
      </c>
      <c r="D47" s="748"/>
      <c r="E47" s="751"/>
      <c r="F47" s="752"/>
    </row>
    <row r="48" spans="2:6" x14ac:dyDescent="0.3">
      <c r="B48" s="750" t="s">
        <v>4132</v>
      </c>
      <c r="C48" s="750" t="s">
        <v>4133</v>
      </c>
      <c r="D48" s="748"/>
      <c r="E48" s="751"/>
      <c r="F48" s="752"/>
    </row>
    <row r="49" spans="2:5" x14ac:dyDescent="0.3">
      <c r="B49" s="748" t="s">
        <v>4134</v>
      </c>
      <c r="C49" s="748" t="s">
        <v>4135</v>
      </c>
      <c r="D49" s="748"/>
      <c r="E49" s="748"/>
    </row>
    <row r="50" spans="2:5" x14ac:dyDescent="0.3">
      <c r="B50" s="748" t="s">
        <v>4136</v>
      </c>
      <c r="C50" s="748" t="s">
        <v>4137</v>
      </c>
      <c r="D50" s="748"/>
      <c r="E50" s="748"/>
    </row>
    <row r="51" spans="2:5" x14ac:dyDescent="0.3">
      <c r="B51" s="748" t="s">
        <v>4138</v>
      </c>
      <c r="C51" s="748" t="s">
        <v>4139</v>
      </c>
      <c r="D51" s="748"/>
      <c r="E51" s="748"/>
    </row>
    <row r="52" spans="2:5" x14ac:dyDescent="0.3">
      <c r="B52" s="748" t="s">
        <v>4140</v>
      </c>
      <c r="C52" s="748" t="s">
        <v>4141</v>
      </c>
      <c r="D52" s="748"/>
      <c r="E52" s="748"/>
    </row>
    <row r="53" spans="2:5" x14ac:dyDescent="0.3">
      <c r="B53" s="748" t="s">
        <v>4142</v>
      </c>
      <c r="C53" s="748" t="s">
        <v>4143</v>
      </c>
      <c r="D53" s="748"/>
      <c r="E53" s="748"/>
    </row>
    <row r="54" spans="2:5" x14ac:dyDescent="0.3">
      <c r="B54" s="748" t="s">
        <v>4144</v>
      </c>
      <c r="C54" s="748" t="s">
        <v>4145</v>
      </c>
      <c r="D54" s="748"/>
      <c r="E54" s="748"/>
    </row>
    <row r="55" spans="2:5" x14ac:dyDescent="0.3">
      <c r="B55" s="748" t="s">
        <v>4146</v>
      </c>
      <c r="C55" s="748" t="s">
        <v>4147</v>
      </c>
      <c r="D55" s="748"/>
      <c r="E55" s="748"/>
    </row>
    <row r="56" spans="2:5" x14ac:dyDescent="0.3">
      <c r="B56" s="748" t="s">
        <v>4148</v>
      </c>
      <c r="C56" s="748" t="s">
        <v>4149</v>
      </c>
      <c r="D56" s="748"/>
      <c r="E56" s="748"/>
    </row>
    <row r="57" spans="2:5" x14ac:dyDescent="0.3">
      <c r="B57" s="748" t="s">
        <v>4150</v>
      </c>
      <c r="C57" s="748" t="s">
        <v>4151</v>
      </c>
      <c r="D57" s="748"/>
      <c r="E57" s="748"/>
    </row>
    <row r="58" spans="2:5" x14ac:dyDescent="0.3">
      <c r="B58" s="748" t="s">
        <v>4152</v>
      </c>
      <c r="C58" s="748" t="s">
        <v>4153</v>
      </c>
      <c r="D58" s="748"/>
      <c r="E58" s="748"/>
    </row>
    <row r="59" spans="2:5" x14ac:dyDescent="0.3">
      <c r="B59" s="748" t="s">
        <v>4154</v>
      </c>
      <c r="C59" s="748" t="s">
        <v>4155</v>
      </c>
      <c r="D59" s="748"/>
      <c r="E59" s="748"/>
    </row>
    <row r="60" spans="2:5" x14ac:dyDescent="0.3">
      <c r="B60" s="748" t="s">
        <v>4156</v>
      </c>
      <c r="C60" s="748" t="s">
        <v>4157</v>
      </c>
      <c r="D60" s="748"/>
      <c r="E60" s="748"/>
    </row>
    <row r="61" spans="2:5" x14ac:dyDescent="0.3">
      <c r="B61" s="748" t="s">
        <v>4158</v>
      </c>
      <c r="C61" s="748" t="s">
        <v>4159</v>
      </c>
      <c r="D61" s="748"/>
      <c r="E61" s="748"/>
    </row>
    <row r="62" spans="2:5" x14ac:dyDescent="0.3">
      <c r="B62" s="748" t="s">
        <v>4160</v>
      </c>
      <c r="C62" s="748" t="s">
        <v>4161</v>
      </c>
      <c r="D62" s="748"/>
      <c r="E62" s="748"/>
    </row>
    <row r="63" spans="2:5" x14ac:dyDescent="0.3">
      <c r="B63" s="748" t="s">
        <v>4162</v>
      </c>
      <c r="C63" s="748" t="s">
        <v>4163</v>
      </c>
      <c r="D63" s="748"/>
      <c r="E63" s="748"/>
    </row>
    <row r="64" spans="2:5" x14ac:dyDescent="0.3">
      <c r="B64" s="748" t="s">
        <v>4164</v>
      </c>
      <c r="C64" s="748" t="s">
        <v>4165</v>
      </c>
      <c r="D64" s="748"/>
      <c r="E64" s="748"/>
    </row>
    <row r="65" spans="2:5" x14ac:dyDescent="0.3">
      <c r="B65" s="748" t="s">
        <v>4166</v>
      </c>
      <c r="C65" s="748" t="s">
        <v>4167</v>
      </c>
      <c r="D65" s="748"/>
      <c r="E65" s="748"/>
    </row>
    <row r="66" spans="2:5" x14ac:dyDescent="0.3">
      <c r="B66" s="748" t="s">
        <v>4168</v>
      </c>
      <c r="C66" s="748" t="s">
        <v>4169</v>
      </c>
      <c r="D66" s="748"/>
      <c r="E66" s="748"/>
    </row>
    <row r="67" spans="2:5" x14ac:dyDescent="0.3">
      <c r="B67" s="748" t="s">
        <v>4170</v>
      </c>
      <c r="C67" s="748" t="s">
        <v>4171</v>
      </c>
      <c r="D67" s="748"/>
      <c r="E67" s="748"/>
    </row>
    <row r="68" spans="2:5" x14ac:dyDescent="0.3">
      <c r="B68" s="748" t="s">
        <v>4172</v>
      </c>
      <c r="C68" s="748" t="s">
        <v>4173</v>
      </c>
      <c r="D68" s="748"/>
      <c r="E68" s="748"/>
    </row>
    <row r="69" spans="2:5" x14ac:dyDescent="0.3">
      <c r="B69" s="748" t="s">
        <v>4174</v>
      </c>
      <c r="C69" s="748" t="s">
        <v>4175</v>
      </c>
      <c r="D69" s="748"/>
      <c r="E69" s="748"/>
    </row>
    <row r="70" spans="2:5" x14ac:dyDescent="0.3">
      <c r="B70" s="748" t="s">
        <v>4176</v>
      </c>
      <c r="C70" s="748" t="s">
        <v>4177</v>
      </c>
      <c r="D70" s="748"/>
      <c r="E70" s="748"/>
    </row>
    <row r="71" spans="2:5" x14ac:dyDescent="0.3">
      <c r="B71" s="748" t="s">
        <v>4178</v>
      </c>
      <c r="C71" s="748" t="s">
        <v>4179</v>
      </c>
      <c r="D71" s="748"/>
      <c r="E71" s="748"/>
    </row>
    <row r="72" spans="2:5" x14ac:dyDescent="0.3">
      <c r="B72" s="748" t="s">
        <v>4180</v>
      </c>
      <c r="C72" s="748" t="s">
        <v>4181</v>
      </c>
      <c r="D72" s="748"/>
      <c r="E72" s="748"/>
    </row>
    <row r="73" spans="2:5" x14ac:dyDescent="0.3">
      <c r="B73" s="748" t="s">
        <v>4182</v>
      </c>
      <c r="C73" s="748" t="s">
        <v>4183</v>
      </c>
      <c r="D73" s="748"/>
      <c r="E73" s="748"/>
    </row>
    <row r="74" spans="2:5" x14ac:dyDescent="0.3">
      <c r="B74" s="748"/>
      <c r="C74" s="748"/>
      <c r="D74" s="748"/>
      <c r="E74" s="748"/>
    </row>
  </sheetData>
  <mergeCells count="3">
    <mergeCell ref="B4:B5"/>
    <mergeCell ref="C4:C5"/>
    <mergeCell ref="G4:G5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47"/>
  <sheetViews>
    <sheetView workbookViewId="0">
      <selection sqref="A1:V1048576"/>
    </sheetView>
  </sheetViews>
  <sheetFormatPr defaultRowHeight="15.6" outlineLevelCol="1" x14ac:dyDescent="0.3"/>
  <cols>
    <col min="1" max="1" width="6.21875" bestFit="1" customWidth="1" outlineLevel="1"/>
    <col min="2" max="2" width="8.109375" customWidth="1"/>
    <col min="3" max="3" width="10.33203125" bestFit="1" customWidth="1" outlineLevel="1"/>
    <col min="4" max="4" width="4.21875" bestFit="1" customWidth="1" outlineLevel="1"/>
    <col min="5" max="5" width="11.6640625" bestFit="1" customWidth="1" outlineLevel="1"/>
    <col min="6" max="6" width="4.33203125" bestFit="1" customWidth="1" outlineLevel="1"/>
    <col min="7" max="7" width="14" customWidth="1" outlineLevel="1"/>
    <col min="8" max="8" width="14.77734375" customWidth="1" outlineLevel="1"/>
    <col min="9" max="9" width="4.33203125" bestFit="1" customWidth="1" outlineLevel="1"/>
    <col min="10" max="10" width="13.33203125" customWidth="1" outlineLevel="1"/>
    <col min="11" max="11" width="14.88671875" customWidth="1"/>
    <col min="12" max="12" width="17.21875" customWidth="1" outlineLevel="1"/>
    <col min="13" max="13" width="4.33203125" bestFit="1" customWidth="1" outlineLevel="1"/>
    <col min="14" max="14" width="17.6640625" customWidth="1" outlineLevel="1"/>
    <col min="15" max="15" width="14.77734375" customWidth="1"/>
    <col min="16" max="16" width="16.44140625" customWidth="1"/>
    <col min="17" max="17" width="4.33203125" bestFit="1" customWidth="1"/>
    <col min="18" max="18" width="13.33203125" bestFit="1" customWidth="1"/>
    <col min="19" max="23" width="8"/>
    <col min="24" max="28" width="9.109375" style="113"/>
    <col min="29" max="43" width="9" style="113"/>
  </cols>
  <sheetData>
    <row r="1" spans="1:43" ht="72.599999999999994" thickBot="1" x14ac:dyDescent="0.35">
      <c r="A1" s="650" t="s">
        <v>3659</v>
      </c>
      <c r="B1" s="651" t="s">
        <v>2905</v>
      </c>
      <c r="C1" s="650" t="s">
        <v>2731</v>
      </c>
      <c r="D1" s="652" t="s">
        <v>2732</v>
      </c>
      <c r="E1" s="653" t="s">
        <v>3949</v>
      </c>
      <c r="F1" s="652" t="s">
        <v>2732</v>
      </c>
      <c r="G1" s="654" t="s">
        <v>2733</v>
      </c>
      <c r="H1" s="655" t="s">
        <v>2734</v>
      </c>
      <c r="I1" s="656" t="s">
        <v>2732</v>
      </c>
      <c r="J1" s="656" t="s">
        <v>2735</v>
      </c>
      <c r="K1" s="657" t="s">
        <v>2739</v>
      </c>
      <c r="L1" s="650" t="s">
        <v>2740</v>
      </c>
      <c r="M1" s="658" t="s">
        <v>2732</v>
      </c>
      <c r="N1" s="658" t="s">
        <v>2736</v>
      </c>
      <c r="O1" s="653" t="s">
        <v>2741</v>
      </c>
      <c r="P1" s="659" t="s">
        <v>3950</v>
      </c>
      <c r="Q1" s="658" t="s">
        <v>2732</v>
      </c>
      <c r="R1" s="659" t="s">
        <v>3951</v>
      </c>
    </row>
    <row r="2" spans="1:43" ht="16.2" thickBot="1" x14ac:dyDescent="0.35">
      <c r="B2" s="147" t="s">
        <v>3952</v>
      </c>
      <c r="C2" s="660"/>
      <c r="D2" s="660"/>
      <c r="E2" s="660"/>
      <c r="F2" s="660"/>
      <c r="G2" s="660"/>
      <c r="H2" s="146"/>
      <c r="I2" s="146"/>
      <c r="J2" s="146"/>
      <c r="K2" s="146"/>
      <c r="L2" s="661"/>
      <c r="M2" s="660"/>
      <c r="N2" s="660"/>
      <c r="O2" s="660"/>
      <c r="P2" s="660"/>
      <c r="Q2" s="660"/>
      <c r="R2" s="662"/>
    </row>
    <row r="3" spans="1:43" ht="16.2" thickBot="1" x14ac:dyDescent="0.35">
      <c r="A3" s="150"/>
      <c r="B3" s="663"/>
      <c r="C3" s="650" t="s">
        <v>55</v>
      </c>
      <c r="D3" s="652" t="s">
        <v>56</v>
      </c>
      <c r="E3" s="653" t="s">
        <v>57</v>
      </c>
      <c r="F3" s="652" t="s">
        <v>58</v>
      </c>
      <c r="G3" s="654" t="s">
        <v>2737</v>
      </c>
      <c r="H3" s="664" t="s">
        <v>60</v>
      </c>
      <c r="I3" s="665" t="s">
        <v>61</v>
      </c>
      <c r="J3" s="665" t="s">
        <v>2738</v>
      </c>
      <c r="K3" s="666" t="s">
        <v>2742</v>
      </c>
      <c r="L3" s="664" t="s">
        <v>63</v>
      </c>
      <c r="M3" s="665" t="s">
        <v>64</v>
      </c>
      <c r="N3" s="667" t="s">
        <v>2743</v>
      </c>
      <c r="O3" s="665" t="s">
        <v>66</v>
      </c>
      <c r="P3" s="665" t="s">
        <v>2744</v>
      </c>
      <c r="Q3" s="665" t="s">
        <v>68</v>
      </c>
      <c r="R3" s="668" t="s">
        <v>2984</v>
      </c>
    </row>
    <row r="4" spans="1:43" x14ac:dyDescent="0.3">
      <c r="A4" s="119" t="s">
        <v>110</v>
      </c>
      <c r="B4" s="669" t="s">
        <v>2694</v>
      </c>
      <c r="C4" s="153">
        <v>17491.080000000002</v>
      </c>
      <c r="D4" s="154">
        <f t="shared" ref="D4:D13" si="0">C4/C$13</f>
        <v>8.6558832716054676E-2</v>
      </c>
      <c r="E4" s="670">
        <v>245643825.93229249</v>
      </c>
      <c r="F4" s="154">
        <f t="shared" ref="F4:F13" si="1">E4/E$13</f>
        <v>8.1214388336427537E-2</v>
      </c>
      <c r="G4" s="120">
        <f t="shared" ref="G4:G11" si="2">E4/C4</f>
        <v>14043.948454428913</v>
      </c>
      <c r="H4" s="155">
        <v>10570.571439458859</v>
      </c>
      <c r="I4" s="154">
        <f t="shared" ref="I4:I13" si="3">H4/H$13</f>
        <v>9.8799223907625564E-2</v>
      </c>
      <c r="J4" s="121">
        <f t="shared" ref="J4:J13" si="4">H4/C4</f>
        <v>0.6043406947689256</v>
      </c>
      <c r="K4" s="122">
        <f t="shared" ref="K4:K12" si="5">J4*E4</f>
        <v>148452560.42961866</v>
      </c>
      <c r="L4" s="155">
        <v>3325.0709333333334</v>
      </c>
      <c r="M4" s="154">
        <f t="shared" ref="M4:M13" si="6">L4/L$13</f>
        <v>0.11299121697513727</v>
      </c>
      <c r="N4" s="156">
        <f t="shared" ref="N4:N13" si="7">E4-K4</f>
        <v>97191265.502673835</v>
      </c>
      <c r="O4" s="100">
        <f>$N$13*M4*0.5+$N$13*I4*0.5</f>
        <v>150948996.50592071</v>
      </c>
      <c r="P4" s="100">
        <f>K4+O4</f>
        <v>299401556.93553936</v>
      </c>
      <c r="Q4" s="154">
        <f t="shared" ref="Q4:Q13" si="8">P4/P$13</f>
        <v>9.8987687645754718E-2</v>
      </c>
      <c r="R4" s="102">
        <f t="shared" ref="R4:R13" si="9">P4-E4</f>
        <v>53757731.003246874</v>
      </c>
    </row>
    <row r="5" spans="1:43" x14ac:dyDescent="0.3">
      <c r="A5" s="114" t="s">
        <v>2720</v>
      </c>
      <c r="B5" s="671" t="s">
        <v>6</v>
      </c>
      <c r="C5" s="159">
        <v>47323.076894852187</v>
      </c>
      <c r="D5" s="160">
        <f t="shared" si="0"/>
        <v>0.23418967248165937</v>
      </c>
      <c r="E5" s="672">
        <v>837561933.10698915</v>
      </c>
      <c r="F5" s="160">
        <f t="shared" si="1"/>
        <v>0.27691345317960109</v>
      </c>
      <c r="G5" s="123">
        <f t="shared" si="2"/>
        <v>17698.805489084742</v>
      </c>
      <c r="H5" s="161">
        <v>24606.6929695738</v>
      </c>
      <c r="I5" s="160">
        <f t="shared" si="3"/>
        <v>0.22998966349652467</v>
      </c>
      <c r="J5" s="115">
        <f t="shared" si="4"/>
        <v>0.51997238100658072</v>
      </c>
      <c r="K5" s="116">
        <f t="shared" si="5"/>
        <v>435509072.59811562</v>
      </c>
      <c r="L5" s="161">
        <v>8453.9442666666673</v>
      </c>
      <c r="M5" s="160">
        <f t="shared" si="6"/>
        <v>0.28727851828804624</v>
      </c>
      <c r="N5" s="162">
        <f t="shared" si="7"/>
        <v>402052860.50887352</v>
      </c>
      <c r="O5" s="104">
        <f t="shared" ref="O5:O13" si="10">$N$13*M5*0.5+$N$13*I5*0.5</f>
        <v>368671563.45382535</v>
      </c>
      <c r="P5" s="104">
        <f t="shared" ref="P5:P13" si="11">K5+O5</f>
        <v>804180636.05194092</v>
      </c>
      <c r="Q5" s="160">
        <f t="shared" si="8"/>
        <v>0.26587697948882905</v>
      </c>
      <c r="R5" s="106">
        <f t="shared" si="9"/>
        <v>-33381297.055048227</v>
      </c>
    </row>
    <row r="6" spans="1:43" x14ac:dyDescent="0.3">
      <c r="A6" s="114" t="s">
        <v>2719</v>
      </c>
      <c r="B6" s="673" t="s">
        <v>7</v>
      </c>
      <c r="C6" s="159">
        <v>13694.664769585172</v>
      </c>
      <c r="D6" s="160">
        <f t="shared" si="0"/>
        <v>6.7771355278974779E-2</v>
      </c>
      <c r="E6" s="107">
        <v>186722719.86743689</v>
      </c>
      <c r="F6" s="160">
        <f t="shared" si="1"/>
        <v>6.1733981812870174E-2</v>
      </c>
      <c r="G6" s="116">
        <f t="shared" si="2"/>
        <v>13634.705413317901</v>
      </c>
      <c r="H6" s="161">
        <v>8865.9398211129301</v>
      </c>
      <c r="I6" s="160">
        <f t="shared" si="3"/>
        <v>8.2866662275971767E-2</v>
      </c>
      <c r="J6" s="115">
        <f t="shared" si="4"/>
        <v>0.64740101129043481</v>
      </c>
      <c r="K6" s="116">
        <f t="shared" si="5"/>
        <v>120884477.67307921</v>
      </c>
      <c r="L6" s="161">
        <v>3864.3664666666664</v>
      </c>
      <c r="M6" s="160">
        <f t="shared" si="6"/>
        <v>0.13131733988870228</v>
      </c>
      <c r="N6" s="162">
        <f t="shared" si="7"/>
        <v>65838242.194357678</v>
      </c>
      <c r="O6" s="104">
        <f t="shared" si="10"/>
        <v>152654954.86775219</v>
      </c>
      <c r="P6" s="104">
        <f t="shared" si="11"/>
        <v>273539432.54083139</v>
      </c>
      <c r="Q6" s="160">
        <f t="shared" si="8"/>
        <v>9.0437191390352223E-2</v>
      </c>
      <c r="R6" s="106">
        <f t="shared" si="9"/>
        <v>86816712.673394501</v>
      </c>
    </row>
    <row r="7" spans="1:43" x14ac:dyDescent="0.3">
      <c r="A7" s="114" t="s">
        <v>2723</v>
      </c>
      <c r="B7" s="673" t="s">
        <v>8</v>
      </c>
      <c r="C7" s="159">
        <v>6184.4953293561903</v>
      </c>
      <c r="D7" s="160">
        <f t="shared" si="0"/>
        <v>3.0605468424303353E-2</v>
      </c>
      <c r="E7" s="107">
        <v>89363397.582657978</v>
      </c>
      <c r="F7" s="160">
        <f t="shared" si="1"/>
        <v>2.9545190671069362E-2</v>
      </c>
      <c r="G7" s="116">
        <f t="shared" si="2"/>
        <v>14449.58607349466</v>
      </c>
      <c r="H7" s="161">
        <v>3073.9387143070212</v>
      </c>
      <c r="I7" s="160">
        <f t="shared" si="3"/>
        <v>2.8730968902915387E-2</v>
      </c>
      <c r="J7" s="115">
        <f t="shared" si="4"/>
        <v>0.49703954010860579</v>
      </c>
      <c r="K7" s="116">
        <f t="shared" si="5"/>
        <v>44417142.037026815</v>
      </c>
      <c r="L7" s="161">
        <v>2003.0542666666668</v>
      </c>
      <c r="M7" s="160">
        <f t="shared" si="6"/>
        <v>6.8066980763931514E-2</v>
      </c>
      <c r="N7" s="162">
        <f t="shared" si="7"/>
        <v>44946255.545631163</v>
      </c>
      <c r="O7" s="104">
        <f t="shared" si="10"/>
        <v>68990617.825520396</v>
      </c>
      <c r="P7" s="104">
        <f t="shared" si="11"/>
        <v>113407759.86254722</v>
      </c>
      <c r="Q7" s="160">
        <f t="shared" si="8"/>
        <v>3.7494701179177622E-2</v>
      </c>
      <c r="R7" s="106">
        <f t="shared" si="9"/>
        <v>24044362.279889241</v>
      </c>
    </row>
    <row r="8" spans="1:43" x14ac:dyDescent="0.3">
      <c r="A8" s="114" t="s">
        <v>2721</v>
      </c>
      <c r="B8" s="673" t="s">
        <v>9</v>
      </c>
      <c r="C8" s="159">
        <v>80807.387430521427</v>
      </c>
      <c r="D8" s="160">
        <f t="shared" si="0"/>
        <v>0.39989486817394487</v>
      </c>
      <c r="E8" s="107">
        <v>1163172976.1707654</v>
      </c>
      <c r="F8" s="160">
        <f t="shared" si="1"/>
        <v>0.38456648128908705</v>
      </c>
      <c r="G8" s="116">
        <f t="shared" si="2"/>
        <v>14394.38909184964</v>
      </c>
      <c r="H8" s="161">
        <v>40164.466685844294</v>
      </c>
      <c r="I8" s="160">
        <f t="shared" si="3"/>
        <v>0.37540242360144754</v>
      </c>
      <c r="J8" s="115">
        <f t="shared" si="4"/>
        <v>0.49703954010860568</v>
      </c>
      <c r="K8" s="116">
        <f t="shared" si="5"/>
        <v>578142961.1426754</v>
      </c>
      <c r="L8" s="161">
        <v>4861.5418666666665</v>
      </c>
      <c r="M8" s="160">
        <f t="shared" si="6"/>
        <v>0.16520295142683486</v>
      </c>
      <c r="N8" s="162">
        <f t="shared" si="7"/>
        <v>585030015.02809</v>
      </c>
      <c r="O8" s="104">
        <f t="shared" si="10"/>
        <v>385304636.6308769</v>
      </c>
      <c r="P8" s="104">
        <f t="shared" si="11"/>
        <v>963447597.7735523</v>
      </c>
      <c r="Q8" s="160">
        <f t="shared" si="8"/>
        <v>0.31853358027792089</v>
      </c>
      <c r="R8" s="106">
        <f t="shared" si="9"/>
        <v>-199725378.3972131</v>
      </c>
    </row>
    <row r="9" spans="1:43" x14ac:dyDescent="0.3">
      <c r="A9" s="114" t="s">
        <v>2722</v>
      </c>
      <c r="B9" s="673" t="s">
        <v>10</v>
      </c>
      <c r="C9" s="159">
        <v>17739.746119912172</v>
      </c>
      <c r="D9" s="160">
        <f t="shared" si="0"/>
        <v>8.7789417052506633E-2</v>
      </c>
      <c r="E9" s="107">
        <v>259097785.38168815</v>
      </c>
      <c r="F9" s="160">
        <f t="shared" si="1"/>
        <v>8.5662515958763702E-2</v>
      </c>
      <c r="G9" s="116">
        <f t="shared" si="2"/>
        <v>14605.495683552146</v>
      </c>
      <c r="H9" s="161">
        <v>8817.35525308457</v>
      </c>
      <c r="I9" s="160">
        <f t="shared" si="3"/>
        <v>8.2412560277552754E-2</v>
      </c>
      <c r="J9" s="115">
        <f t="shared" si="4"/>
        <v>0.49703954010860579</v>
      </c>
      <c r="K9" s="116">
        <f t="shared" si="5"/>
        <v>128781844.08927253</v>
      </c>
      <c r="L9" s="161">
        <v>3245.6292666666664</v>
      </c>
      <c r="M9" s="160">
        <f t="shared" si="6"/>
        <v>0.11029166235655312</v>
      </c>
      <c r="N9" s="162">
        <f t="shared" si="7"/>
        <v>130315941.29241562</v>
      </c>
      <c r="O9" s="104">
        <f t="shared" si="10"/>
        <v>137345712.61964479</v>
      </c>
      <c r="P9" s="104">
        <f t="shared" si="11"/>
        <v>266127556.70891732</v>
      </c>
      <c r="Q9" s="160">
        <f t="shared" si="8"/>
        <v>8.7986688269299354E-2</v>
      </c>
      <c r="R9" s="106">
        <f t="shared" si="9"/>
        <v>7029771.327229172</v>
      </c>
    </row>
    <row r="10" spans="1:43" x14ac:dyDescent="0.3">
      <c r="A10" s="114" t="s">
        <v>2724</v>
      </c>
      <c r="B10" s="673" t="s">
        <v>11</v>
      </c>
      <c r="C10" s="159">
        <v>7568</v>
      </c>
      <c r="D10" s="160">
        <f t="shared" si="0"/>
        <v>3.74520753432665E-2</v>
      </c>
      <c r="E10" s="107">
        <v>117211966.66326553</v>
      </c>
      <c r="F10" s="160">
        <f t="shared" si="1"/>
        <v>3.8752442249009249E-2</v>
      </c>
      <c r="G10" s="116">
        <f t="shared" si="2"/>
        <v>15487.83914683741</v>
      </c>
      <c r="H10" s="161">
        <v>4973.5</v>
      </c>
      <c r="I10" s="160">
        <f t="shared" si="3"/>
        <v>4.6485466080888709E-2</v>
      </c>
      <c r="J10" s="115">
        <f t="shared" si="4"/>
        <v>0.65717494714587743</v>
      </c>
      <c r="K10" s="116">
        <f t="shared" si="5"/>
        <v>77028767.996795863</v>
      </c>
      <c r="L10" s="161">
        <v>1478.8333333333333</v>
      </c>
      <c r="M10" s="160">
        <f t="shared" si="6"/>
        <v>5.0253116816735624E-2</v>
      </c>
      <c r="N10" s="162">
        <f t="shared" si="7"/>
        <v>40183198.666469663</v>
      </c>
      <c r="O10" s="104">
        <f t="shared" si="10"/>
        <v>68948305.461456209</v>
      </c>
      <c r="P10" s="104">
        <f t="shared" si="11"/>
        <v>145977073.45825207</v>
      </c>
      <c r="Q10" s="160">
        <f t="shared" si="8"/>
        <v>4.826271813288497E-2</v>
      </c>
      <c r="R10" s="106">
        <f t="shared" si="9"/>
        <v>28765106.794986546</v>
      </c>
    </row>
    <row r="11" spans="1:43" x14ac:dyDescent="0.3">
      <c r="A11" s="114" t="s">
        <v>2725</v>
      </c>
      <c r="B11" s="673" t="s">
        <v>12</v>
      </c>
      <c r="C11" s="159">
        <v>10084</v>
      </c>
      <c r="D11" s="160">
        <f t="shared" si="0"/>
        <v>4.9903108847978245E-2</v>
      </c>
      <c r="E11" s="107">
        <v>105201332.55191405</v>
      </c>
      <c r="F11" s="160">
        <f t="shared" si="1"/>
        <v>3.4781504655996408E-2</v>
      </c>
      <c r="G11" s="116">
        <f t="shared" si="2"/>
        <v>10432.500253065653</v>
      </c>
      <c r="H11" s="161">
        <v>5322.2523958438414</v>
      </c>
      <c r="I11" s="160">
        <f t="shared" si="3"/>
        <v>4.9745125810983719E-2</v>
      </c>
      <c r="J11" s="115">
        <f t="shared" si="4"/>
        <v>0.52779178856047615</v>
      </c>
      <c r="K11" s="116">
        <f t="shared" si="5"/>
        <v>55524399.46652016</v>
      </c>
      <c r="L11" s="161">
        <v>1514</v>
      </c>
      <c r="M11" s="160">
        <f t="shared" si="6"/>
        <v>5.1448136274453556E-2</v>
      </c>
      <c r="N11" s="162">
        <f t="shared" si="7"/>
        <v>49676933.085393891</v>
      </c>
      <c r="O11" s="104">
        <f t="shared" si="10"/>
        <v>72123280.452553183</v>
      </c>
      <c r="P11" s="104">
        <f t="shared" si="11"/>
        <v>127647679.91907334</v>
      </c>
      <c r="Q11" s="160">
        <f t="shared" si="8"/>
        <v>4.2202681902736135E-2</v>
      </c>
      <c r="R11" s="106">
        <f t="shared" si="9"/>
        <v>22446347.367159292</v>
      </c>
    </row>
    <row r="12" spans="1:43" ht="16.2" thickBot="1" x14ac:dyDescent="0.35">
      <c r="A12" s="674" t="s">
        <v>914</v>
      </c>
      <c r="B12" s="673" t="s">
        <v>3451</v>
      </c>
      <c r="C12" s="675">
        <v>1179.1284173016436</v>
      </c>
      <c r="D12" s="676">
        <f t="shared" si="0"/>
        <v>5.8352016813118046E-3</v>
      </c>
      <c r="E12" s="677">
        <v>20658378.952110719</v>
      </c>
      <c r="F12" s="676">
        <f t="shared" si="1"/>
        <v>6.830041847175292E-3</v>
      </c>
      <c r="G12" s="678">
        <v>473.83045191193514</v>
      </c>
      <c r="H12" s="679">
        <v>595.71261870627643</v>
      </c>
      <c r="I12" s="676">
        <f t="shared" si="3"/>
        <v>5.5679056460898766E-3</v>
      </c>
      <c r="J12" s="680">
        <f t="shared" si="4"/>
        <v>0.50521436848203938</v>
      </c>
      <c r="K12" s="678">
        <f t="shared" si="5"/>
        <v>10436909.876153272</v>
      </c>
      <c r="L12" s="164">
        <v>681.25338318127535</v>
      </c>
      <c r="M12" s="681">
        <f t="shared" si="6"/>
        <v>2.3150077209605536E-2</v>
      </c>
      <c r="N12" s="165">
        <f t="shared" si="7"/>
        <v>10221469.075957447</v>
      </c>
      <c r="O12" s="124">
        <f t="shared" si="10"/>
        <v>20468113.082313668</v>
      </c>
      <c r="P12" s="124">
        <f t="shared" si="11"/>
        <v>30905022.95846694</v>
      </c>
      <c r="Q12" s="681">
        <f t="shared" si="8"/>
        <v>1.0217771713045059E-2</v>
      </c>
      <c r="R12" s="110">
        <f t="shared" si="9"/>
        <v>10246644.006356221</v>
      </c>
    </row>
    <row r="13" spans="1:43" ht="16.2" thickBot="1" x14ac:dyDescent="0.35">
      <c r="A13" s="682"/>
      <c r="B13" s="125" t="s">
        <v>2690</v>
      </c>
      <c r="C13" s="683">
        <f>SUM(C4:C12)</f>
        <v>202071.57896152875</v>
      </c>
      <c r="D13" s="684">
        <f t="shared" si="0"/>
        <v>1</v>
      </c>
      <c r="E13" s="685">
        <f>SUM(E4:E12)</f>
        <v>3024634316.2091208</v>
      </c>
      <c r="F13" s="684">
        <f t="shared" si="1"/>
        <v>1</v>
      </c>
      <c r="G13" s="686">
        <f>E13/C13</f>
        <v>14968.133231566244</v>
      </c>
      <c r="H13" s="687">
        <f>SUM(H4:H12)</f>
        <v>106990.42989793159</v>
      </c>
      <c r="I13" s="688">
        <f t="shared" si="3"/>
        <v>1</v>
      </c>
      <c r="J13" s="689">
        <f t="shared" si="4"/>
        <v>0.52946797589135919</v>
      </c>
      <c r="K13" s="687">
        <f>SUM(K4:K12)</f>
        <v>1599178135.3092573</v>
      </c>
      <c r="L13" s="690">
        <f>SUM(L4:L12)</f>
        <v>29427.693783181276</v>
      </c>
      <c r="M13" s="691">
        <f t="shared" si="6"/>
        <v>1</v>
      </c>
      <c r="N13" s="692">
        <f t="shared" si="7"/>
        <v>1425456180.8998635</v>
      </c>
      <c r="O13" s="693">
        <f t="shared" si="10"/>
        <v>1425456180.8998635</v>
      </c>
      <c r="P13" s="126">
        <f t="shared" si="11"/>
        <v>3024634316.2091208</v>
      </c>
      <c r="Q13" s="691">
        <f t="shared" si="8"/>
        <v>1</v>
      </c>
      <c r="R13" s="110">
        <f t="shared" si="9"/>
        <v>0</v>
      </c>
    </row>
    <row r="14" spans="1:43" ht="16.2" thickBot="1" x14ac:dyDescent="0.35"/>
    <row r="15" spans="1:43" ht="16.2" thickBot="1" x14ac:dyDescent="0.35">
      <c r="B15" s="147" t="s">
        <v>3953</v>
      </c>
      <c r="C15" s="694"/>
      <c r="D15" s="694"/>
      <c r="E15" s="694"/>
      <c r="F15" s="694"/>
      <c r="G15" s="694"/>
      <c r="H15" s="146"/>
      <c r="I15" s="146"/>
      <c r="J15" s="146"/>
      <c r="K15" s="146"/>
      <c r="L15" s="146"/>
      <c r="M15" s="146"/>
      <c r="N15" s="146"/>
      <c r="O15" s="146"/>
      <c r="P15" s="146"/>
      <c r="Q15" s="146"/>
      <c r="R15" s="146"/>
    </row>
    <row r="16" spans="1:43" ht="72.599999999999994" thickBot="1" x14ac:dyDescent="0.35">
      <c r="A16" s="650" t="s">
        <v>80</v>
      </c>
      <c r="B16" s="695" t="s">
        <v>2905</v>
      </c>
      <c r="C16" s="650" t="s">
        <v>2731</v>
      </c>
      <c r="D16" s="652" t="s">
        <v>2732</v>
      </c>
      <c r="E16" s="653" t="s">
        <v>3949</v>
      </c>
      <c r="F16" s="652" t="s">
        <v>2732</v>
      </c>
      <c r="G16" s="654" t="s">
        <v>2733</v>
      </c>
      <c r="H16" s="696" t="s">
        <v>2734</v>
      </c>
      <c r="I16" s="658" t="s">
        <v>2732</v>
      </c>
      <c r="J16" s="658" t="s">
        <v>2735</v>
      </c>
      <c r="K16" s="654" t="s">
        <v>2739</v>
      </c>
      <c r="L16" s="650" t="s">
        <v>2740</v>
      </c>
      <c r="M16" s="658" t="s">
        <v>2732</v>
      </c>
      <c r="N16" s="697" t="s">
        <v>2736</v>
      </c>
      <c r="O16" s="653" t="s">
        <v>2741</v>
      </c>
      <c r="P16" s="659" t="s">
        <v>3950</v>
      </c>
      <c r="Q16" s="658" t="s">
        <v>2732</v>
      </c>
      <c r="R16" s="659" t="s">
        <v>3951</v>
      </c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  <c r="AH16" s="117"/>
      <c r="AI16" s="117"/>
      <c r="AJ16" s="117"/>
      <c r="AK16" s="117"/>
      <c r="AL16" s="117"/>
      <c r="AM16" s="117"/>
      <c r="AN16" s="117"/>
      <c r="AO16" s="117"/>
      <c r="AP16" s="117"/>
      <c r="AQ16" s="117"/>
    </row>
    <row r="17" spans="1:43" ht="16.2" thickBot="1" x14ac:dyDescent="0.35">
      <c r="A17" s="118"/>
      <c r="B17" s="118"/>
      <c r="C17" s="650" t="s">
        <v>55</v>
      </c>
      <c r="D17" s="652" t="s">
        <v>56</v>
      </c>
      <c r="E17" s="653" t="s">
        <v>57</v>
      </c>
      <c r="F17" s="652" t="s">
        <v>58</v>
      </c>
      <c r="G17" s="654" t="s">
        <v>2737</v>
      </c>
      <c r="H17" s="150" t="s">
        <v>60</v>
      </c>
      <c r="I17" s="148" t="s">
        <v>61</v>
      </c>
      <c r="J17" s="148" t="s">
        <v>2738</v>
      </c>
      <c r="K17" s="149" t="s">
        <v>2742</v>
      </c>
      <c r="L17" s="150" t="s">
        <v>63</v>
      </c>
      <c r="M17" s="148" t="s">
        <v>64</v>
      </c>
      <c r="N17" s="151" t="s">
        <v>2743</v>
      </c>
      <c r="O17" s="148" t="s">
        <v>66</v>
      </c>
      <c r="P17" s="148" t="s">
        <v>2744</v>
      </c>
      <c r="Q17" s="148" t="s">
        <v>68</v>
      </c>
      <c r="R17" s="698" t="s">
        <v>2984</v>
      </c>
    </row>
    <row r="18" spans="1:43" x14ac:dyDescent="0.3">
      <c r="A18" s="119" t="s">
        <v>2730</v>
      </c>
      <c r="B18" s="152" t="s">
        <v>804</v>
      </c>
      <c r="C18" s="153">
        <v>8522.9695290858726</v>
      </c>
      <c r="D18" s="154">
        <f>C18/C$22</f>
        <v>0.48495298932180175</v>
      </c>
      <c r="E18" s="670">
        <v>116492759.23967052</v>
      </c>
      <c r="F18" s="154">
        <f>E18/E$22</f>
        <v>0.47522661604775113</v>
      </c>
      <c r="G18" s="120">
        <f>E18/C18</f>
        <v>13668.095238651509</v>
      </c>
      <c r="H18" s="155">
        <v>5634.1794701914696</v>
      </c>
      <c r="I18" s="154">
        <f>H18/H$22</f>
        <v>0.48582325423807976</v>
      </c>
      <c r="J18" s="121">
        <f>H18/C18</f>
        <v>0.66105826742240636</v>
      </c>
      <c r="K18" s="122">
        <f>J18*E18</f>
        <v>77008501.590232104</v>
      </c>
      <c r="L18" s="155">
        <v>888.16666666666663</v>
      </c>
      <c r="M18" s="154">
        <f>L18/L$22</f>
        <v>0.50710122516950162</v>
      </c>
      <c r="N18" s="156">
        <f>E18-K18</f>
        <v>39484257.649438411</v>
      </c>
      <c r="O18" s="100">
        <f>$N$22*M18*0.5+$N$22*I18*0.5</f>
        <v>41395454.382848665</v>
      </c>
      <c r="P18" s="100">
        <f>K18+O18</f>
        <v>118403955.97308077</v>
      </c>
      <c r="Q18" s="121">
        <f>P18/$P$22</f>
        <v>0.48302325132489699</v>
      </c>
      <c r="R18" s="102">
        <f>P18-E18</f>
        <v>1911196.7334102541</v>
      </c>
    </row>
    <row r="19" spans="1:43" x14ac:dyDescent="0.3">
      <c r="A19" s="157" t="s">
        <v>2728</v>
      </c>
      <c r="B19" s="158" t="s">
        <v>3954</v>
      </c>
      <c r="C19" s="159">
        <v>2683.8337950138502</v>
      </c>
      <c r="D19" s="160">
        <f>C19/C$22</f>
        <v>0.1527088906387816</v>
      </c>
      <c r="E19" s="672">
        <v>37359949.569943555</v>
      </c>
      <c r="F19" s="160">
        <f>E19/E$22</f>
        <v>0.15240811983267713</v>
      </c>
      <c r="G19" s="123">
        <f>E19/C19</f>
        <v>13920.366320504863</v>
      </c>
      <c r="H19" s="161">
        <v>1768</v>
      </c>
      <c r="I19" s="160">
        <f>H19/H$22</f>
        <v>0.1524508613964573</v>
      </c>
      <c r="J19" s="115">
        <f>H19/C19</f>
        <v>0.6587591240875913</v>
      </c>
      <c r="K19" s="116">
        <f>J19*E19</f>
        <v>24611207.654652599</v>
      </c>
      <c r="L19" s="161">
        <v>304.125</v>
      </c>
      <c r="M19" s="160">
        <f>L19/L$22</f>
        <v>0.17364101344117999</v>
      </c>
      <c r="N19" s="162">
        <f>E19-K19</f>
        <v>12748741.915290955</v>
      </c>
      <c r="O19" s="104">
        <f>$N$22*M19*0.5+$N$22*I19*0.5</f>
        <v>13594912.412183544</v>
      </c>
      <c r="P19" s="104">
        <f>K19+O19</f>
        <v>38206120.066836141</v>
      </c>
      <c r="Q19" s="115">
        <f>P19/$P$22</f>
        <v>0.15586003173228616</v>
      </c>
      <c r="R19" s="106">
        <f>P19-E19</f>
        <v>846170.49689258635</v>
      </c>
    </row>
    <row r="20" spans="1:43" x14ac:dyDescent="0.3">
      <c r="A20" s="114" t="s">
        <v>3023</v>
      </c>
      <c r="B20" s="163" t="s">
        <v>3955</v>
      </c>
      <c r="C20" s="159">
        <v>5839.7673130193907</v>
      </c>
      <c r="D20" s="160">
        <f>C20/C$22</f>
        <v>0.33228003523042582</v>
      </c>
      <c r="E20" s="107">
        <v>83846155.265957505</v>
      </c>
      <c r="F20" s="160">
        <f>E20/E$22</f>
        <v>0.34204636318792042</v>
      </c>
      <c r="G20" s="116">
        <f>E20/C20</f>
        <v>14357.790434394161</v>
      </c>
      <c r="H20" s="161">
        <v>3846.9999999999995</v>
      </c>
      <c r="I20" s="160">
        <f>H20/H$22</f>
        <v>0.33171858811774391</v>
      </c>
      <c r="J20" s="115">
        <f>H20/C20</f>
        <v>0.65875912408759119</v>
      </c>
      <c r="K20" s="116">
        <f>J20*E20</f>
        <v>55234419.801114336</v>
      </c>
      <c r="L20" s="161">
        <v>288</v>
      </c>
      <c r="M20" s="160">
        <f>L20/L$22</f>
        <v>0.16443439990484124</v>
      </c>
      <c r="N20" s="162">
        <f>E20-K20</f>
        <v>28611735.464843169</v>
      </c>
      <c r="O20" s="104">
        <f>$N$22*M20*0.5+$N$22*I20*0.5</f>
        <v>20684834.354025662</v>
      </c>
      <c r="P20" s="104">
        <f>K20+O20</f>
        <v>75919254.155139998</v>
      </c>
      <c r="Q20" s="115">
        <f>P20/$P$22</f>
        <v>0.30970895084378808</v>
      </c>
      <c r="R20" s="106">
        <f>P20-E20</f>
        <v>-7926901.1108175069</v>
      </c>
    </row>
    <row r="21" spans="1:43" ht="16.2" thickBot="1" x14ac:dyDescent="0.35">
      <c r="A21" s="114" t="s">
        <v>2729</v>
      </c>
      <c r="B21" s="163" t="s">
        <v>3956</v>
      </c>
      <c r="C21" s="675">
        <v>528.26592797783928</v>
      </c>
      <c r="D21" s="676">
        <f>C21/C$22</f>
        <v>3.0058084808990949E-2</v>
      </c>
      <c r="E21" s="677">
        <v>7432101.4593327818</v>
      </c>
      <c r="F21" s="676">
        <f>E21/E$22</f>
        <v>3.0318900931651249E-2</v>
      </c>
      <c r="G21" s="678">
        <f>E21/C21</f>
        <v>14068.863929540725</v>
      </c>
      <c r="H21" s="679">
        <v>348</v>
      </c>
      <c r="I21" s="676">
        <f>H21/H$22</f>
        <v>3.0007296247718973E-2</v>
      </c>
      <c r="J21" s="680">
        <f>H21/C21</f>
        <v>0.6587591240875913</v>
      </c>
      <c r="K21" s="678">
        <f>J21*E21</f>
        <v>4895964.6474801721</v>
      </c>
      <c r="L21" s="679">
        <v>271.16666666666663</v>
      </c>
      <c r="M21" s="676">
        <f>L21/L$22</f>
        <v>0.15482336148447723</v>
      </c>
      <c r="N21" s="699">
        <f>E21-K21</f>
        <v>2536136.8118526097</v>
      </c>
      <c r="O21" s="108">
        <f>$N$22*M21*0.5+$N$22*I21*0.5</f>
        <v>7705670.6923672836</v>
      </c>
      <c r="P21" s="108">
        <f>K21+O21</f>
        <v>12601635.339847457</v>
      </c>
      <c r="Q21" s="680">
        <f>P21/$P$22</f>
        <v>5.1407766099028814E-2</v>
      </c>
      <c r="R21" s="110">
        <f>P21-E21</f>
        <v>5169533.8805146748</v>
      </c>
    </row>
    <row r="22" spans="1:43" ht="16.2" thickBot="1" x14ac:dyDescent="0.35">
      <c r="A22" s="125"/>
      <c r="B22" s="125" t="s">
        <v>2690</v>
      </c>
      <c r="C22" s="700">
        <f>SUM(C18:C21)</f>
        <v>17574.83656509695</v>
      </c>
      <c r="D22" s="684">
        <f>C22/C$22</f>
        <v>1</v>
      </c>
      <c r="E22" s="701">
        <f>SUM(E18:E21)</f>
        <v>245130965.53490436</v>
      </c>
      <c r="F22" s="702">
        <f>E22/E$22</f>
        <v>1</v>
      </c>
      <c r="G22" s="703">
        <f>E22/C22</f>
        <v>13947.837558940744</v>
      </c>
      <c r="H22" s="687">
        <f>SUM(H18:H21)</f>
        <v>11597.17947019147</v>
      </c>
      <c r="I22" s="688">
        <f>H22/H$22</f>
        <v>1</v>
      </c>
      <c r="J22" s="689">
        <f>H22/C22</f>
        <v>0.65987410052068929</v>
      </c>
      <c r="K22" s="687">
        <f>SUM(K18:K21)</f>
        <v>161750093.69347921</v>
      </c>
      <c r="L22" s="704">
        <f>SUM(L18:L21)</f>
        <v>1751.458333333333</v>
      </c>
      <c r="M22" s="688">
        <f>L22/L$22</f>
        <v>1</v>
      </c>
      <c r="N22" s="705">
        <f>E22-K22</f>
        <v>83380871.841425151</v>
      </c>
      <c r="O22" s="706">
        <f>$N$22*M22*0.5+$N$22*I22*0.5</f>
        <v>83380871.841425151</v>
      </c>
      <c r="P22" s="707">
        <f>K22+O22</f>
        <v>245130965.53490436</v>
      </c>
      <c r="Q22" s="708">
        <f>P22/$P$22</f>
        <v>1</v>
      </c>
      <c r="R22" s="110">
        <f>P22-E22</f>
        <v>0</v>
      </c>
    </row>
    <row r="31" spans="1:43" x14ac:dyDescent="0.3">
      <c r="X31" s="709"/>
      <c r="Y31" s="709"/>
      <c r="Z31" s="709"/>
      <c r="AA31" s="709"/>
      <c r="AB31" s="709"/>
      <c r="AC31" s="709"/>
      <c r="AD31" s="709"/>
      <c r="AE31" s="709"/>
      <c r="AF31" s="709"/>
      <c r="AG31" s="709"/>
      <c r="AH31" s="709"/>
      <c r="AI31" s="709"/>
      <c r="AJ31" s="709"/>
      <c r="AK31" s="709"/>
      <c r="AL31" s="709"/>
      <c r="AM31" s="709"/>
      <c r="AN31" s="709"/>
      <c r="AO31" s="709"/>
      <c r="AP31" s="709"/>
      <c r="AQ31" s="709"/>
    </row>
    <row r="32" spans="1:43" x14ac:dyDescent="0.3">
      <c r="X32" s="709"/>
      <c r="Y32" s="709"/>
      <c r="Z32" s="709"/>
      <c r="AA32" s="709"/>
      <c r="AB32" s="709"/>
      <c r="AC32" s="709"/>
      <c r="AD32" s="709"/>
      <c r="AE32" s="709"/>
      <c r="AF32" s="709"/>
      <c r="AG32" s="709"/>
      <c r="AH32" s="709"/>
      <c r="AI32" s="709"/>
      <c r="AJ32" s="709"/>
      <c r="AK32" s="709"/>
      <c r="AL32" s="709"/>
      <c r="AM32" s="709"/>
      <c r="AN32" s="709"/>
      <c r="AO32" s="709"/>
      <c r="AP32" s="709"/>
      <c r="AQ32" s="709"/>
    </row>
    <row r="33" spans="24:43" x14ac:dyDescent="0.3">
      <c r="X33" s="709"/>
      <c r="Y33" s="709"/>
      <c r="Z33" s="709"/>
      <c r="AA33" s="709"/>
      <c r="AB33" s="709"/>
      <c r="AC33" s="709"/>
      <c r="AD33" s="709"/>
      <c r="AE33" s="709"/>
      <c r="AF33" s="709"/>
      <c r="AG33" s="709"/>
      <c r="AH33" s="709"/>
      <c r="AI33" s="709"/>
      <c r="AJ33" s="709"/>
      <c r="AK33" s="709"/>
      <c r="AL33" s="709"/>
      <c r="AM33" s="709"/>
      <c r="AN33" s="709"/>
      <c r="AO33" s="709"/>
      <c r="AP33" s="709"/>
      <c r="AQ33" s="709"/>
    </row>
    <row r="34" spans="24:43" x14ac:dyDescent="0.3">
      <c r="X34" s="710"/>
      <c r="Y34" s="710"/>
      <c r="Z34" s="710"/>
      <c r="AA34" s="710"/>
      <c r="AB34" s="710"/>
      <c r="AC34" s="710"/>
      <c r="AD34" s="710"/>
      <c r="AE34" s="710"/>
      <c r="AF34" s="710"/>
      <c r="AG34" s="710"/>
      <c r="AH34" s="710"/>
      <c r="AI34" s="710"/>
      <c r="AJ34" s="710"/>
      <c r="AK34" s="710"/>
      <c r="AL34" s="710"/>
      <c r="AM34" s="710"/>
      <c r="AN34" s="710"/>
      <c r="AO34" s="710"/>
      <c r="AP34" s="710"/>
      <c r="AQ34" s="710"/>
    </row>
    <row r="35" spans="24:43" x14ac:dyDescent="0.3">
      <c r="X35" s="710"/>
      <c r="Y35" s="710"/>
      <c r="Z35" s="710"/>
      <c r="AA35" s="710"/>
      <c r="AB35" s="710"/>
      <c r="AC35" s="710"/>
      <c r="AD35" s="710"/>
      <c r="AE35" s="710"/>
      <c r="AF35" s="710"/>
      <c r="AG35" s="710"/>
      <c r="AH35" s="710"/>
      <c r="AI35" s="710"/>
      <c r="AJ35" s="710"/>
      <c r="AK35" s="710"/>
      <c r="AL35" s="710"/>
      <c r="AM35" s="710"/>
      <c r="AN35" s="710"/>
      <c r="AO35" s="710"/>
      <c r="AP35" s="710"/>
      <c r="AQ35" s="710"/>
    </row>
    <row r="36" spans="24:43" x14ac:dyDescent="0.3">
      <c r="X36" s="710"/>
      <c r="Y36" s="710"/>
      <c r="Z36" s="710"/>
      <c r="AA36" s="710"/>
      <c r="AB36" s="710"/>
      <c r="AC36" s="710"/>
      <c r="AD36" s="710"/>
      <c r="AE36" s="710"/>
      <c r="AF36" s="710"/>
      <c r="AG36" s="710"/>
      <c r="AH36" s="710"/>
      <c r="AI36" s="710"/>
      <c r="AJ36" s="710"/>
      <c r="AK36" s="710"/>
      <c r="AL36" s="710"/>
      <c r="AM36" s="710"/>
      <c r="AN36" s="710"/>
      <c r="AO36" s="710"/>
      <c r="AP36" s="710"/>
      <c r="AQ36" s="710"/>
    </row>
    <row r="37" spans="24:43" x14ac:dyDescent="0.3">
      <c r="X37" s="710"/>
      <c r="Y37" s="710"/>
      <c r="Z37" s="710"/>
      <c r="AA37" s="710"/>
      <c r="AB37" s="710"/>
      <c r="AC37" s="710"/>
      <c r="AD37" s="710"/>
      <c r="AE37" s="710"/>
      <c r="AF37" s="710"/>
      <c r="AG37" s="710"/>
      <c r="AH37" s="710"/>
      <c r="AI37" s="710"/>
      <c r="AJ37" s="710"/>
      <c r="AK37" s="710"/>
      <c r="AL37" s="710"/>
      <c r="AM37" s="710"/>
      <c r="AN37" s="710"/>
      <c r="AO37" s="710"/>
      <c r="AP37" s="710"/>
      <c r="AQ37" s="710"/>
    </row>
    <row r="38" spans="24:43" x14ac:dyDescent="0.3">
      <c r="X38" s="710"/>
      <c r="Y38" s="710"/>
      <c r="Z38" s="710"/>
      <c r="AA38" s="710"/>
      <c r="AB38" s="710"/>
      <c r="AC38" s="710"/>
      <c r="AD38" s="710"/>
      <c r="AE38" s="710"/>
      <c r="AF38" s="710"/>
      <c r="AG38" s="710"/>
      <c r="AH38" s="710"/>
      <c r="AI38" s="710"/>
      <c r="AJ38" s="710"/>
      <c r="AK38" s="710"/>
      <c r="AL38" s="710"/>
      <c r="AM38" s="710"/>
      <c r="AN38" s="710"/>
      <c r="AO38" s="710"/>
      <c r="AP38" s="710"/>
      <c r="AQ38" s="710"/>
    </row>
    <row r="39" spans="24:43" x14ac:dyDescent="0.3">
      <c r="X39" s="710"/>
      <c r="Y39" s="710"/>
      <c r="Z39" s="710"/>
      <c r="AA39" s="710"/>
      <c r="AB39" s="710"/>
      <c r="AC39" s="710"/>
      <c r="AD39" s="710"/>
      <c r="AE39" s="710"/>
      <c r="AF39" s="710"/>
      <c r="AG39" s="710"/>
      <c r="AH39" s="710"/>
      <c r="AI39" s="710"/>
      <c r="AJ39" s="710"/>
      <c r="AK39" s="710"/>
      <c r="AL39" s="710"/>
      <c r="AM39" s="710"/>
      <c r="AN39" s="710"/>
      <c r="AO39" s="710"/>
      <c r="AP39" s="710"/>
      <c r="AQ39" s="710"/>
    </row>
    <row r="40" spans="24:43" x14ac:dyDescent="0.3">
      <c r="X40" s="710"/>
      <c r="Y40" s="710"/>
      <c r="Z40" s="710"/>
      <c r="AA40" s="710"/>
      <c r="AB40" s="710"/>
      <c r="AC40" s="710"/>
      <c r="AD40" s="710"/>
      <c r="AE40" s="710"/>
      <c r="AF40" s="710"/>
      <c r="AG40" s="710"/>
      <c r="AH40" s="710"/>
      <c r="AI40" s="710"/>
      <c r="AJ40" s="710"/>
      <c r="AK40" s="710"/>
      <c r="AL40" s="710"/>
      <c r="AM40" s="710"/>
      <c r="AN40" s="710"/>
      <c r="AO40" s="710"/>
      <c r="AP40" s="710"/>
      <c r="AQ40" s="710"/>
    </row>
    <row r="41" spans="24:43" x14ac:dyDescent="0.3">
      <c r="X41" s="710"/>
      <c r="Y41" s="710"/>
      <c r="Z41" s="710"/>
      <c r="AA41" s="710"/>
      <c r="AB41" s="710"/>
      <c r="AC41" s="710"/>
      <c r="AD41" s="710"/>
      <c r="AE41" s="710"/>
      <c r="AF41" s="710"/>
      <c r="AG41" s="710"/>
      <c r="AH41" s="710"/>
      <c r="AI41" s="710"/>
      <c r="AJ41" s="710"/>
      <c r="AK41" s="710"/>
      <c r="AL41" s="710"/>
      <c r="AM41" s="710"/>
      <c r="AN41" s="710"/>
      <c r="AO41" s="710"/>
      <c r="AP41" s="710"/>
      <c r="AQ41" s="710"/>
    </row>
    <row r="42" spans="24:43" x14ac:dyDescent="0.3">
      <c r="X42" s="710"/>
      <c r="Y42" s="710"/>
      <c r="Z42" s="710"/>
      <c r="AA42" s="710"/>
      <c r="AB42" s="710"/>
      <c r="AC42" s="710"/>
      <c r="AD42" s="710"/>
      <c r="AE42" s="710"/>
      <c r="AF42" s="710"/>
      <c r="AG42" s="710"/>
      <c r="AH42" s="710"/>
      <c r="AI42" s="710"/>
      <c r="AJ42" s="710"/>
      <c r="AK42" s="710"/>
      <c r="AL42" s="710"/>
      <c r="AM42" s="710"/>
      <c r="AN42" s="710"/>
      <c r="AO42" s="710"/>
      <c r="AP42" s="710"/>
      <c r="AQ42" s="710"/>
    </row>
    <row r="43" spans="24:43" x14ac:dyDescent="0.3">
      <c r="X43" s="710"/>
      <c r="Y43" s="710"/>
      <c r="Z43" s="710"/>
      <c r="AA43" s="710"/>
      <c r="AB43" s="710"/>
      <c r="AC43" s="710"/>
      <c r="AD43" s="710"/>
      <c r="AE43" s="710"/>
      <c r="AF43" s="710"/>
      <c r="AG43" s="710"/>
      <c r="AH43" s="710"/>
      <c r="AI43" s="710"/>
      <c r="AJ43" s="710"/>
      <c r="AK43" s="710"/>
      <c r="AL43" s="710"/>
      <c r="AM43" s="710"/>
      <c r="AN43" s="710"/>
      <c r="AO43" s="710"/>
      <c r="AP43" s="710"/>
      <c r="AQ43" s="710"/>
    </row>
    <row r="44" spans="24:43" x14ac:dyDescent="0.3">
      <c r="X44" s="710"/>
      <c r="Y44" s="710"/>
      <c r="Z44" s="710"/>
      <c r="AA44" s="710"/>
      <c r="AB44" s="710"/>
      <c r="AC44" s="710"/>
      <c r="AD44" s="710"/>
      <c r="AE44" s="710"/>
      <c r="AF44" s="710"/>
      <c r="AG44" s="710"/>
      <c r="AH44" s="710"/>
      <c r="AI44" s="710"/>
      <c r="AJ44" s="710"/>
      <c r="AK44" s="710"/>
      <c r="AL44" s="710"/>
      <c r="AM44" s="710"/>
      <c r="AN44" s="710"/>
      <c r="AO44" s="710"/>
      <c r="AP44" s="710"/>
      <c r="AQ44" s="710"/>
    </row>
    <row r="45" spans="24:43" x14ac:dyDescent="0.3">
      <c r="X45" s="710"/>
      <c r="Y45" s="710"/>
      <c r="Z45" s="710"/>
      <c r="AA45" s="710"/>
      <c r="AB45" s="710"/>
      <c r="AC45" s="710"/>
      <c r="AD45" s="710"/>
      <c r="AE45" s="710"/>
      <c r="AF45" s="710"/>
      <c r="AG45" s="710"/>
      <c r="AH45" s="710"/>
      <c r="AI45" s="710"/>
      <c r="AJ45" s="710"/>
      <c r="AK45" s="710"/>
      <c r="AL45" s="710"/>
      <c r="AM45" s="710"/>
      <c r="AN45" s="710"/>
      <c r="AO45" s="710"/>
      <c r="AP45" s="710"/>
      <c r="AQ45" s="710"/>
    </row>
    <row r="46" spans="24:43" x14ac:dyDescent="0.3">
      <c r="X46" s="710"/>
      <c r="Y46" s="710"/>
      <c r="Z46" s="710"/>
      <c r="AA46" s="710"/>
      <c r="AB46" s="710"/>
      <c r="AC46" s="710"/>
      <c r="AD46" s="710"/>
      <c r="AE46" s="710"/>
      <c r="AF46" s="710"/>
      <c r="AG46" s="710"/>
      <c r="AH46" s="710"/>
      <c r="AI46" s="710"/>
      <c r="AJ46" s="710"/>
      <c r="AK46" s="710"/>
      <c r="AL46" s="710"/>
      <c r="AM46" s="710"/>
      <c r="AN46" s="710"/>
      <c r="AO46" s="710"/>
      <c r="AP46" s="710"/>
      <c r="AQ46" s="710"/>
    </row>
    <row r="47" spans="24:43" x14ac:dyDescent="0.3">
      <c r="X47" s="710"/>
      <c r="Y47" s="710"/>
      <c r="Z47" s="710"/>
      <c r="AA47" s="710"/>
      <c r="AB47" s="710"/>
      <c r="AC47" s="710"/>
      <c r="AD47" s="710"/>
      <c r="AE47" s="710"/>
      <c r="AF47" s="710"/>
      <c r="AG47" s="710"/>
      <c r="AH47" s="710"/>
      <c r="AI47" s="710"/>
      <c r="AJ47" s="710"/>
      <c r="AK47" s="710"/>
      <c r="AL47" s="710"/>
      <c r="AM47" s="710"/>
      <c r="AN47" s="710"/>
      <c r="AO47" s="710"/>
      <c r="AP47" s="710"/>
      <c r="AQ47" s="710"/>
    </row>
  </sheetData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54"/>
  <sheetViews>
    <sheetView topLeftCell="A346" zoomScale="85" zoomScaleNormal="85" workbookViewId="0">
      <selection activeCell="A346" sqref="A1:Y1048576"/>
    </sheetView>
  </sheetViews>
  <sheetFormatPr defaultColWidth="9" defaultRowHeight="13.2" x14ac:dyDescent="0.3"/>
  <cols>
    <col min="1" max="1" width="9" style="7"/>
    <col min="2" max="2" width="5.21875" style="7" bestFit="1" customWidth="1"/>
    <col min="3" max="3" width="7.88671875" style="7" bestFit="1" customWidth="1"/>
    <col min="4" max="4" width="46.44140625" style="7" customWidth="1"/>
    <col min="5" max="5" width="6.109375" style="7" customWidth="1"/>
    <col min="6" max="6" width="10.44140625" style="7" customWidth="1"/>
    <col min="7" max="7" width="37" style="12" customWidth="1"/>
    <col min="8" max="8" width="6.109375" style="7" customWidth="1"/>
    <col min="9" max="9" width="9.6640625" style="7" customWidth="1"/>
    <col min="10" max="10" width="10.44140625" style="7" customWidth="1"/>
    <col min="11" max="12" width="7" style="7" customWidth="1"/>
    <col min="13" max="13" width="4.33203125" style="7" customWidth="1"/>
    <col min="14" max="15" width="7" style="7" customWidth="1"/>
    <col min="16" max="16" width="4.33203125" style="7" customWidth="1"/>
    <col min="17" max="18" width="7" style="7" customWidth="1"/>
    <col min="19" max="19" width="4.33203125" style="7" customWidth="1"/>
    <col min="20" max="20" width="5.21875" style="7" customWidth="1"/>
    <col min="21" max="21" width="7" style="7" customWidth="1"/>
    <col min="22" max="22" width="4.33203125" style="7" customWidth="1"/>
    <col min="23" max="23" width="5.21875" style="7" customWidth="1"/>
    <col min="24" max="24" width="7" style="7" customWidth="1"/>
    <col min="25" max="25" width="4.33203125" style="7" customWidth="1"/>
    <col min="26" max="16384" width="9" style="7"/>
  </cols>
  <sheetData>
    <row r="1" spans="1:25" x14ac:dyDescent="0.3">
      <c r="A1" s="7" t="s">
        <v>138</v>
      </c>
      <c r="B1" s="8" t="s">
        <v>139</v>
      </c>
      <c r="C1" s="8" t="s">
        <v>140</v>
      </c>
      <c r="D1" s="8" t="s">
        <v>141</v>
      </c>
      <c r="E1" s="8" t="s">
        <v>142</v>
      </c>
      <c r="F1" s="8" t="s">
        <v>143</v>
      </c>
      <c r="G1" s="9" t="s">
        <v>144</v>
      </c>
      <c r="H1" s="8" t="s">
        <v>145</v>
      </c>
      <c r="I1" s="8" t="s">
        <v>146</v>
      </c>
      <c r="J1" s="8" t="s">
        <v>147</v>
      </c>
      <c r="K1" s="8" t="s">
        <v>148</v>
      </c>
      <c r="L1" s="8" t="s">
        <v>149</v>
      </c>
      <c r="M1" s="8" t="s">
        <v>150</v>
      </c>
      <c r="N1" s="8" t="s">
        <v>148</v>
      </c>
      <c r="O1" s="8" t="s">
        <v>149</v>
      </c>
      <c r="P1" s="8" t="s">
        <v>150</v>
      </c>
      <c r="Q1" s="8" t="s">
        <v>148</v>
      </c>
      <c r="R1" s="8" t="s">
        <v>149</v>
      </c>
      <c r="S1" s="8" t="s">
        <v>150</v>
      </c>
      <c r="T1" s="8" t="s">
        <v>148</v>
      </c>
      <c r="U1" s="8" t="s">
        <v>149</v>
      </c>
      <c r="V1" s="8" t="s">
        <v>150</v>
      </c>
      <c r="W1" s="8" t="s">
        <v>148</v>
      </c>
      <c r="X1" s="8" t="s">
        <v>149</v>
      </c>
      <c r="Y1" s="8" t="s">
        <v>150</v>
      </c>
    </row>
    <row r="2" spans="1:25" x14ac:dyDescent="0.3">
      <c r="A2" s="10" t="s">
        <v>151</v>
      </c>
      <c r="B2" s="7">
        <v>2022</v>
      </c>
      <c r="C2" s="11">
        <v>1</v>
      </c>
      <c r="D2" s="7" t="s">
        <v>152</v>
      </c>
      <c r="E2" s="7" t="s">
        <v>153</v>
      </c>
      <c r="F2" s="7" t="s">
        <v>154</v>
      </c>
      <c r="G2" s="12" t="s">
        <v>154</v>
      </c>
      <c r="H2" s="7" t="s">
        <v>155</v>
      </c>
      <c r="I2" s="7" t="s">
        <v>155</v>
      </c>
      <c r="J2" s="7" t="s">
        <v>154</v>
      </c>
      <c r="K2" s="13">
        <v>0</v>
      </c>
      <c r="L2" s="13">
        <v>0</v>
      </c>
      <c r="M2" s="11">
        <v>0</v>
      </c>
      <c r="N2" s="13">
        <v>0</v>
      </c>
      <c r="O2" s="13">
        <v>0</v>
      </c>
      <c r="P2" s="11">
        <v>0</v>
      </c>
      <c r="Q2" s="13">
        <v>0</v>
      </c>
      <c r="R2" s="13">
        <v>0</v>
      </c>
      <c r="S2" s="11">
        <v>0</v>
      </c>
      <c r="T2" s="13">
        <v>0</v>
      </c>
      <c r="U2" s="13">
        <v>0</v>
      </c>
      <c r="V2" s="11">
        <v>0</v>
      </c>
      <c r="W2" s="13">
        <v>0</v>
      </c>
      <c r="X2" s="13">
        <v>0</v>
      </c>
      <c r="Y2" s="11">
        <v>0</v>
      </c>
    </row>
    <row r="3" spans="1:25" x14ac:dyDescent="0.3">
      <c r="A3" s="10" t="s">
        <v>151</v>
      </c>
      <c r="B3" s="7">
        <v>2022</v>
      </c>
      <c r="C3" s="11">
        <v>2</v>
      </c>
      <c r="D3" s="7" t="s">
        <v>156</v>
      </c>
      <c r="E3" s="7" t="s">
        <v>153</v>
      </c>
      <c r="F3" s="7" t="s">
        <v>154</v>
      </c>
      <c r="G3" s="12" t="s">
        <v>154</v>
      </c>
      <c r="H3" s="7" t="s">
        <v>155</v>
      </c>
      <c r="I3" s="7" t="s">
        <v>155</v>
      </c>
      <c r="J3" s="7" t="s">
        <v>154</v>
      </c>
      <c r="K3" s="13">
        <v>0</v>
      </c>
      <c r="L3" s="13">
        <v>0</v>
      </c>
      <c r="M3" s="11">
        <v>0</v>
      </c>
      <c r="N3" s="13">
        <v>0</v>
      </c>
      <c r="O3" s="13">
        <v>0</v>
      </c>
      <c r="P3" s="11">
        <v>0</v>
      </c>
      <c r="Q3" s="13">
        <v>0</v>
      </c>
      <c r="R3" s="13">
        <v>0</v>
      </c>
      <c r="S3" s="11">
        <v>0</v>
      </c>
      <c r="T3" s="13">
        <v>0</v>
      </c>
      <c r="U3" s="13">
        <v>0</v>
      </c>
      <c r="V3" s="11">
        <v>0</v>
      </c>
      <c r="W3" s="13">
        <v>0</v>
      </c>
      <c r="X3" s="13">
        <v>0</v>
      </c>
      <c r="Y3" s="11">
        <v>0</v>
      </c>
    </row>
    <row r="4" spans="1:25" x14ac:dyDescent="0.3">
      <c r="A4" s="10" t="s">
        <v>151</v>
      </c>
      <c r="B4" s="7">
        <v>2022</v>
      </c>
      <c r="C4" s="11">
        <v>3</v>
      </c>
      <c r="D4" s="7" t="s">
        <v>157</v>
      </c>
      <c r="E4" s="7" t="s">
        <v>153</v>
      </c>
      <c r="F4" s="7" t="s">
        <v>154</v>
      </c>
      <c r="G4" s="12" t="s">
        <v>154</v>
      </c>
      <c r="H4" s="7" t="s">
        <v>155</v>
      </c>
      <c r="I4" s="7" t="s">
        <v>155</v>
      </c>
      <c r="J4" s="7" t="s">
        <v>154</v>
      </c>
      <c r="K4" s="13">
        <v>0</v>
      </c>
      <c r="L4" s="13">
        <v>0</v>
      </c>
      <c r="M4" s="11">
        <v>0</v>
      </c>
      <c r="N4" s="13">
        <v>0</v>
      </c>
      <c r="O4" s="13">
        <v>0</v>
      </c>
      <c r="P4" s="11">
        <v>0</v>
      </c>
      <c r="Q4" s="13">
        <v>0</v>
      </c>
      <c r="R4" s="13">
        <v>0</v>
      </c>
      <c r="S4" s="11">
        <v>0</v>
      </c>
      <c r="T4" s="13">
        <v>0</v>
      </c>
      <c r="U4" s="13">
        <v>0</v>
      </c>
      <c r="V4" s="11">
        <v>0</v>
      </c>
      <c r="W4" s="13">
        <v>0</v>
      </c>
      <c r="X4" s="13">
        <v>0</v>
      </c>
      <c r="Y4" s="11">
        <v>0</v>
      </c>
    </row>
    <row r="5" spans="1:25" x14ac:dyDescent="0.3">
      <c r="A5" s="10" t="s">
        <v>151</v>
      </c>
      <c r="B5" s="7">
        <v>2022</v>
      </c>
      <c r="C5" s="11">
        <v>4</v>
      </c>
      <c r="D5" s="7" t="s">
        <v>158</v>
      </c>
      <c r="E5" s="7" t="s">
        <v>153</v>
      </c>
      <c r="F5" s="7" t="s">
        <v>154</v>
      </c>
      <c r="G5" s="12" t="s">
        <v>154</v>
      </c>
      <c r="H5" s="7" t="s">
        <v>155</v>
      </c>
      <c r="I5" s="7" t="s">
        <v>155</v>
      </c>
      <c r="J5" s="7" t="s">
        <v>154</v>
      </c>
      <c r="K5" s="13">
        <v>0</v>
      </c>
      <c r="L5" s="13">
        <v>0</v>
      </c>
      <c r="M5" s="11">
        <v>0</v>
      </c>
      <c r="N5" s="13">
        <v>0</v>
      </c>
      <c r="O5" s="13">
        <v>0</v>
      </c>
      <c r="P5" s="11">
        <v>0</v>
      </c>
      <c r="Q5" s="13">
        <v>0</v>
      </c>
      <c r="R5" s="13">
        <v>0</v>
      </c>
      <c r="S5" s="11">
        <v>0</v>
      </c>
      <c r="T5" s="13">
        <v>0</v>
      </c>
      <c r="U5" s="13">
        <v>0</v>
      </c>
      <c r="V5" s="11">
        <v>0</v>
      </c>
      <c r="W5" s="13">
        <v>0</v>
      </c>
      <c r="X5" s="13">
        <v>0</v>
      </c>
      <c r="Y5" s="11">
        <v>0</v>
      </c>
    </row>
    <row r="6" spans="1:25" x14ac:dyDescent="0.3">
      <c r="A6" s="10" t="s">
        <v>151</v>
      </c>
      <c r="B6" s="7">
        <v>2022</v>
      </c>
      <c r="C6" s="11">
        <v>5</v>
      </c>
      <c r="D6" s="7" t="s">
        <v>159</v>
      </c>
      <c r="E6" s="7" t="s">
        <v>153</v>
      </c>
      <c r="F6" s="7" t="s">
        <v>154</v>
      </c>
      <c r="G6" s="12" t="s">
        <v>154</v>
      </c>
      <c r="H6" s="7" t="s">
        <v>155</v>
      </c>
      <c r="I6" s="7" t="s">
        <v>155</v>
      </c>
      <c r="J6" s="7" t="s">
        <v>154</v>
      </c>
      <c r="K6" s="13">
        <v>0</v>
      </c>
      <c r="L6" s="13">
        <v>0</v>
      </c>
      <c r="M6" s="11">
        <v>0</v>
      </c>
      <c r="N6" s="13">
        <v>0</v>
      </c>
      <c r="O6" s="13">
        <v>0</v>
      </c>
      <c r="P6" s="11">
        <v>0</v>
      </c>
      <c r="Q6" s="13">
        <v>0</v>
      </c>
      <c r="R6" s="13">
        <v>0</v>
      </c>
      <c r="S6" s="11">
        <v>0</v>
      </c>
      <c r="T6" s="13">
        <v>0</v>
      </c>
      <c r="U6" s="13">
        <v>0</v>
      </c>
      <c r="V6" s="11">
        <v>0</v>
      </c>
      <c r="W6" s="13">
        <v>0</v>
      </c>
      <c r="X6" s="13">
        <v>0</v>
      </c>
      <c r="Y6" s="11">
        <v>0</v>
      </c>
    </row>
    <row r="7" spans="1:25" x14ac:dyDescent="0.3">
      <c r="A7" s="10" t="s">
        <v>151</v>
      </c>
      <c r="B7" s="7">
        <v>2022</v>
      </c>
      <c r="C7" s="11">
        <v>6</v>
      </c>
      <c r="D7" s="7" t="s">
        <v>160</v>
      </c>
      <c r="E7" s="7" t="s">
        <v>153</v>
      </c>
      <c r="F7" s="7" t="s">
        <v>154</v>
      </c>
      <c r="G7" s="14" t="s">
        <v>161</v>
      </c>
      <c r="H7" s="7" t="s">
        <v>155</v>
      </c>
      <c r="I7" s="7" t="s">
        <v>155</v>
      </c>
      <c r="J7" s="7" t="s">
        <v>154</v>
      </c>
      <c r="K7" s="13">
        <v>0</v>
      </c>
      <c r="L7" s="13">
        <v>0</v>
      </c>
      <c r="M7" s="11">
        <v>0</v>
      </c>
      <c r="N7" s="13">
        <v>0</v>
      </c>
      <c r="O7" s="13">
        <v>0</v>
      </c>
      <c r="P7" s="11">
        <v>0</v>
      </c>
      <c r="Q7" s="13">
        <v>0</v>
      </c>
      <c r="R7" s="13">
        <v>0</v>
      </c>
      <c r="S7" s="11">
        <v>0</v>
      </c>
      <c r="T7" s="13">
        <v>0</v>
      </c>
      <c r="U7" s="13">
        <v>0</v>
      </c>
      <c r="V7" s="11">
        <v>0</v>
      </c>
      <c r="W7" s="13">
        <v>0</v>
      </c>
      <c r="X7" s="13">
        <v>0</v>
      </c>
      <c r="Y7" s="11">
        <v>0</v>
      </c>
    </row>
    <row r="8" spans="1:25" x14ac:dyDescent="0.3">
      <c r="A8" s="10" t="s">
        <v>151</v>
      </c>
      <c r="B8" s="7">
        <v>2022</v>
      </c>
      <c r="C8" s="11">
        <v>7</v>
      </c>
      <c r="D8" s="7" t="s">
        <v>162</v>
      </c>
      <c r="E8" s="7" t="s">
        <v>153</v>
      </c>
      <c r="F8" s="7" t="s">
        <v>154</v>
      </c>
      <c r="G8" s="12" t="s">
        <v>154</v>
      </c>
      <c r="H8" s="7" t="s">
        <v>155</v>
      </c>
      <c r="I8" s="7" t="s">
        <v>155</v>
      </c>
      <c r="J8" s="7" t="s">
        <v>154</v>
      </c>
      <c r="K8" s="13">
        <v>0</v>
      </c>
      <c r="L8" s="13">
        <v>0</v>
      </c>
      <c r="M8" s="11">
        <v>0</v>
      </c>
      <c r="N8" s="13">
        <v>0</v>
      </c>
      <c r="O8" s="13">
        <v>0</v>
      </c>
      <c r="P8" s="11">
        <v>0</v>
      </c>
      <c r="Q8" s="13">
        <v>0</v>
      </c>
      <c r="R8" s="13">
        <v>0</v>
      </c>
      <c r="S8" s="11">
        <v>0</v>
      </c>
      <c r="T8" s="13">
        <v>0</v>
      </c>
      <c r="U8" s="13">
        <v>0</v>
      </c>
      <c r="V8" s="11">
        <v>0</v>
      </c>
      <c r="W8" s="13">
        <v>0</v>
      </c>
      <c r="X8" s="13">
        <v>0</v>
      </c>
      <c r="Y8" s="11">
        <v>0</v>
      </c>
    </row>
    <row r="9" spans="1:25" x14ac:dyDescent="0.3">
      <c r="A9" s="10" t="s">
        <v>151</v>
      </c>
      <c r="B9" s="7">
        <v>2022</v>
      </c>
      <c r="C9" s="11">
        <v>8</v>
      </c>
      <c r="D9" s="7" t="s">
        <v>163</v>
      </c>
      <c r="E9" s="7" t="s">
        <v>153</v>
      </c>
      <c r="F9" s="7" t="s">
        <v>154</v>
      </c>
      <c r="G9" s="12" t="s">
        <v>154</v>
      </c>
      <c r="H9" s="7" t="s">
        <v>155</v>
      </c>
      <c r="I9" s="7" t="s">
        <v>155</v>
      </c>
      <c r="J9" s="7" t="s">
        <v>154</v>
      </c>
      <c r="K9" s="13">
        <v>0</v>
      </c>
      <c r="L9" s="13">
        <v>0</v>
      </c>
      <c r="M9" s="11">
        <v>0</v>
      </c>
      <c r="N9" s="13">
        <v>0</v>
      </c>
      <c r="O9" s="13">
        <v>0</v>
      </c>
      <c r="P9" s="11">
        <v>0</v>
      </c>
      <c r="Q9" s="13">
        <v>0</v>
      </c>
      <c r="R9" s="13">
        <v>0</v>
      </c>
      <c r="S9" s="11">
        <v>0</v>
      </c>
      <c r="T9" s="13">
        <v>0</v>
      </c>
      <c r="U9" s="13">
        <v>0</v>
      </c>
      <c r="V9" s="11">
        <v>0</v>
      </c>
      <c r="W9" s="13">
        <v>0</v>
      </c>
      <c r="X9" s="13">
        <v>0</v>
      </c>
      <c r="Y9" s="11">
        <v>0</v>
      </c>
    </row>
    <row r="10" spans="1:25" x14ac:dyDescent="0.3">
      <c r="A10" s="10" t="s">
        <v>151</v>
      </c>
      <c r="B10" s="7">
        <v>2022</v>
      </c>
      <c r="C10" s="11">
        <v>9</v>
      </c>
      <c r="D10" s="7" t="s">
        <v>164</v>
      </c>
      <c r="E10" s="7" t="s">
        <v>153</v>
      </c>
      <c r="F10" s="7" t="s">
        <v>154</v>
      </c>
      <c r="G10" s="12" t="s">
        <v>154</v>
      </c>
      <c r="H10" s="7" t="s">
        <v>155</v>
      </c>
      <c r="I10" s="7" t="s">
        <v>155</v>
      </c>
      <c r="J10" s="7" t="s">
        <v>154</v>
      </c>
      <c r="K10" s="13">
        <v>0</v>
      </c>
      <c r="L10" s="13">
        <v>0</v>
      </c>
      <c r="M10" s="11">
        <v>0</v>
      </c>
      <c r="N10" s="13">
        <v>0</v>
      </c>
      <c r="O10" s="13">
        <v>0</v>
      </c>
      <c r="P10" s="11">
        <v>0</v>
      </c>
      <c r="Q10" s="13">
        <v>0</v>
      </c>
      <c r="R10" s="13">
        <v>0</v>
      </c>
      <c r="S10" s="11">
        <v>0</v>
      </c>
      <c r="T10" s="13">
        <v>0</v>
      </c>
      <c r="U10" s="13">
        <v>0</v>
      </c>
      <c r="V10" s="11">
        <v>0</v>
      </c>
      <c r="W10" s="13">
        <v>0</v>
      </c>
      <c r="X10" s="13">
        <v>0</v>
      </c>
      <c r="Y10" s="11">
        <v>0</v>
      </c>
    </row>
    <row r="11" spans="1:25" x14ac:dyDescent="0.3">
      <c r="A11" s="10" t="s">
        <v>151</v>
      </c>
      <c r="B11" s="7">
        <v>2022</v>
      </c>
      <c r="C11" s="11">
        <v>10</v>
      </c>
      <c r="D11" s="7" t="s">
        <v>165</v>
      </c>
      <c r="E11" s="7" t="s">
        <v>153</v>
      </c>
      <c r="F11" s="7" t="s">
        <v>154</v>
      </c>
      <c r="G11" s="12" t="s">
        <v>154</v>
      </c>
      <c r="H11" s="7" t="s">
        <v>155</v>
      </c>
      <c r="I11" s="7" t="s">
        <v>155</v>
      </c>
      <c r="J11" s="7" t="s">
        <v>154</v>
      </c>
      <c r="K11" s="13">
        <v>0</v>
      </c>
      <c r="L11" s="13">
        <v>0</v>
      </c>
      <c r="M11" s="11">
        <v>0</v>
      </c>
      <c r="N11" s="13">
        <v>0</v>
      </c>
      <c r="O11" s="13">
        <v>0</v>
      </c>
      <c r="P11" s="11">
        <v>0</v>
      </c>
      <c r="Q11" s="13">
        <v>0</v>
      </c>
      <c r="R11" s="13">
        <v>0</v>
      </c>
      <c r="S11" s="11">
        <v>0</v>
      </c>
      <c r="T11" s="13">
        <v>0</v>
      </c>
      <c r="U11" s="13">
        <v>0</v>
      </c>
      <c r="V11" s="11">
        <v>0</v>
      </c>
      <c r="W11" s="13">
        <v>0</v>
      </c>
      <c r="X11" s="13">
        <v>0</v>
      </c>
      <c r="Y11" s="11">
        <v>0</v>
      </c>
    </row>
    <row r="12" spans="1:25" x14ac:dyDescent="0.3">
      <c r="A12" s="10" t="s">
        <v>151</v>
      </c>
      <c r="B12" s="7">
        <v>2022</v>
      </c>
      <c r="C12" s="11">
        <v>11</v>
      </c>
      <c r="D12" s="7" t="s">
        <v>166</v>
      </c>
      <c r="E12" s="7" t="s">
        <v>153</v>
      </c>
      <c r="F12" s="7" t="s">
        <v>154</v>
      </c>
      <c r="G12" s="12" t="s">
        <v>154</v>
      </c>
      <c r="H12" s="7" t="s">
        <v>155</v>
      </c>
      <c r="I12" s="7" t="s">
        <v>155</v>
      </c>
      <c r="J12" s="7" t="s">
        <v>154</v>
      </c>
      <c r="K12" s="13">
        <v>0</v>
      </c>
      <c r="L12" s="13">
        <v>0</v>
      </c>
      <c r="M12" s="11">
        <v>0</v>
      </c>
      <c r="N12" s="13">
        <v>0</v>
      </c>
      <c r="O12" s="13">
        <v>0</v>
      </c>
      <c r="P12" s="11">
        <v>0</v>
      </c>
      <c r="Q12" s="13">
        <v>0</v>
      </c>
      <c r="R12" s="13">
        <v>0</v>
      </c>
      <c r="S12" s="11">
        <v>0</v>
      </c>
      <c r="T12" s="13">
        <v>0</v>
      </c>
      <c r="U12" s="13">
        <v>0</v>
      </c>
      <c r="V12" s="11">
        <v>0</v>
      </c>
      <c r="W12" s="13">
        <v>0</v>
      </c>
      <c r="X12" s="13">
        <v>0</v>
      </c>
      <c r="Y12" s="11">
        <v>0</v>
      </c>
    </row>
    <row r="13" spans="1:25" x14ac:dyDescent="0.3">
      <c r="A13" s="10" t="s">
        <v>151</v>
      </c>
      <c r="B13" s="7">
        <v>2022</v>
      </c>
      <c r="C13" s="11">
        <v>12</v>
      </c>
      <c r="D13" s="7" t="s">
        <v>167</v>
      </c>
      <c r="E13" s="7" t="s">
        <v>153</v>
      </c>
      <c r="F13" s="7" t="s">
        <v>154</v>
      </c>
      <c r="G13" s="14" t="s">
        <v>168</v>
      </c>
      <c r="H13" s="7" t="s">
        <v>155</v>
      </c>
      <c r="I13" s="7" t="s">
        <v>155</v>
      </c>
      <c r="J13" s="7" t="s">
        <v>154</v>
      </c>
      <c r="K13" s="13">
        <v>0</v>
      </c>
      <c r="L13" s="13">
        <v>0</v>
      </c>
      <c r="M13" s="11">
        <v>0</v>
      </c>
      <c r="N13" s="13">
        <v>0</v>
      </c>
      <c r="O13" s="13">
        <v>0</v>
      </c>
      <c r="P13" s="11">
        <v>0</v>
      </c>
      <c r="Q13" s="13">
        <v>0</v>
      </c>
      <c r="R13" s="13">
        <v>0</v>
      </c>
      <c r="S13" s="11">
        <v>0</v>
      </c>
      <c r="T13" s="13">
        <v>0</v>
      </c>
      <c r="U13" s="13">
        <v>0</v>
      </c>
      <c r="V13" s="11">
        <v>0</v>
      </c>
      <c r="W13" s="13">
        <v>0</v>
      </c>
      <c r="X13" s="13">
        <v>0</v>
      </c>
      <c r="Y13" s="11">
        <v>0</v>
      </c>
    </row>
    <row r="14" spans="1:25" x14ac:dyDescent="0.3">
      <c r="A14" s="10" t="s">
        <v>151</v>
      </c>
      <c r="B14" s="7">
        <v>2022</v>
      </c>
      <c r="C14" s="11">
        <v>13</v>
      </c>
      <c r="D14" s="7" t="s">
        <v>169</v>
      </c>
      <c r="E14" s="7" t="s">
        <v>153</v>
      </c>
      <c r="F14" s="7" t="s">
        <v>154</v>
      </c>
      <c r="G14" s="14" t="s">
        <v>170</v>
      </c>
      <c r="H14" s="7" t="s">
        <v>155</v>
      </c>
      <c r="I14" s="7" t="s">
        <v>155</v>
      </c>
      <c r="J14" s="7" t="s">
        <v>154</v>
      </c>
      <c r="K14" s="13">
        <v>0</v>
      </c>
      <c r="L14" s="13">
        <v>0</v>
      </c>
      <c r="M14" s="11">
        <v>0</v>
      </c>
      <c r="N14" s="13">
        <v>0</v>
      </c>
      <c r="O14" s="13">
        <v>0</v>
      </c>
      <c r="P14" s="11">
        <v>0</v>
      </c>
      <c r="Q14" s="13">
        <v>0</v>
      </c>
      <c r="R14" s="13">
        <v>0</v>
      </c>
      <c r="S14" s="11">
        <v>0</v>
      </c>
      <c r="T14" s="13">
        <v>0</v>
      </c>
      <c r="U14" s="13">
        <v>0</v>
      </c>
      <c r="V14" s="11">
        <v>0</v>
      </c>
      <c r="W14" s="13">
        <v>0</v>
      </c>
      <c r="X14" s="13">
        <v>0</v>
      </c>
      <c r="Y14" s="11">
        <v>0</v>
      </c>
    </row>
    <row r="15" spans="1:25" x14ac:dyDescent="0.3">
      <c r="A15" s="10" t="s">
        <v>151</v>
      </c>
      <c r="B15" s="7">
        <v>2022</v>
      </c>
      <c r="C15" s="11">
        <v>14</v>
      </c>
      <c r="D15" s="7" t="s">
        <v>171</v>
      </c>
      <c r="E15" s="7" t="s">
        <v>83</v>
      </c>
      <c r="F15" s="7" t="s">
        <v>172</v>
      </c>
      <c r="G15" s="12" t="s">
        <v>154</v>
      </c>
      <c r="H15" s="7" t="s">
        <v>155</v>
      </c>
      <c r="I15" s="7" t="s">
        <v>155</v>
      </c>
      <c r="J15" s="7" t="s">
        <v>154</v>
      </c>
      <c r="K15" s="13">
        <v>100</v>
      </c>
      <c r="L15" s="13">
        <v>13</v>
      </c>
      <c r="M15" s="11">
        <v>60</v>
      </c>
      <c r="N15" s="13">
        <v>0</v>
      </c>
      <c r="O15" s="13">
        <v>0</v>
      </c>
      <c r="P15" s="11">
        <v>0</v>
      </c>
      <c r="Q15" s="13">
        <v>0</v>
      </c>
      <c r="R15" s="13">
        <v>0</v>
      </c>
      <c r="S15" s="11">
        <v>0</v>
      </c>
      <c r="T15" s="13">
        <v>0</v>
      </c>
      <c r="U15" s="13">
        <v>0</v>
      </c>
      <c r="V15" s="11">
        <v>0</v>
      </c>
      <c r="W15" s="13">
        <v>0</v>
      </c>
      <c r="X15" s="13">
        <v>0</v>
      </c>
      <c r="Y15" s="11">
        <v>0</v>
      </c>
    </row>
    <row r="16" spans="1:25" x14ac:dyDescent="0.3">
      <c r="A16" s="10" t="s">
        <v>151</v>
      </c>
      <c r="B16" s="7">
        <v>2022</v>
      </c>
      <c r="C16" s="11">
        <v>15</v>
      </c>
      <c r="D16" s="7" t="s">
        <v>173</v>
      </c>
      <c r="E16" s="7" t="s">
        <v>83</v>
      </c>
      <c r="F16" s="7" t="s">
        <v>172</v>
      </c>
      <c r="G16" s="12" t="s">
        <v>154</v>
      </c>
      <c r="H16" s="7" t="s">
        <v>155</v>
      </c>
      <c r="I16" s="7" t="s">
        <v>155</v>
      </c>
      <c r="J16" s="7" t="s">
        <v>154</v>
      </c>
      <c r="K16" s="13">
        <v>100</v>
      </c>
      <c r="L16" s="13">
        <v>13</v>
      </c>
      <c r="M16" s="11">
        <v>60</v>
      </c>
      <c r="N16" s="13">
        <v>0</v>
      </c>
      <c r="O16" s="13">
        <v>0</v>
      </c>
      <c r="P16" s="11">
        <v>0</v>
      </c>
      <c r="Q16" s="13">
        <v>0</v>
      </c>
      <c r="R16" s="13">
        <v>0</v>
      </c>
      <c r="S16" s="11">
        <v>0</v>
      </c>
      <c r="T16" s="13">
        <v>0</v>
      </c>
      <c r="U16" s="13">
        <v>0</v>
      </c>
      <c r="V16" s="11">
        <v>0</v>
      </c>
      <c r="W16" s="13">
        <v>0</v>
      </c>
      <c r="X16" s="13">
        <v>0</v>
      </c>
      <c r="Y16" s="11">
        <v>0</v>
      </c>
    </row>
    <row r="17" spans="1:25" x14ac:dyDescent="0.3">
      <c r="A17" s="10" t="s">
        <v>151</v>
      </c>
      <c r="B17" s="7">
        <v>2022</v>
      </c>
      <c r="C17" s="11">
        <v>16</v>
      </c>
      <c r="D17" s="7" t="s">
        <v>174</v>
      </c>
      <c r="E17" s="7" t="s">
        <v>83</v>
      </c>
      <c r="F17" s="7" t="s">
        <v>172</v>
      </c>
      <c r="G17" s="12" t="s">
        <v>154</v>
      </c>
      <c r="H17" s="7" t="s">
        <v>155</v>
      </c>
      <c r="I17" s="7" t="s">
        <v>155</v>
      </c>
      <c r="J17" s="7" t="s">
        <v>154</v>
      </c>
      <c r="K17" s="13">
        <v>100</v>
      </c>
      <c r="L17" s="13">
        <v>13</v>
      </c>
      <c r="M17" s="11">
        <v>60</v>
      </c>
      <c r="N17" s="13">
        <v>0</v>
      </c>
      <c r="O17" s="13">
        <v>0</v>
      </c>
      <c r="P17" s="11">
        <v>0</v>
      </c>
      <c r="Q17" s="13">
        <v>0</v>
      </c>
      <c r="R17" s="13">
        <v>0</v>
      </c>
      <c r="S17" s="11">
        <v>0</v>
      </c>
      <c r="T17" s="13">
        <v>0</v>
      </c>
      <c r="U17" s="13">
        <v>0</v>
      </c>
      <c r="V17" s="11">
        <v>0</v>
      </c>
      <c r="W17" s="13">
        <v>0</v>
      </c>
      <c r="X17" s="13">
        <v>0</v>
      </c>
      <c r="Y17" s="11">
        <v>0</v>
      </c>
    </row>
    <row r="18" spans="1:25" x14ac:dyDescent="0.3">
      <c r="A18" s="10" t="s">
        <v>151</v>
      </c>
      <c r="B18" s="7">
        <v>2022</v>
      </c>
      <c r="C18" s="11">
        <v>17</v>
      </c>
      <c r="D18" s="7" t="s">
        <v>175</v>
      </c>
      <c r="E18" s="7" t="s">
        <v>83</v>
      </c>
      <c r="F18" s="7" t="s">
        <v>154</v>
      </c>
      <c r="G18" s="14" t="s">
        <v>176</v>
      </c>
      <c r="H18" s="7" t="s">
        <v>155</v>
      </c>
      <c r="I18" s="7" t="s">
        <v>155</v>
      </c>
      <c r="J18" s="7" t="s">
        <v>154</v>
      </c>
      <c r="K18" s="13">
        <v>0</v>
      </c>
      <c r="L18" s="13">
        <v>0</v>
      </c>
      <c r="M18" s="11">
        <v>0</v>
      </c>
      <c r="N18" s="13">
        <v>0</v>
      </c>
      <c r="O18" s="13">
        <v>0</v>
      </c>
      <c r="P18" s="11">
        <v>0</v>
      </c>
      <c r="Q18" s="13">
        <v>0</v>
      </c>
      <c r="R18" s="13">
        <v>0</v>
      </c>
      <c r="S18" s="11">
        <v>0</v>
      </c>
      <c r="T18" s="13">
        <v>0</v>
      </c>
      <c r="U18" s="13">
        <v>0</v>
      </c>
      <c r="V18" s="11">
        <v>0</v>
      </c>
      <c r="W18" s="13">
        <v>0</v>
      </c>
      <c r="X18" s="13">
        <v>0</v>
      </c>
      <c r="Y18" s="11">
        <v>0</v>
      </c>
    </row>
    <row r="19" spans="1:25" x14ac:dyDescent="0.3">
      <c r="A19" s="10" t="s">
        <v>151</v>
      </c>
      <c r="B19" s="7">
        <v>2022</v>
      </c>
      <c r="C19" s="11">
        <v>18</v>
      </c>
      <c r="D19" s="7" t="s">
        <v>177</v>
      </c>
      <c r="E19" s="7" t="s">
        <v>83</v>
      </c>
      <c r="F19" s="7" t="s">
        <v>178</v>
      </c>
      <c r="G19" s="12" t="s">
        <v>154</v>
      </c>
      <c r="H19" s="7" t="s">
        <v>155</v>
      </c>
      <c r="I19" s="7" t="s">
        <v>155</v>
      </c>
      <c r="J19" s="7" t="s">
        <v>154</v>
      </c>
      <c r="K19" s="13">
        <v>100</v>
      </c>
      <c r="L19" s="13">
        <v>13</v>
      </c>
      <c r="M19" s="11">
        <v>60</v>
      </c>
      <c r="N19" s="13">
        <v>0</v>
      </c>
      <c r="O19" s="13">
        <v>0</v>
      </c>
      <c r="P19" s="11">
        <v>0</v>
      </c>
      <c r="Q19" s="13">
        <v>0</v>
      </c>
      <c r="R19" s="13">
        <v>0</v>
      </c>
      <c r="S19" s="11">
        <v>0</v>
      </c>
      <c r="T19" s="13">
        <v>0</v>
      </c>
      <c r="U19" s="13">
        <v>0</v>
      </c>
      <c r="V19" s="11">
        <v>0</v>
      </c>
      <c r="W19" s="13">
        <v>0</v>
      </c>
      <c r="X19" s="13">
        <v>0</v>
      </c>
      <c r="Y19" s="11">
        <v>0</v>
      </c>
    </row>
    <row r="20" spans="1:25" x14ac:dyDescent="0.3">
      <c r="A20" s="10" t="s">
        <v>151</v>
      </c>
      <c r="B20" s="7">
        <v>2022</v>
      </c>
      <c r="C20" s="11">
        <v>19</v>
      </c>
      <c r="D20" s="7" t="s">
        <v>179</v>
      </c>
      <c r="E20" s="7" t="s">
        <v>83</v>
      </c>
      <c r="F20" s="7" t="s">
        <v>180</v>
      </c>
      <c r="G20" s="12" t="s">
        <v>154</v>
      </c>
      <c r="H20" s="7" t="s">
        <v>155</v>
      </c>
      <c r="I20" s="7" t="s">
        <v>155</v>
      </c>
      <c r="J20" s="7" t="s">
        <v>154</v>
      </c>
      <c r="K20" s="13">
        <v>100</v>
      </c>
      <c r="L20" s="13">
        <v>13</v>
      </c>
      <c r="M20" s="11">
        <v>60</v>
      </c>
      <c r="N20" s="13">
        <v>0</v>
      </c>
      <c r="O20" s="13">
        <v>0</v>
      </c>
      <c r="P20" s="11">
        <v>0</v>
      </c>
      <c r="Q20" s="13">
        <v>0</v>
      </c>
      <c r="R20" s="13">
        <v>0</v>
      </c>
      <c r="S20" s="11">
        <v>0</v>
      </c>
      <c r="T20" s="13">
        <v>0</v>
      </c>
      <c r="U20" s="13">
        <v>0</v>
      </c>
      <c r="V20" s="11">
        <v>0</v>
      </c>
      <c r="W20" s="13">
        <v>0</v>
      </c>
      <c r="X20" s="13">
        <v>0</v>
      </c>
      <c r="Y20" s="11">
        <v>0</v>
      </c>
    </row>
    <row r="21" spans="1:25" x14ac:dyDescent="0.3">
      <c r="A21" s="10" t="s">
        <v>151</v>
      </c>
      <c r="B21" s="7">
        <v>2022</v>
      </c>
      <c r="C21" s="11">
        <v>20</v>
      </c>
      <c r="D21" s="7" t="s">
        <v>181</v>
      </c>
      <c r="E21" s="7" t="s">
        <v>83</v>
      </c>
      <c r="F21" s="7" t="s">
        <v>182</v>
      </c>
      <c r="G21" s="12" t="s">
        <v>154</v>
      </c>
      <c r="H21" s="7" t="s">
        <v>155</v>
      </c>
      <c r="I21" s="7" t="s">
        <v>155</v>
      </c>
      <c r="J21" s="7" t="s">
        <v>154</v>
      </c>
      <c r="K21" s="13">
        <v>100</v>
      </c>
      <c r="L21" s="13">
        <v>13</v>
      </c>
      <c r="M21" s="11">
        <v>60</v>
      </c>
      <c r="N21" s="13">
        <v>0</v>
      </c>
      <c r="O21" s="13">
        <v>0</v>
      </c>
      <c r="P21" s="11">
        <v>0</v>
      </c>
      <c r="Q21" s="13">
        <v>0</v>
      </c>
      <c r="R21" s="13">
        <v>0</v>
      </c>
      <c r="S21" s="11">
        <v>0</v>
      </c>
      <c r="T21" s="13">
        <v>0</v>
      </c>
      <c r="U21" s="13">
        <v>0</v>
      </c>
      <c r="V21" s="11">
        <v>0</v>
      </c>
      <c r="W21" s="13">
        <v>0</v>
      </c>
      <c r="X21" s="13">
        <v>0</v>
      </c>
      <c r="Y21" s="11">
        <v>0</v>
      </c>
    </row>
    <row r="22" spans="1:25" x14ac:dyDescent="0.3">
      <c r="A22" s="10" t="s">
        <v>151</v>
      </c>
      <c r="B22" s="7">
        <v>2022</v>
      </c>
      <c r="C22" s="11">
        <v>21</v>
      </c>
      <c r="D22" s="7" t="s">
        <v>183</v>
      </c>
      <c r="E22" s="7" t="s">
        <v>83</v>
      </c>
      <c r="F22" s="7" t="s">
        <v>184</v>
      </c>
      <c r="G22" s="12" t="s">
        <v>154</v>
      </c>
      <c r="H22" s="7" t="s">
        <v>155</v>
      </c>
      <c r="I22" s="7" t="s">
        <v>155</v>
      </c>
      <c r="J22" s="7" t="s">
        <v>154</v>
      </c>
      <c r="K22" s="13">
        <v>100</v>
      </c>
      <c r="L22" s="13">
        <v>13</v>
      </c>
      <c r="M22" s="11">
        <v>60</v>
      </c>
      <c r="N22" s="13">
        <v>0</v>
      </c>
      <c r="O22" s="13">
        <v>0</v>
      </c>
      <c r="P22" s="11">
        <v>0</v>
      </c>
      <c r="Q22" s="13">
        <v>0</v>
      </c>
      <c r="R22" s="13">
        <v>0</v>
      </c>
      <c r="S22" s="11">
        <v>0</v>
      </c>
      <c r="T22" s="13">
        <v>0</v>
      </c>
      <c r="U22" s="13">
        <v>0</v>
      </c>
      <c r="V22" s="11">
        <v>0</v>
      </c>
      <c r="W22" s="13">
        <v>0</v>
      </c>
      <c r="X22" s="13">
        <v>0</v>
      </c>
      <c r="Y22" s="11">
        <v>0</v>
      </c>
    </row>
    <row r="23" spans="1:25" x14ac:dyDescent="0.3">
      <c r="A23" s="10" t="s">
        <v>151</v>
      </c>
      <c r="B23" s="7">
        <v>2022</v>
      </c>
      <c r="C23" s="11">
        <v>22</v>
      </c>
      <c r="D23" s="7" t="s">
        <v>185</v>
      </c>
      <c r="E23" s="7" t="s">
        <v>83</v>
      </c>
      <c r="F23" s="7" t="s">
        <v>186</v>
      </c>
      <c r="G23" s="12" t="s">
        <v>154</v>
      </c>
      <c r="H23" s="7" t="s">
        <v>155</v>
      </c>
      <c r="I23" s="7" t="s">
        <v>155</v>
      </c>
      <c r="J23" s="7" t="s">
        <v>154</v>
      </c>
      <c r="K23" s="13">
        <v>100</v>
      </c>
      <c r="L23" s="13">
        <v>13</v>
      </c>
      <c r="M23" s="11">
        <v>60</v>
      </c>
      <c r="N23" s="13">
        <v>0</v>
      </c>
      <c r="O23" s="13">
        <v>0</v>
      </c>
      <c r="P23" s="11">
        <v>0</v>
      </c>
      <c r="Q23" s="13">
        <v>0</v>
      </c>
      <c r="R23" s="13">
        <v>0</v>
      </c>
      <c r="S23" s="11">
        <v>0</v>
      </c>
      <c r="T23" s="13">
        <v>0</v>
      </c>
      <c r="U23" s="13">
        <v>0</v>
      </c>
      <c r="V23" s="11">
        <v>0</v>
      </c>
      <c r="W23" s="13">
        <v>0</v>
      </c>
      <c r="X23" s="13">
        <v>0</v>
      </c>
      <c r="Y23" s="11">
        <v>0</v>
      </c>
    </row>
    <row r="24" spans="1:25" x14ac:dyDescent="0.3">
      <c r="A24" s="10" t="s">
        <v>151</v>
      </c>
      <c r="B24" s="7">
        <v>2022</v>
      </c>
      <c r="C24" s="11">
        <v>23</v>
      </c>
      <c r="D24" s="7" t="s">
        <v>187</v>
      </c>
      <c r="E24" s="7" t="s">
        <v>83</v>
      </c>
      <c r="F24" s="7" t="s">
        <v>188</v>
      </c>
      <c r="G24" s="12" t="s">
        <v>154</v>
      </c>
      <c r="H24" s="7" t="s">
        <v>155</v>
      </c>
      <c r="I24" s="7" t="s">
        <v>155</v>
      </c>
      <c r="J24" s="7" t="s">
        <v>154</v>
      </c>
      <c r="K24" s="13">
        <v>100</v>
      </c>
      <c r="L24" s="13">
        <v>13</v>
      </c>
      <c r="M24" s="11">
        <v>60</v>
      </c>
      <c r="N24" s="13">
        <v>0</v>
      </c>
      <c r="O24" s="13">
        <v>0</v>
      </c>
      <c r="P24" s="11">
        <v>0</v>
      </c>
      <c r="Q24" s="13">
        <v>0</v>
      </c>
      <c r="R24" s="13">
        <v>0</v>
      </c>
      <c r="S24" s="11">
        <v>0</v>
      </c>
      <c r="T24" s="13">
        <v>0</v>
      </c>
      <c r="U24" s="13">
        <v>0</v>
      </c>
      <c r="V24" s="11">
        <v>0</v>
      </c>
      <c r="W24" s="13">
        <v>0</v>
      </c>
      <c r="X24" s="13">
        <v>0</v>
      </c>
      <c r="Y24" s="11">
        <v>0</v>
      </c>
    </row>
    <row r="25" spans="1:25" x14ac:dyDescent="0.3">
      <c r="A25" s="10" t="s">
        <v>151</v>
      </c>
      <c r="B25" s="7">
        <v>2022</v>
      </c>
      <c r="C25" s="11">
        <v>24</v>
      </c>
      <c r="D25" s="7" t="s">
        <v>189</v>
      </c>
      <c r="E25" s="7" t="s">
        <v>83</v>
      </c>
      <c r="F25" s="7" t="s">
        <v>190</v>
      </c>
      <c r="G25" s="12" t="s">
        <v>154</v>
      </c>
      <c r="H25" s="7" t="s">
        <v>155</v>
      </c>
      <c r="I25" s="7" t="s">
        <v>155</v>
      </c>
      <c r="J25" s="7" t="s">
        <v>154</v>
      </c>
      <c r="K25" s="13">
        <v>100</v>
      </c>
      <c r="L25" s="13">
        <v>13</v>
      </c>
      <c r="M25" s="11">
        <v>60</v>
      </c>
      <c r="N25" s="13">
        <v>0</v>
      </c>
      <c r="O25" s="13">
        <v>0</v>
      </c>
      <c r="P25" s="11">
        <v>0</v>
      </c>
      <c r="Q25" s="13">
        <v>0</v>
      </c>
      <c r="R25" s="13">
        <v>0</v>
      </c>
      <c r="S25" s="11">
        <v>0</v>
      </c>
      <c r="T25" s="13">
        <v>0</v>
      </c>
      <c r="U25" s="13">
        <v>0</v>
      </c>
      <c r="V25" s="11">
        <v>0</v>
      </c>
      <c r="W25" s="13">
        <v>0</v>
      </c>
      <c r="X25" s="13">
        <v>0</v>
      </c>
      <c r="Y25" s="11">
        <v>0</v>
      </c>
    </row>
    <row r="26" spans="1:25" x14ac:dyDescent="0.3">
      <c r="A26" s="10" t="s">
        <v>151</v>
      </c>
      <c r="B26" s="7">
        <v>2022</v>
      </c>
      <c r="C26" s="11">
        <v>25</v>
      </c>
      <c r="D26" s="7" t="s">
        <v>191</v>
      </c>
      <c r="E26" s="7" t="s">
        <v>83</v>
      </c>
      <c r="F26" s="7" t="s">
        <v>192</v>
      </c>
      <c r="G26" s="12" t="s">
        <v>154</v>
      </c>
      <c r="H26" s="7" t="s">
        <v>155</v>
      </c>
      <c r="I26" s="7" t="s">
        <v>155</v>
      </c>
      <c r="J26" s="7" t="s">
        <v>154</v>
      </c>
      <c r="K26" s="13">
        <v>100</v>
      </c>
      <c r="L26" s="13">
        <v>13</v>
      </c>
      <c r="M26" s="11">
        <v>60</v>
      </c>
      <c r="N26" s="13">
        <v>0</v>
      </c>
      <c r="O26" s="13">
        <v>0</v>
      </c>
      <c r="P26" s="11">
        <v>0</v>
      </c>
      <c r="Q26" s="13">
        <v>0</v>
      </c>
      <c r="R26" s="13">
        <v>0</v>
      </c>
      <c r="S26" s="11">
        <v>0</v>
      </c>
      <c r="T26" s="13">
        <v>0</v>
      </c>
      <c r="U26" s="13">
        <v>0</v>
      </c>
      <c r="V26" s="11">
        <v>0</v>
      </c>
      <c r="W26" s="13">
        <v>0</v>
      </c>
      <c r="X26" s="13">
        <v>0</v>
      </c>
      <c r="Y26" s="11">
        <v>0</v>
      </c>
    </row>
    <row r="27" spans="1:25" x14ac:dyDescent="0.3">
      <c r="A27" s="10" t="s">
        <v>151</v>
      </c>
      <c r="B27" s="7">
        <v>2022</v>
      </c>
      <c r="C27" s="11">
        <v>26</v>
      </c>
      <c r="D27" s="7" t="s">
        <v>193</v>
      </c>
      <c r="E27" s="7" t="s">
        <v>83</v>
      </c>
      <c r="F27" s="7" t="s">
        <v>172</v>
      </c>
      <c r="G27" s="12" t="s">
        <v>154</v>
      </c>
      <c r="H27" s="7" t="s">
        <v>155</v>
      </c>
      <c r="I27" s="7" t="s">
        <v>155</v>
      </c>
      <c r="J27" s="7" t="s">
        <v>154</v>
      </c>
      <c r="K27" s="13">
        <v>100</v>
      </c>
      <c r="L27" s="13">
        <v>13</v>
      </c>
      <c r="M27" s="11">
        <v>60</v>
      </c>
      <c r="N27" s="13">
        <v>0</v>
      </c>
      <c r="O27" s="13">
        <v>0</v>
      </c>
      <c r="P27" s="11">
        <v>0</v>
      </c>
      <c r="Q27" s="13">
        <v>0</v>
      </c>
      <c r="R27" s="13">
        <v>0</v>
      </c>
      <c r="S27" s="11">
        <v>0</v>
      </c>
      <c r="T27" s="13">
        <v>0</v>
      </c>
      <c r="U27" s="13">
        <v>0</v>
      </c>
      <c r="V27" s="11">
        <v>0</v>
      </c>
      <c r="W27" s="13">
        <v>0</v>
      </c>
      <c r="X27" s="13">
        <v>0</v>
      </c>
      <c r="Y27" s="11">
        <v>0</v>
      </c>
    </row>
    <row r="28" spans="1:25" x14ac:dyDescent="0.3">
      <c r="A28" s="10" t="s">
        <v>151</v>
      </c>
      <c r="B28" s="7">
        <v>2022</v>
      </c>
      <c r="C28" s="11">
        <v>27</v>
      </c>
      <c r="D28" s="7" t="s">
        <v>194</v>
      </c>
      <c r="E28" s="7" t="s">
        <v>83</v>
      </c>
      <c r="F28" s="7" t="s">
        <v>154</v>
      </c>
      <c r="G28" s="12" t="s">
        <v>154</v>
      </c>
      <c r="H28" s="7" t="s">
        <v>155</v>
      </c>
      <c r="I28" s="7" t="s">
        <v>155</v>
      </c>
      <c r="J28" s="7" t="s">
        <v>154</v>
      </c>
      <c r="K28" s="13">
        <v>0</v>
      </c>
      <c r="L28" s="13">
        <v>0</v>
      </c>
      <c r="M28" s="11">
        <v>0</v>
      </c>
      <c r="N28" s="13">
        <v>0</v>
      </c>
      <c r="O28" s="13">
        <v>0</v>
      </c>
      <c r="P28" s="11">
        <v>0</v>
      </c>
      <c r="Q28" s="13">
        <v>0</v>
      </c>
      <c r="R28" s="13">
        <v>0</v>
      </c>
      <c r="S28" s="11">
        <v>0</v>
      </c>
      <c r="T28" s="13">
        <v>0</v>
      </c>
      <c r="U28" s="13">
        <v>0</v>
      </c>
      <c r="V28" s="11">
        <v>0</v>
      </c>
      <c r="W28" s="13">
        <v>0</v>
      </c>
      <c r="X28" s="13">
        <v>0</v>
      </c>
      <c r="Y28" s="11">
        <v>0</v>
      </c>
    </row>
    <row r="29" spans="1:25" x14ac:dyDescent="0.3">
      <c r="A29" s="10" t="s">
        <v>151</v>
      </c>
      <c r="B29" s="7">
        <v>2022</v>
      </c>
      <c r="C29" s="11">
        <v>28</v>
      </c>
      <c r="D29" s="7" t="s">
        <v>194</v>
      </c>
      <c r="E29" s="7" t="s">
        <v>83</v>
      </c>
      <c r="F29" s="7" t="s">
        <v>154</v>
      </c>
      <c r="G29" s="12" t="s">
        <v>154</v>
      </c>
      <c r="H29" s="7" t="s">
        <v>155</v>
      </c>
      <c r="I29" s="7" t="s">
        <v>155</v>
      </c>
      <c r="J29" s="7" t="s">
        <v>154</v>
      </c>
      <c r="K29" s="13">
        <v>0</v>
      </c>
      <c r="L29" s="13">
        <v>0</v>
      </c>
      <c r="M29" s="11">
        <v>0</v>
      </c>
      <c r="N29" s="13">
        <v>0</v>
      </c>
      <c r="O29" s="13">
        <v>0</v>
      </c>
      <c r="P29" s="11">
        <v>0</v>
      </c>
      <c r="Q29" s="13">
        <v>0</v>
      </c>
      <c r="R29" s="13">
        <v>0</v>
      </c>
      <c r="S29" s="11">
        <v>0</v>
      </c>
      <c r="T29" s="13">
        <v>0</v>
      </c>
      <c r="U29" s="13">
        <v>0</v>
      </c>
      <c r="V29" s="11">
        <v>0</v>
      </c>
      <c r="W29" s="13">
        <v>0</v>
      </c>
      <c r="X29" s="13">
        <v>0</v>
      </c>
      <c r="Y29" s="11">
        <v>0</v>
      </c>
    </row>
    <row r="30" spans="1:25" x14ac:dyDescent="0.3">
      <c r="A30" s="10" t="s">
        <v>151</v>
      </c>
      <c r="B30" s="7">
        <v>2022</v>
      </c>
      <c r="C30" s="11">
        <v>29</v>
      </c>
      <c r="D30" s="7" t="s">
        <v>195</v>
      </c>
      <c r="E30" s="7" t="s">
        <v>83</v>
      </c>
      <c r="F30" s="7" t="s">
        <v>154</v>
      </c>
      <c r="G30" s="14" t="s">
        <v>196</v>
      </c>
      <c r="H30" s="7" t="s">
        <v>155</v>
      </c>
      <c r="I30" s="7" t="s">
        <v>155</v>
      </c>
      <c r="J30" s="7" t="s">
        <v>154</v>
      </c>
      <c r="K30" s="13">
        <v>0</v>
      </c>
      <c r="L30" s="13">
        <v>0</v>
      </c>
      <c r="M30" s="11">
        <v>0</v>
      </c>
      <c r="N30" s="13">
        <v>0</v>
      </c>
      <c r="O30" s="13">
        <v>0</v>
      </c>
      <c r="P30" s="11">
        <v>0</v>
      </c>
      <c r="Q30" s="13">
        <v>0</v>
      </c>
      <c r="R30" s="13">
        <v>0</v>
      </c>
      <c r="S30" s="11">
        <v>0</v>
      </c>
      <c r="T30" s="13">
        <v>0</v>
      </c>
      <c r="U30" s="13">
        <v>0</v>
      </c>
      <c r="V30" s="11">
        <v>0</v>
      </c>
      <c r="W30" s="13">
        <v>0</v>
      </c>
      <c r="X30" s="13">
        <v>0</v>
      </c>
      <c r="Y30" s="11">
        <v>0</v>
      </c>
    </row>
    <row r="31" spans="1:25" x14ac:dyDescent="0.3">
      <c r="A31" s="10" t="s">
        <v>151</v>
      </c>
      <c r="B31" s="7">
        <v>2022</v>
      </c>
      <c r="C31" s="11">
        <v>30</v>
      </c>
      <c r="D31" s="7" t="s">
        <v>197</v>
      </c>
      <c r="E31" s="7" t="s">
        <v>83</v>
      </c>
      <c r="F31" s="7" t="s">
        <v>198</v>
      </c>
      <c r="G31" s="12" t="s">
        <v>154</v>
      </c>
      <c r="H31" s="7" t="s">
        <v>155</v>
      </c>
      <c r="I31" s="7" t="s">
        <v>155</v>
      </c>
      <c r="J31" s="7" t="s">
        <v>154</v>
      </c>
      <c r="K31" s="13">
        <v>100</v>
      </c>
      <c r="L31" s="13">
        <v>13</v>
      </c>
      <c r="M31" s="11">
        <v>60</v>
      </c>
      <c r="N31" s="13">
        <v>0</v>
      </c>
      <c r="O31" s="13">
        <v>0</v>
      </c>
      <c r="P31" s="11">
        <v>0</v>
      </c>
      <c r="Q31" s="13">
        <v>0</v>
      </c>
      <c r="R31" s="13">
        <v>0</v>
      </c>
      <c r="S31" s="11">
        <v>0</v>
      </c>
      <c r="T31" s="13">
        <v>0</v>
      </c>
      <c r="U31" s="13">
        <v>0</v>
      </c>
      <c r="V31" s="11">
        <v>0</v>
      </c>
      <c r="W31" s="13">
        <v>0</v>
      </c>
      <c r="X31" s="13">
        <v>0</v>
      </c>
      <c r="Y31" s="11">
        <v>0</v>
      </c>
    </row>
    <row r="32" spans="1:25" x14ac:dyDescent="0.3">
      <c r="A32" s="10" t="s">
        <v>151</v>
      </c>
      <c r="B32" s="7">
        <v>2022</v>
      </c>
      <c r="C32" s="11">
        <v>31</v>
      </c>
      <c r="D32" s="7" t="s">
        <v>199</v>
      </c>
      <c r="E32" s="7" t="s">
        <v>83</v>
      </c>
      <c r="F32" s="7" t="s">
        <v>200</v>
      </c>
      <c r="G32" s="12" t="s">
        <v>154</v>
      </c>
      <c r="H32" s="7" t="s">
        <v>155</v>
      </c>
      <c r="I32" s="7" t="s">
        <v>155</v>
      </c>
      <c r="J32" s="7" t="s">
        <v>154</v>
      </c>
      <c r="K32" s="13">
        <v>100</v>
      </c>
      <c r="L32" s="13">
        <v>13</v>
      </c>
      <c r="M32" s="11">
        <v>60</v>
      </c>
      <c r="N32" s="13">
        <v>0</v>
      </c>
      <c r="O32" s="13">
        <v>0</v>
      </c>
      <c r="P32" s="11">
        <v>0</v>
      </c>
      <c r="Q32" s="13">
        <v>0</v>
      </c>
      <c r="R32" s="13">
        <v>0</v>
      </c>
      <c r="S32" s="11">
        <v>0</v>
      </c>
      <c r="T32" s="13">
        <v>0</v>
      </c>
      <c r="U32" s="13">
        <v>0</v>
      </c>
      <c r="V32" s="11">
        <v>0</v>
      </c>
      <c r="W32" s="13">
        <v>0</v>
      </c>
      <c r="X32" s="13">
        <v>0</v>
      </c>
      <c r="Y32" s="11">
        <v>0</v>
      </c>
    </row>
    <row r="33" spans="1:25" x14ac:dyDescent="0.3">
      <c r="A33" s="10" t="s">
        <v>151</v>
      </c>
      <c r="B33" s="7">
        <v>2022</v>
      </c>
      <c r="C33" s="11">
        <v>32</v>
      </c>
      <c r="D33" s="7" t="s">
        <v>201</v>
      </c>
      <c r="E33" s="7" t="s">
        <v>83</v>
      </c>
      <c r="F33" s="7" t="s">
        <v>202</v>
      </c>
      <c r="G33" s="12" t="s">
        <v>154</v>
      </c>
      <c r="H33" s="7" t="s">
        <v>155</v>
      </c>
      <c r="I33" s="7" t="s">
        <v>155</v>
      </c>
      <c r="J33" s="7" t="s">
        <v>154</v>
      </c>
      <c r="K33" s="13">
        <v>100</v>
      </c>
      <c r="L33" s="13">
        <v>13</v>
      </c>
      <c r="M33" s="11">
        <v>60</v>
      </c>
      <c r="N33" s="13">
        <v>0</v>
      </c>
      <c r="O33" s="13">
        <v>0</v>
      </c>
      <c r="P33" s="11">
        <v>0</v>
      </c>
      <c r="Q33" s="13">
        <v>0</v>
      </c>
      <c r="R33" s="13">
        <v>0</v>
      </c>
      <c r="S33" s="11">
        <v>0</v>
      </c>
      <c r="T33" s="13">
        <v>0</v>
      </c>
      <c r="U33" s="13">
        <v>0</v>
      </c>
      <c r="V33" s="11">
        <v>0</v>
      </c>
      <c r="W33" s="13">
        <v>0</v>
      </c>
      <c r="X33" s="13">
        <v>0</v>
      </c>
      <c r="Y33" s="11">
        <v>0</v>
      </c>
    </row>
    <row r="34" spans="1:25" x14ac:dyDescent="0.3">
      <c r="A34" s="10" t="s">
        <v>151</v>
      </c>
      <c r="B34" s="7">
        <v>2022</v>
      </c>
      <c r="C34" s="11">
        <v>33</v>
      </c>
      <c r="D34" s="7" t="s">
        <v>203</v>
      </c>
      <c r="E34" s="7" t="s">
        <v>83</v>
      </c>
      <c r="F34" s="7" t="s">
        <v>204</v>
      </c>
      <c r="G34" s="12" t="s">
        <v>154</v>
      </c>
      <c r="H34" s="7" t="s">
        <v>155</v>
      </c>
      <c r="I34" s="7" t="s">
        <v>155</v>
      </c>
      <c r="J34" s="7" t="s">
        <v>154</v>
      </c>
      <c r="K34" s="13">
        <v>100</v>
      </c>
      <c r="L34" s="13">
        <v>13</v>
      </c>
      <c r="M34" s="11">
        <v>60</v>
      </c>
      <c r="N34" s="13">
        <v>0</v>
      </c>
      <c r="O34" s="13">
        <v>0</v>
      </c>
      <c r="P34" s="11">
        <v>0</v>
      </c>
      <c r="Q34" s="13">
        <v>0</v>
      </c>
      <c r="R34" s="13">
        <v>0</v>
      </c>
      <c r="S34" s="11">
        <v>0</v>
      </c>
      <c r="T34" s="13">
        <v>0</v>
      </c>
      <c r="U34" s="13">
        <v>0</v>
      </c>
      <c r="V34" s="11">
        <v>0</v>
      </c>
      <c r="W34" s="13">
        <v>0</v>
      </c>
      <c r="X34" s="13">
        <v>0</v>
      </c>
      <c r="Y34" s="11">
        <v>0</v>
      </c>
    </row>
    <row r="35" spans="1:25" x14ac:dyDescent="0.3">
      <c r="A35" s="10" t="s">
        <v>151</v>
      </c>
      <c r="B35" s="7">
        <v>2022</v>
      </c>
      <c r="C35" s="11">
        <v>34</v>
      </c>
      <c r="D35" s="7" t="s">
        <v>205</v>
      </c>
      <c r="E35" s="7" t="s">
        <v>83</v>
      </c>
      <c r="F35" s="7" t="s">
        <v>206</v>
      </c>
      <c r="G35" s="12" t="s">
        <v>154</v>
      </c>
      <c r="H35" s="7" t="s">
        <v>155</v>
      </c>
      <c r="I35" s="7" t="s">
        <v>155</v>
      </c>
      <c r="J35" s="7" t="s">
        <v>154</v>
      </c>
      <c r="K35" s="13">
        <v>100</v>
      </c>
      <c r="L35" s="13">
        <v>13</v>
      </c>
      <c r="M35" s="11">
        <v>60</v>
      </c>
      <c r="N35" s="13">
        <v>0</v>
      </c>
      <c r="O35" s="13">
        <v>0</v>
      </c>
      <c r="P35" s="11">
        <v>0</v>
      </c>
      <c r="Q35" s="13">
        <v>0</v>
      </c>
      <c r="R35" s="13">
        <v>0</v>
      </c>
      <c r="S35" s="11">
        <v>0</v>
      </c>
      <c r="T35" s="13">
        <v>0</v>
      </c>
      <c r="U35" s="13">
        <v>0</v>
      </c>
      <c r="V35" s="11">
        <v>0</v>
      </c>
      <c r="W35" s="13">
        <v>0</v>
      </c>
      <c r="X35" s="13">
        <v>0</v>
      </c>
      <c r="Y35" s="11">
        <v>0</v>
      </c>
    </row>
    <row r="36" spans="1:25" x14ac:dyDescent="0.3">
      <c r="A36" s="10" t="s">
        <v>151</v>
      </c>
      <c r="B36" s="7">
        <v>2022</v>
      </c>
      <c r="C36" s="11">
        <v>35</v>
      </c>
      <c r="D36" s="7" t="s">
        <v>207</v>
      </c>
      <c r="E36" s="7" t="s">
        <v>83</v>
      </c>
      <c r="F36" s="7" t="s">
        <v>208</v>
      </c>
      <c r="G36" s="12" t="s">
        <v>154</v>
      </c>
      <c r="H36" s="7" t="s">
        <v>155</v>
      </c>
      <c r="I36" s="7" t="s">
        <v>155</v>
      </c>
      <c r="J36" s="7" t="s">
        <v>154</v>
      </c>
      <c r="K36" s="13">
        <v>100</v>
      </c>
      <c r="L36" s="13">
        <v>13</v>
      </c>
      <c r="M36" s="11">
        <v>60</v>
      </c>
      <c r="N36" s="13">
        <v>0</v>
      </c>
      <c r="O36" s="13">
        <v>0</v>
      </c>
      <c r="P36" s="11">
        <v>0</v>
      </c>
      <c r="Q36" s="13">
        <v>0</v>
      </c>
      <c r="R36" s="13">
        <v>0</v>
      </c>
      <c r="S36" s="11">
        <v>0</v>
      </c>
      <c r="T36" s="13">
        <v>0</v>
      </c>
      <c r="U36" s="13">
        <v>0</v>
      </c>
      <c r="V36" s="11">
        <v>0</v>
      </c>
      <c r="W36" s="13">
        <v>0</v>
      </c>
      <c r="X36" s="13">
        <v>0</v>
      </c>
      <c r="Y36" s="11">
        <v>0</v>
      </c>
    </row>
    <row r="37" spans="1:25" x14ac:dyDescent="0.3">
      <c r="A37" s="10" t="s">
        <v>151</v>
      </c>
      <c r="B37" s="7">
        <v>2022</v>
      </c>
      <c r="C37" s="11">
        <v>36</v>
      </c>
      <c r="D37" s="7" t="s">
        <v>209</v>
      </c>
      <c r="E37" s="7" t="s">
        <v>83</v>
      </c>
      <c r="F37" s="7" t="s">
        <v>210</v>
      </c>
      <c r="G37" s="12" t="s">
        <v>154</v>
      </c>
      <c r="H37" s="7" t="s">
        <v>155</v>
      </c>
      <c r="I37" s="7" t="s">
        <v>155</v>
      </c>
      <c r="J37" s="7" t="s">
        <v>154</v>
      </c>
      <c r="K37" s="13">
        <v>100</v>
      </c>
      <c r="L37" s="13">
        <v>13</v>
      </c>
      <c r="M37" s="11">
        <v>60</v>
      </c>
      <c r="N37" s="13">
        <v>0</v>
      </c>
      <c r="O37" s="13">
        <v>0</v>
      </c>
      <c r="P37" s="11">
        <v>0</v>
      </c>
      <c r="Q37" s="13">
        <v>0</v>
      </c>
      <c r="R37" s="13">
        <v>0</v>
      </c>
      <c r="S37" s="11">
        <v>0</v>
      </c>
      <c r="T37" s="13">
        <v>0</v>
      </c>
      <c r="U37" s="13">
        <v>0</v>
      </c>
      <c r="V37" s="11">
        <v>0</v>
      </c>
      <c r="W37" s="13">
        <v>0</v>
      </c>
      <c r="X37" s="13">
        <v>0</v>
      </c>
      <c r="Y37" s="11">
        <v>0</v>
      </c>
    </row>
    <row r="38" spans="1:25" x14ac:dyDescent="0.3">
      <c r="A38" s="10" t="s">
        <v>151</v>
      </c>
      <c r="B38" s="7">
        <v>2022</v>
      </c>
      <c r="C38" s="11">
        <v>37</v>
      </c>
      <c r="D38" s="7" t="s">
        <v>211</v>
      </c>
      <c r="E38" s="7" t="s">
        <v>83</v>
      </c>
      <c r="F38" s="7" t="s">
        <v>212</v>
      </c>
      <c r="G38" s="12" t="s">
        <v>154</v>
      </c>
      <c r="H38" s="7" t="s">
        <v>155</v>
      </c>
      <c r="I38" s="7" t="s">
        <v>155</v>
      </c>
      <c r="J38" s="7" t="s">
        <v>154</v>
      </c>
      <c r="K38" s="13">
        <v>0</v>
      </c>
      <c r="L38" s="13">
        <v>0</v>
      </c>
      <c r="M38" s="11">
        <v>0</v>
      </c>
      <c r="N38" s="13">
        <v>0</v>
      </c>
      <c r="O38" s="13">
        <v>0</v>
      </c>
      <c r="P38" s="11">
        <v>0</v>
      </c>
      <c r="Q38" s="13">
        <v>0</v>
      </c>
      <c r="R38" s="13">
        <v>0</v>
      </c>
      <c r="S38" s="11">
        <v>0</v>
      </c>
      <c r="T38" s="13">
        <v>0</v>
      </c>
      <c r="U38" s="13">
        <v>0</v>
      </c>
      <c r="V38" s="11">
        <v>0</v>
      </c>
      <c r="W38" s="13">
        <v>0</v>
      </c>
      <c r="X38" s="13">
        <v>0</v>
      </c>
      <c r="Y38" s="11">
        <v>0</v>
      </c>
    </row>
    <row r="39" spans="1:25" x14ac:dyDescent="0.3">
      <c r="A39" s="10" t="s">
        <v>151</v>
      </c>
      <c r="B39" s="7">
        <v>2022</v>
      </c>
      <c r="C39" s="11">
        <v>38</v>
      </c>
      <c r="D39" s="7" t="s">
        <v>213</v>
      </c>
      <c r="E39" s="7" t="s">
        <v>83</v>
      </c>
      <c r="F39" s="7" t="s">
        <v>214</v>
      </c>
      <c r="G39" s="12" t="s">
        <v>154</v>
      </c>
      <c r="H39" s="7" t="s">
        <v>155</v>
      </c>
      <c r="I39" s="7" t="s">
        <v>155</v>
      </c>
      <c r="J39" s="7" t="s">
        <v>154</v>
      </c>
      <c r="K39" s="13">
        <v>0</v>
      </c>
      <c r="L39" s="13">
        <v>0</v>
      </c>
      <c r="M39" s="11">
        <v>0</v>
      </c>
      <c r="N39" s="13">
        <v>0</v>
      </c>
      <c r="O39" s="13">
        <v>0</v>
      </c>
      <c r="P39" s="11">
        <v>0</v>
      </c>
      <c r="Q39" s="13">
        <v>0</v>
      </c>
      <c r="R39" s="13">
        <v>0</v>
      </c>
      <c r="S39" s="11">
        <v>0</v>
      </c>
      <c r="T39" s="13">
        <v>0</v>
      </c>
      <c r="U39" s="13">
        <v>0</v>
      </c>
      <c r="V39" s="11">
        <v>0</v>
      </c>
      <c r="W39" s="13">
        <v>0</v>
      </c>
      <c r="X39" s="13">
        <v>0</v>
      </c>
      <c r="Y39" s="11">
        <v>0</v>
      </c>
    </row>
    <row r="40" spans="1:25" x14ac:dyDescent="0.3">
      <c r="A40" s="10" t="s">
        <v>151</v>
      </c>
      <c r="B40" s="7">
        <v>2022</v>
      </c>
      <c r="C40" s="11">
        <v>39</v>
      </c>
      <c r="D40" s="7" t="s">
        <v>215</v>
      </c>
      <c r="E40" s="7" t="s">
        <v>83</v>
      </c>
      <c r="F40" s="7" t="s">
        <v>216</v>
      </c>
      <c r="G40" s="12" t="s">
        <v>154</v>
      </c>
      <c r="H40" s="7" t="s">
        <v>155</v>
      </c>
      <c r="I40" s="7" t="s">
        <v>155</v>
      </c>
      <c r="J40" s="7" t="s">
        <v>154</v>
      </c>
      <c r="K40" s="13">
        <v>100</v>
      </c>
      <c r="L40" s="13">
        <v>13</v>
      </c>
      <c r="M40" s="11">
        <v>60</v>
      </c>
      <c r="N40" s="13">
        <v>0</v>
      </c>
      <c r="O40" s="13">
        <v>0</v>
      </c>
      <c r="P40" s="11">
        <v>0</v>
      </c>
      <c r="Q40" s="13">
        <v>0</v>
      </c>
      <c r="R40" s="13">
        <v>0</v>
      </c>
      <c r="S40" s="11">
        <v>0</v>
      </c>
      <c r="T40" s="13">
        <v>0</v>
      </c>
      <c r="U40" s="13">
        <v>0</v>
      </c>
      <c r="V40" s="11">
        <v>0</v>
      </c>
      <c r="W40" s="13">
        <v>0</v>
      </c>
      <c r="X40" s="13">
        <v>0</v>
      </c>
      <c r="Y40" s="11">
        <v>0</v>
      </c>
    </row>
    <row r="41" spans="1:25" x14ac:dyDescent="0.3">
      <c r="A41" s="10" t="s">
        <v>151</v>
      </c>
      <c r="B41" s="7">
        <v>2022</v>
      </c>
      <c r="C41" s="11">
        <v>40</v>
      </c>
      <c r="D41" s="7" t="s">
        <v>217</v>
      </c>
      <c r="E41" s="7" t="s">
        <v>83</v>
      </c>
      <c r="F41" s="7" t="s">
        <v>218</v>
      </c>
      <c r="G41" s="12" t="s">
        <v>154</v>
      </c>
      <c r="H41" s="7" t="s">
        <v>155</v>
      </c>
      <c r="I41" s="7" t="s">
        <v>155</v>
      </c>
      <c r="J41" s="7" t="s">
        <v>154</v>
      </c>
      <c r="K41" s="13">
        <v>100</v>
      </c>
      <c r="L41" s="13">
        <v>13</v>
      </c>
      <c r="M41" s="11">
        <v>60</v>
      </c>
      <c r="N41" s="13">
        <v>0</v>
      </c>
      <c r="O41" s="13">
        <v>0</v>
      </c>
      <c r="P41" s="11">
        <v>0</v>
      </c>
      <c r="Q41" s="13">
        <v>0</v>
      </c>
      <c r="R41" s="13">
        <v>0</v>
      </c>
      <c r="S41" s="11">
        <v>0</v>
      </c>
      <c r="T41" s="13">
        <v>0</v>
      </c>
      <c r="U41" s="13">
        <v>0</v>
      </c>
      <c r="V41" s="11">
        <v>0</v>
      </c>
      <c r="W41" s="13">
        <v>0</v>
      </c>
      <c r="X41" s="13">
        <v>0</v>
      </c>
      <c r="Y41" s="11">
        <v>0</v>
      </c>
    </row>
    <row r="42" spans="1:25" x14ac:dyDescent="0.3">
      <c r="A42" s="10" t="s">
        <v>151</v>
      </c>
      <c r="B42" s="7">
        <v>2022</v>
      </c>
      <c r="C42" s="11">
        <v>41</v>
      </c>
      <c r="D42" s="7" t="s">
        <v>219</v>
      </c>
      <c r="E42" s="7" t="s">
        <v>83</v>
      </c>
      <c r="F42" s="7" t="s">
        <v>220</v>
      </c>
      <c r="G42" s="12" t="s">
        <v>154</v>
      </c>
      <c r="H42" s="7" t="s">
        <v>155</v>
      </c>
      <c r="I42" s="7" t="s">
        <v>155</v>
      </c>
      <c r="J42" s="7" t="s">
        <v>154</v>
      </c>
      <c r="K42" s="13">
        <v>100</v>
      </c>
      <c r="L42" s="13">
        <v>13</v>
      </c>
      <c r="M42" s="11">
        <v>60</v>
      </c>
      <c r="N42" s="13">
        <v>0</v>
      </c>
      <c r="O42" s="13">
        <v>0</v>
      </c>
      <c r="P42" s="11">
        <v>0</v>
      </c>
      <c r="Q42" s="13">
        <v>0</v>
      </c>
      <c r="R42" s="13">
        <v>0</v>
      </c>
      <c r="S42" s="11">
        <v>0</v>
      </c>
      <c r="T42" s="13">
        <v>0</v>
      </c>
      <c r="U42" s="13">
        <v>0</v>
      </c>
      <c r="V42" s="11">
        <v>0</v>
      </c>
      <c r="W42" s="13">
        <v>0</v>
      </c>
      <c r="X42" s="13">
        <v>0</v>
      </c>
      <c r="Y42" s="11">
        <v>0</v>
      </c>
    </row>
    <row r="43" spans="1:25" x14ac:dyDescent="0.3">
      <c r="A43" s="10" t="s">
        <v>151</v>
      </c>
      <c r="B43" s="7">
        <v>2022</v>
      </c>
      <c r="C43" s="11">
        <v>42</v>
      </c>
      <c r="D43" s="7" t="s">
        <v>221</v>
      </c>
      <c r="E43" s="7" t="s">
        <v>83</v>
      </c>
      <c r="F43" s="7" t="s">
        <v>222</v>
      </c>
      <c r="G43" s="12" t="s">
        <v>154</v>
      </c>
      <c r="H43" s="7" t="s">
        <v>155</v>
      </c>
      <c r="I43" s="7" t="s">
        <v>155</v>
      </c>
      <c r="J43" s="7" t="s">
        <v>154</v>
      </c>
      <c r="K43" s="13">
        <v>100</v>
      </c>
      <c r="L43" s="13">
        <v>13</v>
      </c>
      <c r="M43" s="11">
        <v>60</v>
      </c>
      <c r="N43" s="13">
        <v>0</v>
      </c>
      <c r="O43" s="13">
        <v>0</v>
      </c>
      <c r="P43" s="11">
        <v>0</v>
      </c>
      <c r="Q43" s="13">
        <v>0</v>
      </c>
      <c r="R43" s="13">
        <v>0</v>
      </c>
      <c r="S43" s="11">
        <v>0</v>
      </c>
      <c r="T43" s="13">
        <v>0</v>
      </c>
      <c r="U43" s="13">
        <v>0</v>
      </c>
      <c r="V43" s="11">
        <v>0</v>
      </c>
      <c r="W43" s="13">
        <v>0</v>
      </c>
      <c r="X43" s="13">
        <v>0</v>
      </c>
      <c r="Y43" s="11">
        <v>0</v>
      </c>
    </row>
    <row r="44" spans="1:25" x14ac:dyDescent="0.3">
      <c r="A44" s="10" t="s">
        <v>151</v>
      </c>
      <c r="B44" s="7">
        <v>2022</v>
      </c>
      <c r="C44" s="11">
        <v>43</v>
      </c>
      <c r="D44" s="7" t="s">
        <v>223</v>
      </c>
      <c r="E44" s="7" t="s">
        <v>83</v>
      </c>
      <c r="F44" s="7" t="s">
        <v>224</v>
      </c>
      <c r="G44" s="12" t="s">
        <v>154</v>
      </c>
      <c r="H44" s="7" t="s">
        <v>155</v>
      </c>
      <c r="I44" s="7" t="s">
        <v>155</v>
      </c>
      <c r="J44" s="7" t="s">
        <v>154</v>
      </c>
      <c r="K44" s="13">
        <v>100</v>
      </c>
      <c r="L44" s="13">
        <v>13</v>
      </c>
      <c r="M44" s="11">
        <v>60</v>
      </c>
      <c r="N44" s="13">
        <v>0</v>
      </c>
      <c r="O44" s="13">
        <v>0</v>
      </c>
      <c r="P44" s="11">
        <v>0</v>
      </c>
      <c r="Q44" s="13">
        <v>0</v>
      </c>
      <c r="R44" s="13">
        <v>0</v>
      </c>
      <c r="S44" s="11">
        <v>0</v>
      </c>
      <c r="T44" s="13">
        <v>0</v>
      </c>
      <c r="U44" s="13">
        <v>0</v>
      </c>
      <c r="V44" s="11">
        <v>0</v>
      </c>
      <c r="W44" s="13">
        <v>0</v>
      </c>
      <c r="X44" s="13">
        <v>0</v>
      </c>
      <c r="Y44" s="11">
        <v>0</v>
      </c>
    </row>
    <row r="45" spans="1:25" x14ac:dyDescent="0.3">
      <c r="A45" s="10" t="s">
        <v>151</v>
      </c>
      <c r="B45" s="7">
        <v>2022</v>
      </c>
      <c r="C45" s="11">
        <v>44</v>
      </c>
      <c r="D45" s="7" t="s">
        <v>225</v>
      </c>
      <c r="E45" s="7" t="s">
        <v>83</v>
      </c>
      <c r="F45" s="7" t="s">
        <v>226</v>
      </c>
      <c r="G45" s="12" t="s">
        <v>154</v>
      </c>
      <c r="H45" s="7" t="s">
        <v>155</v>
      </c>
      <c r="I45" s="7" t="s">
        <v>155</v>
      </c>
      <c r="J45" s="7" t="s">
        <v>154</v>
      </c>
      <c r="K45" s="13">
        <v>100</v>
      </c>
      <c r="L45" s="13">
        <v>13</v>
      </c>
      <c r="M45" s="11">
        <v>60</v>
      </c>
      <c r="N45" s="13">
        <v>0</v>
      </c>
      <c r="O45" s="13">
        <v>0</v>
      </c>
      <c r="P45" s="11">
        <v>0</v>
      </c>
      <c r="Q45" s="13">
        <v>0</v>
      </c>
      <c r="R45" s="13">
        <v>0</v>
      </c>
      <c r="S45" s="11">
        <v>0</v>
      </c>
      <c r="T45" s="13">
        <v>0</v>
      </c>
      <c r="U45" s="13">
        <v>0</v>
      </c>
      <c r="V45" s="11">
        <v>0</v>
      </c>
      <c r="W45" s="13">
        <v>0</v>
      </c>
      <c r="X45" s="13">
        <v>0</v>
      </c>
      <c r="Y45" s="11">
        <v>0</v>
      </c>
    </row>
    <row r="46" spans="1:25" x14ac:dyDescent="0.3">
      <c r="A46" s="10" t="s">
        <v>151</v>
      </c>
      <c r="B46" s="7">
        <v>2022</v>
      </c>
      <c r="C46" s="11">
        <v>45</v>
      </c>
      <c r="D46" s="7" t="s">
        <v>227</v>
      </c>
      <c r="E46" s="7" t="s">
        <v>83</v>
      </c>
      <c r="F46" s="7" t="s">
        <v>228</v>
      </c>
      <c r="G46" s="12" t="s">
        <v>154</v>
      </c>
      <c r="H46" s="7" t="s">
        <v>155</v>
      </c>
      <c r="I46" s="7" t="s">
        <v>155</v>
      </c>
      <c r="J46" s="7" t="s">
        <v>154</v>
      </c>
      <c r="K46" s="13">
        <v>100</v>
      </c>
      <c r="L46" s="13">
        <v>13</v>
      </c>
      <c r="M46" s="11">
        <v>60</v>
      </c>
      <c r="N46" s="13">
        <v>0</v>
      </c>
      <c r="O46" s="13">
        <v>0</v>
      </c>
      <c r="P46" s="11">
        <v>0</v>
      </c>
      <c r="Q46" s="13">
        <v>0</v>
      </c>
      <c r="R46" s="13">
        <v>0</v>
      </c>
      <c r="S46" s="11">
        <v>0</v>
      </c>
      <c r="T46" s="13">
        <v>0</v>
      </c>
      <c r="U46" s="13">
        <v>0</v>
      </c>
      <c r="V46" s="11">
        <v>0</v>
      </c>
      <c r="W46" s="13">
        <v>0</v>
      </c>
      <c r="X46" s="13">
        <v>0</v>
      </c>
      <c r="Y46" s="11">
        <v>0</v>
      </c>
    </row>
    <row r="47" spans="1:25" x14ac:dyDescent="0.3">
      <c r="A47" s="10" t="s">
        <v>151</v>
      </c>
      <c r="B47" s="7">
        <v>2022</v>
      </c>
      <c r="C47" s="11">
        <v>46</v>
      </c>
      <c r="D47" s="7" t="s">
        <v>229</v>
      </c>
      <c r="E47" s="7" t="s">
        <v>83</v>
      </c>
      <c r="F47" s="7" t="s">
        <v>154</v>
      </c>
      <c r="G47" s="14" t="s">
        <v>230</v>
      </c>
      <c r="H47" s="7" t="s">
        <v>155</v>
      </c>
      <c r="I47" s="7" t="s">
        <v>155</v>
      </c>
      <c r="J47" s="7" t="s">
        <v>154</v>
      </c>
      <c r="K47" s="13">
        <v>0</v>
      </c>
      <c r="L47" s="13">
        <v>0</v>
      </c>
      <c r="M47" s="11">
        <v>0</v>
      </c>
      <c r="N47" s="13">
        <v>0</v>
      </c>
      <c r="O47" s="13">
        <v>0</v>
      </c>
      <c r="P47" s="11">
        <v>0</v>
      </c>
      <c r="Q47" s="13">
        <v>0</v>
      </c>
      <c r="R47" s="13">
        <v>0</v>
      </c>
      <c r="S47" s="11">
        <v>0</v>
      </c>
      <c r="T47" s="13">
        <v>0</v>
      </c>
      <c r="U47" s="13">
        <v>0</v>
      </c>
      <c r="V47" s="11">
        <v>0</v>
      </c>
      <c r="W47" s="13">
        <v>0</v>
      </c>
      <c r="X47" s="13">
        <v>0</v>
      </c>
      <c r="Y47" s="11">
        <v>0</v>
      </c>
    </row>
    <row r="48" spans="1:25" x14ac:dyDescent="0.3">
      <c r="A48" s="10" t="s">
        <v>151</v>
      </c>
      <c r="B48" s="7">
        <v>2022</v>
      </c>
      <c r="C48" s="11">
        <v>47</v>
      </c>
      <c r="D48" s="7" t="s">
        <v>231</v>
      </c>
      <c r="E48" s="7" t="s">
        <v>83</v>
      </c>
      <c r="F48" s="7" t="s">
        <v>232</v>
      </c>
      <c r="G48" s="12" t="s">
        <v>154</v>
      </c>
      <c r="H48" s="7" t="s">
        <v>155</v>
      </c>
      <c r="I48" s="7" t="s">
        <v>155</v>
      </c>
      <c r="J48" s="7" t="s">
        <v>154</v>
      </c>
      <c r="K48" s="13">
        <v>90</v>
      </c>
      <c r="L48" s="13">
        <v>13</v>
      </c>
      <c r="M48" s="11">
        <v>60</v>
      </c>
      <c r="N48" s="13">
        <v>0</v>
      </c>
      <c r="O48" s="13">
        <v>0</v>
      </c>
      <c r="P48" s="11">
        <v>0</v>
      </c>
      <c r="Q48" s="13">
        <v>0</v>
      </c>
      <c r="R48" s="13">
        <v>0</v>
      </c>
      <c r="S48" s="11">
        <v>0</v>
      </c>
      <c r="T48" s="13">
        <v>0</v>
      </c>
      <c r="U48" s="13">
        <v>0</v>
      </c>
      <c r="V48" s="11">
        <v>0</v>
      </c>
      <c r="W48" s="13">
        <v>0</v>
      </c>
      <c r="X48" s="13">
        <v>0</v>
      </c>
      <c r="Y48" s="11">
        <v>0</v>
      </c>
    </row>
    <row r="49" spans="1:25" x14ac:dyDescent="0.3">
      <c r="A49" s="10" t="s">
        <v>151</v>
      </c>
      <c r="B49" s="7">
        <v>2022</v>
      </c>
      <c r="C49" s="11">
        <v>48</v>
      </c>
      <c r="D49" s="7" t="s">
        <v>233</v>
      </c>
      <c r="E49" s="7" t="s">
        <v>83</v>
      </c>
      <c r="F49" s="7" t="s">
        <v>234</v>
      </c>
      <c r="G49" s="12" t="s">
        <v>154</v>
      </c>
      <c r="H49" s="7" t="s">
        <v>155</v>
      </c>
      <c r="I49" s="7" t="s">
        <v>155</v>
      </c>
      <c r="J49" s="7" t="s">
        <v>154</v>
      </c>
      <c r="K49" s="13">
        <v>100</v>
      </c>
      <c r="L49" s="13">
        <v>13</v>
      </c>
      <c r="M49" s="11">
        <v>60</v>
      </c>
      <c r="N49" s="13">
        <v>0</v>
      </c>
      <c r="O49" s="13">
        <v>0</v>
      </c>
      <c r="P49" s="11">
        <v>0</v>
      </c>
      <c r="Q49" s="13">
        <v>0</v>
      </c>
      <c r="R49" s="13">
        <v>0</v>
      </c>
      <c r="S49" s="11">
        <v>0</v>
      </c>
      <c r="T49" s="13">
        <v>0</v>
      </c>
      <c r="U49" s="13">
        <v>0</v>
      </c>
      <c r="V49" s="11">
        <v>0</v>
      </c>
      <c r="W49" s="13">
        <v>0</v>
      </c>
      <c r="X49" s="13">
        <v>0</v>
      </c>
      <c r="Y49" s="11">
        <v>0</v>
      </c>
    </row>
    <row r="50" spans="1:25" x14ac:dyDescent="0.3">
      <c r="A50" s="10" t="s">
        <v>151</v>
      </c>
      <c r="B50" s="7">
        <v>2022</v>
      </c>
      <c r="C50" s="11">
        <v>49</v>
      </c>
      <c r="D50" s="7" t="s">
        <v>235</v>
      </c>
      <c r="E50" s="7" t="s">
        <v>83</v>
      </c>
      <c r="F50" s="7" t="s">
        <v>236</v>
      </c>
      <c r="G50" s="12" t="s">
        <v>154</v>
      </c>
      <c r="H50" s="7" t="s">
        <v>155</v>
      </c>
      <c r="I50" s="7" t="s">
        <v>155</v>
      </c>
      <c r="J50" s="7" t="s">
        <v>154</v>
      </c>
      <c r="K50" s="13">
        <v>100</v>
      </c>
      <c r="L50" s="13">
        <v>13</v>
      </c>
      <c r="M50" s="11">
        <v>60</v>
      </c>
      <c r="N50" s="13">
        <v>0</v>
      </c>
      <c r="O50" s="13">
        <v>0</v>
      </c>
      <c r="P50" s="11">
        <v>0</v>
      </c>
      <c r="Q50" s="13">
        <v>0</v>
      </c>
      <c r="R50" s="13">
        <v>0</v>
      </c>
      <c r="S50" s="11">
        <v>0</v>
      </c>
      <c r="T50" s="13">
        <v>0</v>
      </c>
      <c r="U50" s="13">
        <v>0</v>
      </c>
      <c r="V50" s="11">
        <v>0</v>
      </c>
      <c r="W50" s="13">
        <v>0</v>
      </c>
      <c r="X50" s="13">
        <v>0</v>
      </c>
      <c r="Y50" s="11">
        <v>0</v>
      </c>
    </row>
    <row r="51" spans="1:25" x14ac:dyDescent="0.3">
      <c r="A51" s="10" t="s">
        <v>151</v>
      </c>
      <c r="B51" s="7">
        <v>2022</v>
      </c>
      <c r="C51" s="11">
        <v>50</v>
      </c>
      <c r="D51" s="7" t="s">
        <v>237</v>
      </c>
      <c r="E51" s="7" t="s">
        <v>83</v>
      </c>
      <c r="F51" s="7" t="s">
        <v>238</v>
      </c>
      <c r="G51" s="12" t="s">
        <v>154</v>
      </c>
      <c r="H51" s="7" t="s">
        <v>155</v>
      </c>
      <c r="I51" s="7" t="s">
        <v>155</v>
      </c>
      <c r="J51" s="7" t="s">
        <v>154</v>
      </c>
      <c r="K51" s="13">
        <v>100</v>
      </c>
      <c r="L51" s="13">
        <v>13</v>
      </c>
      <c r="M51" s="11">
        <v>60</v>
      </c>
      <c r="N51" s="13">
        <v>0</v>
      </c>
      <c r="O51" s="13">
        <v>0</v>
      </c>
      <c r="P51" s="11">
        <v>0</v>
      </c>
      <c r="Q51" s="13">
        <v>0</v>
      </c>
      <c r="R51" s="13">
        <v>0</v>
      </c>
      <c r="S51" s="11">
        <v>0</v>
      </c>
      <c r="T51" s="13">
        <v>0</v>
      </c>
      <c r="U51" s="13">
        <v>0</v>
      </c>
      <c r="V51" s="11">
        <v>0</v>
      </c>
      <c r="W51" s="13">
        <v>0</v>
      </c>
      <c r="X51" s="13">
        <v>0</v>
      </c>
      <c r="Y51" s="11">
        <v>0</v>
      </c>
    </row>
    <row r="52" spans="1:25" x14ac:dyDescent="0.3">
      <c r="A52" s="10" t="s">
        <v>151</v>
      </c>
      <c r="B52" s="7">
        <v>2022</v>
      </c>
      <c r="C52" s="11">
        <v>51</v>
      </c>
      <c r="D52" s="7" t="s">
        <v>239</v>
      </c>
      <c r="E52" s="7" t="s">
        <v>83</v>
      </c>
      <c r="F52" s="7" t="s">
        <v>154</v>
      </c>
      <c r="G52" s="14" t="s">
        <v>240</v>
      </c>
      <c r="H52" s="7" t="s">
        <v>155</v>
      </c>
      <c r="I52" s="7" t="s">
        <v>155</v>
      </c>
      <c r="J52" s="7" t="s">
        <v>154</v>
      </c>
      <c r="K52" s="13">
        <v>0</v>
      </c>
      <c r="L52" s="13">
        <v>0</v>
      </c>
      <c r="M52" s="11">
        <v>0</v>
      </c>
      <c r="N52" s="13">
        <v>0</v>
      </c>
      <c r="O52" s="13">
        <v>0</v>
      </c>
      <c r="P52" s="11">
        <v>0</v>
      </c>
      <c r="Q52" s="13">
        <v>0</v>
      </c>
      <c r="R52" s="13">
        <v>0</v>
      </c>
      <c r="S52" s="11">
        <v>0</v>
      </c>
      <c r="T52" s="13">
        <v>0</v>
      </c>
      <c r="U52" s="13">
        <v>0</v>
      </c>
      <c r="V52" s="11">
        <v>0</v>
      </c>
      <c r="W52" s="13">
        <v>0</v>
      </c>
      <c r="X52" s="13">
        <v>0</v>
      </c>
      <c r="Y52" s="11">
        <v>0</v>
      </c>
    </row>
    <row r="53" spans="1:25" x14ac:dyDescent="0.3">
      <c r="A53" s="10" t="s">
        <v>151</v>
      </c>
      <c r="B53" s="7">
        <v>2022</v>
      </c>
      <c r="C53" s="11">
        <v>52</v>
      </c>
      <c r="D53" s="7" t="s">
        <v>241</v>
      </c>
      <c r="E53" s="7" t="s">
        <v>83</v>
      </c>
      <c r="F53" s="7" t="s">
        <v>242</v>
      </c>
      <c r="G53" s="12" t="s">
        <v>154</v>
      </c>
      <c r="H53" s="7" t="s">
        <v>155</v>
      </c>
      <c r="I53" s="7" t="s">
        <v>155</v>
      </c>
      <c r="J53" s="7" t="s">
        <v>154</v>
      </c>
      <c r="K53" s="13">
        <v>100</v>
      </c>
      <c r="L53" s="13">
        <v>13</v>
      </c>
      <c r="M53" s="11">
        <v>60</v>
      </c>
      <c r="N53" s="13">
        <v>0</v>
      </c>
      <c r="O53" s="13">
        <v>0</v>
      </c>
      <c r="P53" s="11">
        <v>0</v>
      </c>
      <c r="Q53" s="13">
        <v>0</v>
      </c>
      <c r="R53" s="13">
        <v>0</v>
      </c>
      <c r="S53" s="11">
        <v>0</v>
      </c>
      <c r="T53" s="13">
        <v>0</v>
      </c>
      <c r="U53" s="13">
        <v>0</v>
      </c>
      <c r="V53" s="11">
        <v>0</v>
      </c>
      <c r="W53" s="13">
        <v>0</v>
      </c>
      <c r="X53" s="13">
        <v>0</v>
      </c>
      <c r="Y53" s="11">
        <v>0</v>
      </c>
    </row>
    <row r="54" spans="1:25" x14ac:dyDescent="0.3">
      <c r="A54" s="10" t="s">
        <v>151</v>
      </c>
      <c r="B54" s="7">
        <v>2022</v>
      </c>
      <c r="C54" s="11">
        <v>53</v>
      </c>
      <c r="D54" s="7" t="s">
        <v>243</v>
      </c>
      <c r="E54" s="7" t="s">
        <v>83</v>
      </c>
      <c r="F54" s="7" t="s">
        <v>244</v>
      </c>
      <c r="G54" s="12" t="s">
        <v>154</v>
      </c>
      <c r="H54" s="7" t="s">
        <v>155</v>
      </c>
      <c r="I54" s="7" t="s">
        <v>155</v>
      </c>
      <c r="J54" s="7" t="s">
        <v>154</v>
      </c>
      <c r="K54" s="13">
        <v>100</v>
      </c>
      <c r="L54" s="13">
        <v>13</v>
      </c>
      <c r="M54" s="11">
        <v>60</v>
      </c>
      <c r="N54" s="13">
        <v>0</v>
      </c>
      <c r="O54" s="13">
        <v>0</v>
      </c>
      <c r="P54" s="11">
        <v>0</v>
      </c>
      <c r="Q54" s="13">
        <v>0</v>
      </c>
      <c r="R54" s="13">
        <v>0</v>
      </c>
      <c r="S54" s="11">
        <v>0</v>
      </c>
      <c r="T54" s="13">
        <v>0</v>
      </c>
      <c r="U54" s="13">
        <v>0</v>
      </c>
      <c r="V54" s="11">
        <v>0</v>
      </c>
      <c r="W54" s="13">
        <v>0</v>
      </c>
      <c r="X54" s="13">
        <v>0</v>
      </c>
      <c r="Y54" s="11">
        <v>0</v>
      </c>
    </row>
    <row r="55" spans="1:25" x14ac:dyDescent="0.3">
      <c r="A55" s="10" t="s">
        <v>151</v>
      </c>
      <c r="B55" s="7">
        <v>2022</v>
      </c>
      <c r="C55" s="11">
        <v>54</v>
      </c>
      <c r="D55" s="7" t="s">
        <v>245</v>
      </c>
      <c r="E55" s="7" t="s">
        <v>83</v>
      </c>
      <c r="F55" s="7" t="s">
        <v>246</v>
      </c>
      <c r="G55" s="12" t="s">
        <v>154</v>
      </c>
      <c r="H55" s="7" t="s">
        <v>155</v>
      </c>
      <c r="I55" s="7" t="s">
        <v>155</v>
      </c>
      <c r="J55" s="7" t="s">
        <v>154</v>
      </c>
      <c r="K55" s="13">
        <v>100</v>
      </c>
      <c r="L55" s="13">
        <v>13</v>
      </c>
      <c r="M55" s="11">
        <v>60</v>
      </c>
      <c r="N55" s="13">
        <v>0</v>
      </c>
      <c r="O55" s="13">
        <v>0</v>
      </c>
      <c r="P55" s="11">
        <v>0</v>
      </c>
      <c r="Q55" s="13">
        <v>0</v>
      </c>
      <c r="R55" s="13">
        <v>0</v>
      </c>
      <c r="S55" s="11">
        <v>0</v>
      </c>
      <c r="T55" s="13">
        <v>0</v>
      </c>
      <c r="U55" s="13">
        <v>0</v>
      </c>
      <c r="V55" s="11">
        <v>0</v>
      </c>
      <c r="W55" s="13">
        <v>0</v>
      </c>
      <c r="X55" s="13">
        <v>0</v>
      </c>
      <c r="Y55" s="11">
        <v>0</v>
      </c>
    </row>
    <row r="56" spans="1:25" x14ac:dyDescent="0.3">
      <c r="A56" s="10" t="s">
        <v>151</v>
      </c>
      <c r="B56" s="7">
        <v>2022</v>
      </c>
      <c r="C56" s="11">
        <v>55</v>
      </c>
      <c r="D56" s="7" t="s">
        <v>247</v>
      </c>
      <c r="E56" s="7" t="s">
        <v>83</v>
      </c>
      <c r="F56" s="7" t="s">
        <v>246</v>
      </c>
      <c r="G56" s="12" t="s">
        <v>154</v>
      </c>
      <c r="H56" s="7" t="s">
        <v>155</v>
      </c>
      <c r="I56" s="7" t="s">
        <v>155</v>
      </c>
      <c r="J56" s="7" t="s">
        <v>154</v>
      </c>
      <c r="K56" s="13">
        <v>100</v>
      </c>
      <c r="L56" s="13">
        <v>13</v>
      </c>
      <c r="M56" s="11">
        <v>60</v>
      </c>
      <c r="N56" s="13">
        <v>0</v>
      </c>
      <c r="O56" s="13">
        <v>0</v>
      </c>
      <c r="P56" s="11">
        <v>0</v>
      </c>
      <c r="Q56" s="13">
        <v>0</v>
      </c>
      <c r="R56" s="13">
        <v>0</v>
      </c>
      <c r="S56" s="11">
        <v>0</v>
      </c>
      <c r="T56" s="13">
        <v>0</v>
      </c>
      <c r="U56" s="13">
        <v>0</v>
      </c>
      <c r="V56" s="11">
        <v>0</v>
      </c>
      <c r="W56" s="13">
        <v>0</v>
      </c>
      <c r="X56" s="13">
        <v>0</v>
      </c>
      <c r="Y56" s="11">
        <v>0</v>
      </c>
    </row>
    <row r="57" spans="1:25" x14ac:dyDescent="0.3">
      <c r="A57" s="10" t="s">
        <v>151</v>
      </c>
      <c r="B57" s="7">
        <v>2022</v>
      </c>
      <c r="C57" s="11">
        <v>56</v>
      </c>
      <c r="D57" s="7" t="s">
        <v>248</v>
      </c>
      <c r="E57" s="7" t="s">
        <v>83</v>
      </c>
      <c r="F57" s="7" t="s">
        <v>249</v>
      </c>
      <c r="G57" s="12" t="s">
        <v>154</v>
      </c>
      <c r="H57" s="7" t="s">
        <v>155</v>
      </c>
      <c r="I57" s="7" t="s">
        <v>155</v>
      </c>
      <c r="J57" s="7" t="s">
        <v>154</v>
      </c>
      <c r="K57" s="13">
        <v>100</v>
      </c>
      <c r="L57" s="13">
        <v>27</v>
      </c>
      <c r="M57" s="11">
        <v>141</v>
      </c>
      <c r="N57" s="13">
        <v>149.86000000000001</v>
      </c>
      <c r="O57" s="13">
        <v>15</v>
      </c>
      <c r="P57" s="11">
        <v>64</v>
      </c>
      <c r="Q57" s="13">
        <v>149.86000000000001</v>
      </c>
      <c r="R57" s="13">
        <v>13</v>
      </c>
      <c r="S57" s="11">
        <v>63</v>
      </c>
      <c r="T57" s="13">
        <v>0</v>
      </c>
      <c r="U57" s="13">
        <v>0</v>
      </c>
      <c r="V57" s="11">
        <v>0</v>
      </c>
      <c r="W57" s="13">
        <v>0</v>
      </c>
      <c r="X57" s="13">
        <v>0</v>
      </c>
      <c r="Y57" s="11">
        <v>0</v>
      </c>
    </row>
    <row r="58" spans="1:25" x14ac:dyDescent="0.3">
      <c r="A58" s="10" t="s">
        <v>151</v>
      </c>
      <c r="B58" s="7">
        <v>2022</v>
      </c>
      <c r="C58" s="11">
        <v>57</v>
      </c>
      <c r="D58" s="7" t="s">
        <v>250</v>
      </c>
      <c r="E58" s="7" t="s">
        <v>83</v>
      </c>
      <c r="F58" s="7" t="s">
        <v>154</v>
      </c>
      <c r="G58" s="14" t="s">
        <v>251</v>
      </c>
      <c r="H58" s="7" t="s">
        <v>155</v>
      </c>
      <c r="I58" s="7" t="s">
        <v>155</v>
      </c>
      <c r="J58" s="7" t="s">
        <v>154</v>
      </c>
      <c r="K58" s="13">
        <v>0</v>
      </c>
      <c r="L58" s="13">
        <v>0</v>
      </c>
      <c r="M58" s="11">
        <v>0</v>
      </c>
      <c r="N58" s="13">
        <v>0</v>
      </c>
      <c r="O58" s="13">
        <v>0</v>
      </c>
      <c r="P58" s="11">
        <v>0</v>
      </c>
      <c r="Q58" s="13">
        <v>0</v>
      </c>
      <c r="R58" s="13">
        <v>0</v>
      </c>
      <c r="S58" s="11">
        <v>0</v>
      </c>
      <c r="T58" s="13">
        <v>0</v>
      </c>
      <c r="U58" s="13">
        <v>0</v>
      </c>
      <c r="V58" s="11">
        <v>0</v>
      </c>
      <c r="W58" s="13">
        <v>0</v>
      </c>
      <c r="X58" s="13">
        <v>0</v>
      </c>
      <c r="Y58" s="11">
        <v>0</v>
      </c>
    </row>
    <row r="59" spans="1:25" x14ac:dyDescent="0.3">
      <c r="A59" s="10" t="s">
        <v>151</v>
      </c>
      <c r="B59" s="7">
        <v>2022</v>
      </c>
      <c r="C59" s="11">
        <v>58</v>
      </c>
      <c r="D59" s="7" t="s">
        <v>252</v>
      </c>
      <c r="E59" s="7" t="s">
        <v>83</v>
      </c>
      <c r="F59" s="7" t="s">
        <v>154</v>
      </c>
      <c r="G59" s="14" t="s">
        <v>253</v>
      </c>
      <c r="H59" s="7" t="s">
        <v>155</v>
      </c>
      <c r="I59" s="7" t="s">
        <v>155</v>
      </c>
      <c r="J59" s="7" t="s">
        <v>154</v>
      </c>
      <c r="K59" s="13">
        <v>0</v>
      </c>
      <c r="L59" s="13">
        <v>0</v>
      </c>
      <c r="M59" s="11">
        <v>0</v>
      </c>
      <c r="N59" s="13">
        <v>0</v>
      </c>
      <c r="O59" s="13">
        <v>0</v>
      </c>
      <c r="P59" s="11">
        <v>0</v>
      </c>
      <c r="Q59" s="13">
        <v>0</v>
      </c>
      <c r="R59" s="13">
        <v>0</v>
      </c>
      <c r="S59" s="11">
        <v>0</v>
      </c>
      <c r="T59" s="13">
        <v>0</v>
      </c>
      <c r="U59" s="13">
        <v>0</v>
      </c>
      <c r="V59" s="11">
        <v>0</v>
      </c>
      <c r="W59" s="13">
        <v>0</v>
      </c>
      <c r="X59" s="13">
        <v>0</v>
      </c>
      <c r="Y59" s="11">
        <v>0</v>
      </c>
    </row>
    <row r="60" spans="1:25" x14ac:dyDescent="0.3">
      <c r="A60" s="10" t="s">
        <v>151</v>
      </c>
      <c r="B60" s="7">
        <v>2022</v>
      </c>
      <c r="C60" s="11">
        <v>59</v>
      </c>
      <c r="D60" s="7" t="s">
        <v>254</v>
      </c>
      <c r="E60" s="7" t="s">
        <v>83</v>
      </c>
      <c r="G60" s="14" t="s">
        <v>255</v>
      </c>
      <c r="H60" s="7" t="s">
        <v>155</v>
      </c>
      <c r="I60" s="7" t="s">
        <v>155</v>
      </c>
      <c r="J60" s="7" t="s">
        <v>154</v>
      </c>
      <c r="K60" s="13">
        <v>0</v>
      </c>
      <c r="L60" s="13">
        <v>0</v>
      </c>
      <c r="M60" s="11">
        <v>0</v>
      </c>
      <c r="N60" s="13">
        <v>0</v>
      </c>
      <c r="O60" s="13">
        <v>0</v>
      </c>
      <c r="P60" s="11">
        <v>0</v>
      </c>
      <c r="Q60" s="13">
        <v>0</v>
      </c>
      <c r="R60" s="13">
        <v>0</v>
      </c>
      <c r="S60" s="11">
        <v>0</v>
      </c>
      <c r="T60" s="13">
        <v>0</v>
      </c>
      <c r="U60" s="13">
        <v>0</v>
      </c>
      <c r="V60" s="11">
        <v>0</v>
      </c>
      <c r="W60" s="13">
        <v>0</v>
      </c>
      <c r="X60" s="13">
        <v>0</v>
      </c>
      <c r="Y60" s="11">
        <v>0</v>
      </c>
    </row>
    <row r="61" spans="1:25" x14ac:dyDescent="0.3">
      <c r="A61" s="10" t="s">
        <v>151</v>
      </c>
      <c r="B61" s="7">
        <v>2022</v>
      </c>
      <c r="C61" s="11">
        <v>60</v>
      </c>
      <c r="D61" s="7" t="s">
        <v>3966</v>
      </c>
      <c r="E61" s="7" t="s">
        <v>83</v>
      </c>
      <c r="F61" s="7" t="s">
        <v>257</v>
      </c>
      <c r="G61" s="12" t="s">
        <v>154</v>
      </c>
      <c r="H61" s="7" t="s">
        <v>155</v>
      </c>
      <c r="I61" s="7" t="s">
        <v>155</v>
      </c>
      <c r="J61" s="7" t="s">
        <v>258</v>
      </c>
      <c r="K61" s="13">
        <v>0</v>
      </c>
      <c r="L61" s="13">
        <v>0</v>
      </c>
      <c r="M61" s="11">
        <v>0</v>
      </c>
      <c r="N61" s="13">
        <v>0</v>
      </c>
      <c r="O61" s="13">
        <v>0</v>
      </c>
      <c r="P61" s="11">
        <v>0</v>
      </c>
      <c r="Q61" s="13">
        <v>0</v>
      </c>
      <c r="R61" s="13">
        <v>0</v>
      </c>
      <c r="S61" s="11">
        <v>0</v>
      </c>
      <c r="T61" s="13">
        <v>0</v>
      </c>
      <c r="U61" s="13">
        <v>0</v>
      </c>
      <c r="V61" s="11">
        <v>0</v>
      </c>
      <c r="W61" s="13">
        <v>0</v>
      </c>
      <c r="X61" s="13">
        <v>0</v>
      </c>
      <c r="Y61" s="11">
        <v>0</v>
      </c>
    </row>
    <row r="62" spans="1:25" x14ac:dyDescent="0.3">
      <c r="A62" s="10" t="s">
        <v>151</v>
      </c>
      <c r="B62" s="7">
        <v>2022</v>
      </c>
      <c r="C62" s="11">
        <v>61</v>
      </c>
      <c r="D62" s="7" t="s">
        <v>3967</v>
      </c>
      <c r="E62" s="7" t="s">
        <v>83</v>
      </c>
      <c r="F62" s="7" t="s">
        <v>257</v>
      </c>
      <c r="G62" s="12" t="s">
        <v>154</v>
      </c>
      <c r="H62" s="7" t="s">
        <v>155</v>
      </c>
      <c r="I62" s="7" t="s">
        <v>155</v>
      </c>
      <c r="J62" s="7" t="s">
        <v>154</v>
      </c>
      <c r="K62" s="13">
        <v>0</v>
      </c>
      <c r="L62" s="13">
        <v>0</v>
      </c>
      <c r="M62" s="11">
        <v>0</v>
      </c>
      <c r="N62" s="13">
        <v>0</v>
      </c>
      <c r="O62" s="13">
        <v>0</v>
      </c>
      <c r="P62" s="11">
        <v>0</v>
      </c>
      <c r="Q62" s="13">
        <v>0</v>
      </c>
      <c r="R62" s="13">
        <v>0</v>
      </c>
      <c r="S62" s="11">
        <v>0</v>
      </c>
      <c r="T62" s="13">
        <v>0</v>
      </c>
      <c r="U62" s="13">
        <v>0</v>
      </c>
      <c r="V62" s="11">
        <v>0</v>
      </c>
      <c r="W62" s="13">
        <v>0</v>
      </c>
      <c r="X62" s="13">
        <v>0</v>
      </c>
      <c r="Y62" s="11">
        <v>0</v>
      </c>
    </row>
    <row r="63" spans="1:25" x14ac:dyDescent="0.3">
      <c r="A63" s="10" t="s">
        <v>151</v>
      </c>
      <c r="B63" s="7">
        <v>2022</v>
      </c>
      <c r="C63" s="11">
        <v>62</v>
      </c>
      <c r="D63" s="7" t="s">
        <v>3968</v>
      </c>
      <c r="E63" s="7" t="s">
        <v>83</v>
      </c>
      <c r="F63" s="7" t="s">
        <v>260</v>
      </c>
      <c r="G63" s="12" t="s">
        <v>154</v>
      </c>
      <c r="H63" s="7" t="s">
        <v>155</v>
      </c>
      <c r="I63" s="7" t="s">
        <v>155</v>
      </c>
      <c r="J63" s="7" t="s">
        <v>258</v>
      </c>
      <c r="K63" s="13">
        <v>0</v>
      </c>
      <c r="L63" s="13">
        <v>0</v>
      </c>
      <c r="M63" s="11">
        <v>0</v>
      </c>
      <c r="N63" s="13">
        <v>0</v>
      </c>
      <c r="O63" s="13">
        <v>0</v>
      </c>
      <c r="P63" s="11">
        <v>0</v>
      </c>
      <c r="Q63" s="13">
        <v>0</v>
      </c>
      <c r="R63" s="13">
        <v>0</v>
      </c>
      <c r="S63" s="11">
        <v>0</v>
      </c>
      <c r="T63" s="13">
        <v>0</v>
      </c>
      <c r="U63" s="13">
        <v>0</v>
      </c>
      <c r="V63" s="11">
        <v>0</v>
      </c>
      <c r="W63" s="13">
        <v>0</v>
      </c>
      <c r="X63" s="13">
        <v>0</v>
      </c>
      <c r="Y63" s="11">
        <v>0</v>
      </c>
    </row>
    <row r="64" spans="1:25" x14ac:dyDescent="0.3">
      <c r="A64" s="10" t="s">
        <v>151</v>
      </c>
      <c r="B64" s="7">
        <v>2022</v>
      </c>
      <c r="C64" s="11">
        <v>63</v>
      </c>
      <c r="D64" s="7" t="s">
        <v>3441</v>
      </c>
      <c r="E64" s="7" t="s">
        <v>83</v>
      </c>
      <c r="F64" s="7" t="s">
        <v>262</v>
      </c>
      <c r="G64" s="12" t="s">
        <v>154</v>
      </c>
      <c r="H64" s="7" t="s">
        <v>155</v>
      </c>
      <c r="I64" s="7" t="s">
        <v>155</v>
      </c>
      <c r="J64" s="7" t="s">
        <v>258</v>
      </c>
      <c r="K64" s="13">
        <v>0</v>
      </c>
      <c r="L64" s="13">
        <v>0</v>
      </c>
      <c r="M64" s="11">
        <v>0</v>
      </c>
      <c r="N64" s="13">
        <v>0</v>
      </c>
      <c r="O64" s="13">
        <v>0</v>
      </c>
      <c r="P64" s="11">
        <v>0</v>
      </c>
      <c r="Q64" s="13">
        <v>0</v>
      </c>
      <c r="R64" s="13">
        <v>0</v>
      </c>
      <c r="S64" s="11">
        <v>0</v>
      </c>
      <c r="T64" s="13">
        <v>0</v>
      </c>
      <c r="U64" s="13">
        <v>0</v>
      </c>
      <c r="V64" s="11">
        <v>0</v>
      </c>
      <c r="W64" s="13">
        <v>0</v>
      </c>
      <c r="X64" s="13">
        <v>0</v>
      </c>
      <c r="Y64" s="11">
        <v>0</v>
      </c>
    </row>
    <row r="65" spans="1:25" x14ac:dyDescent="0.3">
      <c r="A65" s="10" t="s">
        <v>151</v>
      </c>
      <c r="B65" s="7">
        <v>2022</v>
      </c>
      <c r="C65" s="11">
        <v>64</v>
      </c>
      <c r="D65" s="7" t="s">
        <v>263</v>
      </c>
      <c r="E65" s="7" t="s">
        <v>83</v>
      </c>
      <c r="F65" s="7" t="s">
        <v>264</v>
      </c>
      <c r="G65" s="12" t="s">
        <v>154</v>
      </c>
      <c r="H65" s="7" t="s">
        <v>155</v>
      </c>
      <c r="I65" s="7" t="s">
        <v>155</v>
      </c>
      <c r="J65" s="7" t="s">
        <v>258</v>
      </c>
      <c r="K65" s="13">
        <v>0</v>
      </c>
      <c r="L65" s="13">
        <v>0</v>
      </c>
      <c r="M65" s="11">
        <v>0</v>
      </c>
      <c r="N65" s="13">
        <v>0</v>
      </c>
      <c r="O65" s="13">
        <v>0</v>
      </c>
      <c r="P65" s="11">
        <v>0</v>
      </c>
      <c r="Q65" s="13">
        <v>0</v>
      </c>
      <c r="R65" s="13">
        <v>0</v>
      </c>
      <c r="S65" s="11">
        <v>0</v>
      </c>
      <c r="T65" s="13">
        <v>0</v>
      </c>
      <c r="U65" s="13">
        <v>0</v>
      </c>
      <c r="V65" s="11">
        <v>0</v>
      </c>
      <c r="W65" s="13">
        <v>0</v>
      </c>
      <c r="X65" s="13">
        <v>0</v>
      </c>
      <c r="Y65" s="11">
        <v>0</v>
      </c>
    </row>
    <row r="66" spans="1:25" x14ac:dyDescent="0.3">
      <c r="A66" s="10" t="s">
        <v>151</v>
      </c>
      <c r="B66" s="7">
        <v>2022</v>
      </c>
      <c r="C66" s="11">
        <v>65</v>
      </c>
      <c r="D66" s="7" t="s">
        <v>265</v>
      </c>
      <c r="E66" s="7" t="s">
        <v>83</v>
      </c>
      <c r="F66" s="7" t="s">
        <v>266</v>
      </c>
      <c r="G66" s="12" t="s">
        <v>154</v>
      </c>
      <c r="H66" s="7" t="s">
        <v>155</v>
      </c>
      <c r="I66" s="7" t="s">
        <v>155</v>
      </c>
      <c r="J66" s="7" t="s">
        <v>258</v>
      </c>
      <c r="K66" s="13">
        <v>0</v>
      </c>
      <c r="L66" s="13">
        <v>0</v>
      </c>
      <c r="M66" s="11">
        <v>0</v>
      </c>
      <c r="N66" s="13">
        <v>0</v>
      </c>
      <c r="O66" s="13">
        <v>0</v>
      </c>
      <c r="P66" s="11">
        <v>0</v>
      </c>
      <c r="Q66" s="13">
        <v>0</v>
      </c>
      <c r="R66" s="13">
        <v>0</v>
      </c>
      <c r="S66" s="11">
        <v>0</v>
      </c>
      <c r="T66" s="13">
        <v>0</v>
      </c>
      <c r="U66" s="13">
        <v>0</v>
      </c>
      <c r="V66" s="11">
        <v>0</v>
      </c>
      <c r="W66" s="13">
        <v>0</v>
      </c>
      <c r="X66" s="13">
        <v>0</v>
      </c>
      <c r="Y66" s="11">
        <v>0</v>
      </c>
    </row>
    <row r="67" spans="1:25" x14ac:dyDescent="0.3">
      <c r="A67" s="10" t="s">
        <v>151</v>
      </c>
      <c r="B67" s="7">
        <v>2022</v>
      </c>
      <c r="C67" s="11">
        <v>66</v>
      </c>
      <c r="D67" s="7" t="s">
        <v>267</v>
      </c>
      <c r="E67" s="7" t="s">
        <v>83</v>
      </c>
      <c r="F67" s="7" t="s">
        <v>154</v>
      </c>
      <c r="G67" s="14" t="s">
        <v>268</v>
      </c>
      <c r="H67" s="7" t="s">
        <v>155</v>
      </c>
      <c r="I67" s="7" t="s">
        <v>155</v>
      </c>
      <c r="J67" s="7" t="s">
        <v>154</v>
      </c>
      <c r="K67" s="13">
        <v>0</v>
      </c>
      <c r="L67" s="13">
        <v>0</v>
      </c>
      <c r="M67" s="11">
        <v>0</v>
      </c>
      <c r="N67" s="13">
        <v>0</v>
      </c>
      <c r="O67" s="13">
        <v>0</v>
      </c>
      <c r="P67" s="11">
        <v>0</v>
      </c>
      <c r="Q67" s="13">
        <v>0</v>
      </c>
      <c r="R67" s="13">
        <v>0</v>
      </c>
      <c r="S67" s="11">
        <v>0</v>
      </c>
      <c r="T67" s="13">
        <v>0</v>
      </c>
      <c r="U67" s="13">
        <v>0</v>
      </c>
      <c r="V67" s="11">
        <v>0</v>
      </c>
      <c r="W67" s="13">
        <v>0</v>
      </c>
      <c r="X67" s="13">
        <v>0</v>
      </c>
      <c r="Y67" s="11">
        <v>0</v>
      </c>
    </row>
    <row r="68" spans="1:25" x14ac:dyDescent="0.3">
      <c r="A68" s="10" t="s">
        <v>151</v>
      </c>
      <c r="B68" s="7">
        <v>2022</v>
      </c>
      <c r="C68" s="11">
        <v>67</v>
      </c>
      <c r="D68" s="7" t="s">
        <v>269</v>
      </c>
      <c r="E68" s="7" t="s">
        <v>83</v>
      </c>
      <c r="F68" s="7" t="s">
        <v>270</v>
      </c>
      <c r="G68" s="12" t="s">
        <v>154</v>
      </c>
      <c r="H68" s="7" t="s">
        <v>155</v>
      </c>
      <c r="I68" s="7" t="s">
        <v>155</v>
      </c>
      <c r="J68" s="7" t="s">
        <v>154</v>
      </c>
      <c r="K68" s="13">
        <v>100</v>
      </c>
      <c r="L68" s="13">
        <v>27</v>
      </c>
      <c r="M68" s="11">
        <v>141</v>
      </c>
      <c r="N68" s="13">
        <v>0</v>
      </c>
      <c r="O68" s="13">
        <v>0</v>
      </c>
      <c r="P68" s="11">
        <v>0</v>
      </c>
      <c r="Q68" s="13">
        <v>0</v>
      </c>
      <c r="R68" s="13">
        <v>0</v>
      </c>
      <c r="S68" s="11">
        <v>0</v>
      </c>
      <c r="T68" s="13">
        <v>0</v>
      </c>
      <c r="U68" s="13">
        <v>0</v>
      </c>
      <c r="V68" s="11">
        <v>0</v>
      </c>
      <c r="W68" s="13">
        <v>0</v>
      </c>
      <c r="X68" s="13">
        <v>0</v>
      </c>
      <c r="Y68" s="11">
        <v>0</v>
      </c>
    </row>
    <row r="69" spans="1:25" x14ac:dyDescent="0.3">
      <c r="A69" s="10" t="s">
        <v>151</v>
      </c>
      <c r="B69" s="7">
        <v>2022</v>
      </c>
      <c r="C69" s="11">
        <v>68</v>
      </c>
      <c r="D69" s="7" t="s">
        <v>271</v>
      </c>
      <c r="E69" s="7" t="s">
        <v>83</v>
      </c>
      <c r="F69" s="7" t="s">
        <v>270</v>
      </c>
      <c r="G69" s="12" t="s">
        <v>154</v>
      </c>
      <c r="H69" s="7" t="s">
        <v>155</v>
      </c>
      <c r="I69" s="7" t="s">
        <v>155</v>
      </c>
      <c r="J69" s="7" t="s">
        <v>154</v>
      </c>
      <c r="K69" s="13">
        <v>100</v>
      </c>
      <c r="L69" s="13">
        <v>27</v>
      </c>
      <c r="M69" s="11">
        <v>141</v>
      </c>
      <c r="N69" s="13">
        <v>0</v>
      </c>
      <c r="O69" s="13">
        <v>0</v>
      </c>
      <c r="P69" s="11">
        <v>0</v>
      </c>
      <c r="Q69" s="13">
        <v>0</v>
      </c>
      <c r="R69" s="13">
        <v>0</v>
      </c>
      <c r="S69" s="11">
        <v>0</v>
      </c>
      <c r="T69" s="13">
        <v>0</v>
      </c>
      <c r="U69" s="13">
        <v>0</v>
      </c>
      <c r="V69" s="11">
        <v>0</v>
      </c>
      <c r="W69" s="13">
        <v>0</v>
      </c>
      <c r="X69" s="13">
        <v>0</v>
      </c>
      <c r="Y69" s="11">
        <v>0</v>
      </c>
    </row>
    <row r="70" spans="1:25" x14ac:dyDescent="0.3">
      <c r="A70" s="10" t="s">
        <v>151</v>
      </c>
      <c r="B70" s="7">
        <v>2022</v>
      </c>
      <c r="C70" s="11">
        <v>69</v>
      </c>
      <c r="D70" s="7" t="s">
        <v>272</v>
      </c>
      <c r="E70" s="7" t="s">
        <v>83</v>
      </c>
      <c r="F70" s="7" t="s">
        <v>270</v>
      </c>
      <c r="G70" s="12" t="s">
        <v>154</v>
      </c>
      <c r="H70" s="7" t="s">
        <v>155</v>
      </c>
      <c r="I70" s="7" t="s">
        <v>155</v>
      </c>
      <c r="J70" s="7" t="s">
        <v>154</v>
      </c>
      <c r="K70" s="13">
        <v>100</v>
      </c>
      <c r="L70" s="13">
        <v>27</v>
      </c>
      <c r="M70" s="11">
        <v>141</v>
      </c>
      <c r="N70" s="13">
        <v>0</v>
      </c>
      <c r="O70" s="13">
        <v>0</v>
      </c>
      <c r="P70" s="11">
        <v>0</v>
      </c>
      <c r="Q70" s="13">
        <v>0</v>
      </c>
      <c r="R70" s="13">
        <v>0</v>
      </c>
      <c r="S70" s="11">
        <v>0</v>
      </c>
      <c r="T70" s="13">
        <v>0</v>
      </c>
      <c r="U70" s="13">
        <v>0</v>
      </c>
      <c r="V70" s="11">
        <v>0</v>
      </c>
      <c r="W70" s="13">
        <v>0</v>
      </c>
      <c r="X70" s="13">
        <v>0</v>
      </c>
      <c r="Y70" s="11">
        <v>0</v>
      </c>
    </row>
    <row r="71" spans="1:25" x14ac:dyDescent="0.3">
      <c r="A71" s="10" t="s">
        <v>151</v>
      </c>
      <c r="B71" s="7">
        <v>2022</v>
      </c>
      <c r="C71" s="11">
        <v>70</v>
      </c>
      <c r="D71" s="7" t="s">
        <v>273</v>
      </c>
      <c r="E71" s="7" t="s">
        <v>83</v>
      </c>
      <c r="F71" s="7" t="s">
        <v>270</v>
      </c>
      <c r="G71" s="12" t="s">
        <v>154</v>
      </c>
      <c r="H71" s="7" t="s">
        <v>155</v>
      </c>
      <c r="I71" s="7" t="s">
        <v>155</v>
      </c>
      <c r="J71" s="7" t="s">
        <v>154</v>
      </c>
      <c r="K71" s="13">
        <v>100</v>
      </c>
      <c r="L71" s="13">
        <v>5</v>
      </c>
      <c r="M71" s="11">
        <v>141</v>
      </c>
      <c r="N71" s="13">
        <v>0</v>
      </c>
      <c r="O71" s="13">
        <v>0</v>
      </c>
      <c r="P71" s="11">
        <v>0</v>
      </c>
      <c r="Q71" s="13">
        <v>0</v>
      </c>
      <c r="R71" s="13">
        <v>0</v>
      </c>
      <c r="S71" s="11">
        <v>0</v>
      </c>
      <c r="T71" s="13">
        <v>0</v>
      </c>
      <c r="U71" s="13">
        <v>0</v>
      </c>
      <c r="V71" s="11">
        <v>0</v>
      </c>
      <c r="W71" s="13">
        <v>0</v>
      </c>
      <c r="X71" s="13">
        <v>0</v>
      </c>
      <c r="Y71" s="11">
        <v>0</v>
      </c>
    </row>
    <row r="72" spans="1:25" x14ac:dyDescent="0.3">
      <c r="A72" s="10" t="s">
        <v>151</v>
      </c>
      <c r="B72" s="7">
        <v>2022</v>
      </c>
      <c r="C72" s="11">
        <v>71</v>
      </c>
      <c r="D72" s="7" t="s">
        <v>274</v>
      </c>
      <c r="E72" s="7" t="s">
        <v>83</v>
      </c>
      <c r="F72" s="7" t="s">
        <v>270</v>
      </c>
      <c r="G72" s="12" t="s">
        <v>154</v>
      </c>
      <c r="H72" s="7" t="s">
        <v>155</v>
      </c>
      <c r="I72" s="7" t="s">
        <v>155</v>
      </c>
      <c r="J72" s="7" t="s">
        <v>154</v>
      </c>
      <c r="K72" s="13">
        <v>100</v>
      </c>
      <c r="L72" s="13">
        <v>27</v>
      </c>
      <c r="M72" s="11">
        <v>141</v>
      </c>
      <c r="N72" s="13">
        <v>0</v>
      </c>
      <c r="O72" s="13">
        <v>0</v>
      </c>
      <c r="P72" s="11">
        <v>0</v>
      </c>
      <c r="Q72" s="13">
        <v>0</v>
      </c>
      <c r="R72" s="13">
        <v>0</v>
      </c>
      <c r="S72" s="11">
        <v>0</v>
      </c>
      <c r="T72" s="13">
        <v>0</v>
      </c>
      <c r="U72" s="13">
        <v>0</v>
      </c>
      <c r="V72" s="11">
        <v>0</v>
      </c>
      <c r="W72" s="13">
        <v>0</v>
      </c>
      <c r="X72" s="13">
        <v>0</v>
      </c>
      <c r="Y72" s="11">
        <v>0</v>
      </c>
    </row>
    <row r="73" spans="1:25" x14ac:dyDescent="0.3">
      <c r="A73" s="10" t="s">
        <v>151</v>
      </c>
      <c r="B73" s="7">
        <v>2022</v>
      </c>
      <c r="C73" s="11">
        <v>72</v>
      </c>
      <c r="D73" s="7" t="s">
        <v>275</v>
      </c>
      <c r="E73" s="7" t="s">
        <v>83</v>
      </c>
      <c r="F73" s="7" t="s">
        <v>154</v>
      </c>
      <c r="G73" s="14" t="s">
        <v>276</v>
      </c>
      <c r="H73" s="7" t="s">
        <v>155</v>
      </c>
      <c r="I73" s="7" t="s">
        <v>155</v>
      </c>
      <c r="J73" s="7" t="s">
        <v>154</v>
      </c>
      <c r="K73" s="13">
        <v>0</v>
      </c>
      <c r="L73" s="13">
        <v>0</v>
      </c>
      <c r="M73" s="11">
        <v>0</v>
      </c>
      <c r="N73" s="13">
        <v>0</v>
      </c>
      <c r="O73" s="13">
        <v>0</v>
      </c>
      <c r="P73" s="11">
        <v>0</v>
      </c>
      <c r="Q73" s="13">
        <v>0</v>
      </c>
      <c r="R73" s="13">
        <v>0</v>
      </c>
      <c r="S73" s="11">
        <v>0</v>
      </c>
      <c r="T73" s="13">
        <v>0</v>
      </c>
      <c r="U73" s="13">
        <v>0</v>
      </c>
      <c r="V73" s="11">
        <v>0</v>
      </c>
      <c r="W73" s="13">
        <v>0</v>
      </c>
      <c r="X73" s="13">
        <v>0</v>
      </c>
      <c r="Y73" s="11">
        <v>0</v>
      </c>
    </row>
    <row r="74" spans="1:25" x14ac:dyDescent="0.3">
      <c r="A74" s="10" t="s">
        <v>151</v>
      </c>
      <c r="B74" s="7">
        <v>2022</v>
      </c>
      <c r="C74" s="11">
        <v>73</v>
      </c>
      <c r="D74" s="7" t="s">
        <v>277</v>
      </c>
      <c r="E74" s="7" t="s">
        <v>83</v>
      </c>
      <c r="F74" s="7" t="s">
        <v>278</v>
      </c>
      <c r="G74" s="12" t="s">
        <v>154</v>
      </c>
      <c r="H74" s="7" t="s">
        <v>155</v>
      </c>
      <c r="I74" s="7" t="s">
        <v>155</v>
      </c>
      <c r="J74" s="7" t="s">
        <v>154</v>
      </c>
      <c r="K74" s="13">
        <v>100</v>
      </c>
      <c r="L74" s="13">
        <v>27</v>
      </c>
      <c r="M74" s="11">
        <v>141</v>
      </c>
      <c r="N74" s="13">
        <v>0</v>
      </c>
      <c r="O74" s="13">
        <v>0</v>
      </c>
      <c r="P74" s="11">
        <v>0</v>
      </c>
      <c r="Q74" s="13">
        <v>0</v>
      </c>
      <c r="R74" s="13">
        <v>0</v>
      </c>
      <c r="S74" s="11">
        <v>0</v>
      </c>
      <c r="T74" s="13">
        <v>0</v>
      </c>
      <c r="U74" s="13">
        <v>0</v>
      </c>
      <c r="V74" s="11">
        <v>0</v>
      </c>
      <c r="W74" s="13">
        <v>0</v>
      </c>
      <c r="X74" s="13">
        <v>0</v>
      </c>
      <c r="Y74" s="11">
        <v>0</v>
      </c>
    </row>
    <row r="75" spans="1:25" x14ac:dyDescent="0.3">
      <c r="A75" s="10" t="s">
        <v>151</v>
      </c>
      <c r="B75" s="7">
        <v>2022</v>
      </c>
      <c r="C75" s="11">
        <v>74</v>
      </c>
      <c r="D75" s="7" t="s">
        <v>279</v>
      </c>
      <c r="E75" s="7" t="s">
        <v>83</v>
      </c>
      <c r="F75" s="7" t="s">
        <v>278</v>
      </c>
      <c r="G75" s="12" t="s">
        <v>154</v>
      </c>
      <c r="H75" s="7" t="s">
        <v>155</v>
      </c>
      <c r="I75" s="7" t="s">
        <v>155</v>
      </c>
      <c r="J75" s="7" t="s">
        <v>154</v>
      </c>
      <c r="K75" s="13">
        <v>100</v>
      </c>
      <c r="L75" s="13">
        <v>27</v>
      </c>
      <c r="M75" s="11">
        <v>141</v>
      </c>
      <c r="N75" s="13">
        <v>0</v>
      </c>
      <c r="O75" s="13">
        <v>0</v>
      </c>
      <c r="P75" s="11">
        <v>0</v>
      </c>
      <c r="Q75" s="13">
        <v>0</v>
      </c>
      <c r="R75" s="13">
        <v>0</v>
      </c>
      <c r="S75" s="11">
        <v>0</v>
      </c>
      <c r="T75" s="13">
        <v>0</v>
      </c>
      <c r="U75" s="13">
        <v>0</v>
      </c>
      <c r="V75" s="11">
        <v>0</v>
      </c>
      <c r="W75" s="13">
        <v>0</v>
      </c>
      <c r="X75" s="13">
        <v>0</v>
      </c>
      <c r="Y75" s="11">
        <v>0</v>
      </c>
    </row>
    <row r="76" spans="1:25" x14ac:dyDescent="0.3">
      <c r="A76" s="10" t="s">
        <v>151</v>
      </c>
      <c r="B76" s="7">
        <v>2022</v>
      </c>
      <c r="C76" s="11">
        <v>75</v>
      </c>
      <c r="D76" s="7" t="s">
        <v>280</v>
      </c>
      <c r="E76" s="7" t="s">
        <v>83</v>
      </c>
      <c r="F76" s="7" t="s">
        <v>278</v>
      </c>
      <c r="G76" s="12" t="s">
        <v>154</v>
      </c>
      <c r="H76" s="7" t="s">
        <v>155</v>
      </c>
      <c r="I76" s="7" t="s">
        <v>155</v>
      </c>
      <c r="J76" s="7" t="s">
        <v>154</v>
      </c>
      <c r="K76" s="13">
        <v>100</v>
      </c>
      <c r="L76" s="13">
        <v>27</v>
      </c>
      <c r="M76" s="11">
        <v>141</v>
      </c>
      <c r="N76" s="13">
        <v>0</v>
      </c>
      <c r="O76" s="13">
        <v>0</v>
      </c>
      <c r="P76" s="11">
        <v>0</v>
      </c>
      <c r="Q76" s="13">
        <v>0</v>
      </c>
      <c r="R76" s="13">
        <v>0</v>
      </c>
      <c r="S76" s="11">
        <v>0</v>
      </c>
      <c r="T76" s="13">
        <v>0</v>
      </c>
      <c r="U76" s="13">
        <v>0</v>
      </c>
      <c r="V76" s="11">
        <v>0</v>
      </c>
      <c r="W76" s="13">
        <v>0</v>
      </c>
      <c r="X76" s="13">
        <v>0</v>
      </c>
      <c r="Y76" s="11">
        <v>0</v>
      </c>
    </row>
    <row r="77" spans="1:25" x14ac:dyDescent="0.3">
      <c r="A77" s="10" t="s">
        <v>151</v>
      </c>
      <c r="B77" s="7">
        <v>2022</v>
      </c>
      <c r="C77" s="11">
        <v>76</v>
      </c>
      <c r="D77" s="7" t="s">
        <v>281</v>
      </c>
      <c r="E77" s="7" t="s">
        <v>83</v>
      </c>
      <c r="F77" s="7" t="s">
        <v>278</v>
      </c>
      <c r="G77" s="12" t="s">
        <v>154</v>
      </c>
      <c r="H77" s="7" t="s">
        <v>155</v>
      </c>
      <c r="I77" s="7" t="s">
        <v>155</v>
      </c>
      <c r="J77" s="7" t="s">
        <v>154</v>
      </c>
      <c r="K77" s="13">
        <v>100</v>
      </c>
      <c r="L77" s="13">
        <v>27</v>
      </c>
      <c r="M77" s="11">
        <v>141</v>
      </c>
      <c r="N77" s="13">
        <v>0</v>
      </c>
      <c r="O77" s="13">
        <v>0</v>
      </c>
      <c r="P77" s="11">
        <v>0</v>
      </c>
      <c r="Q77" s="13">
        <v>0</v>
      </c>
      <c r="R77" s="13">
        <v>0</v>
      </c>
      <c r="S77" s="11">
        <v>0</v>
      </c>
      <c r="T77" s="13">
        <v>0</v>
      </c>
      <c r="U77" s="13">
        <v>0</v>
      </c>
      <c r="V77" s="11">
        <v>0</v>
      </c>
      <c r="W77" s="13">
        <v>0</v>
      </c>
      <c r="X77" s="13">
        <v>0</v>
      </c>
      <c r="Y77" s="11">
        <v>0</v>
      </c>
    </row>
    <row r="78" spans="1:25" x14ac:dyDescent="0.3">
      <c r="A78" s="10" t="s">
        <v>151</v>
      </c>
      <c r="B78" s="7">
        <v>2022</v>
      </c>
      <c r="C78" s="11">
        <v>77</v>
      </c>
      <c r="D78" s="7" t="s">
        <v>282</v>
      </c>
      <c r="E78" s="7" t="s">
        <v>83</v>
      </c>
      <c r="F78" s="7" t="s">
        <v>278</v>
      </c>
      <c r="G78" s="12" t="s">
        <v>154</v>
      </c>
      <c r="H78" s="7" t="s">
        <v>155</v>
      </c>
      <c r="I78" s="7" t="s">
        <v>155</v>
      </c>
      <c r="J78" s="7" t="s">
        <v>154</v>
      </c>
      <c r="K78" s="13">
        <v>100</v>
      </c>
      <c r="L78" s="13">
        <v>27</v>
      </c>
      <c r="M78" s="11">
        <v>141</v>
      </c>
      <c r="N78" s="13">
        <v>0</v>
      </c>
      <c r="O78" s="13">
        <v>0</v>
      </c>
      <c r="P78" s="11">
        <v>0</v>
      </c>
      <c r="Q78" s="13">
        <v>0</v>
      </c>
      <c r="R78" s="13">
        <v>0</v>
      </c>
      <c r="S78" s="11">
        <v>0</v>
      </c>
      <c r="T78" s="13">
        <v>0</v>
      </c>
      <c r="U78" s="13">
        <v>0</v>
      </c>
      <c r="V78" s="11">
        <v>0</v>
      </c>
      <c r="W78" s="13">
        <v>0</v>
      </c>
      <c r="X78" s="13">
        <v>0</v>
      </c>
      <c r="Y78" s="11">
        <v>0</v>
      </c>
    </row>
    <row r="79" spans="1:25" x14ac:dyDescent="0.3">
      <c r="A79" s="10" t="s">
        <v>151</v>
      </c>
      <c r="B79" s="7">
        <v>2022</v>
      </c>
      <c r="C79" s="11">
        <v>78</v>
      </c>
      <c r="D79" s="7" t="s">
        <v>283</v>
      </c>
      <c r="E79" s="7" t="s">
        <v>83</v>
      </c>
      <c r="F79" s="7" t="s">
        <v>278</v>
      </c>
      <c r="G79" s="12" t="s">
        <v>154</v>
      </c>
      <c r="H79" s="7" t="s">
        <v>155</v>
      </c>
      <c r="I79" s="7" t="s">
        <v>155</v>
      </c>
      <c r="J79" s="7" t="s">
        <v>154</v>
      </c>
      <c r="K79" s="13">
        <v>100</v>
      </c>
      <c r="L79" s="13">
        <v>27</v>
      </c>
      <c r="M79" s="11">
        <v>141</v>
      </c>
      <c r="N79" s="13">
        <v>0</v>
      </c>
      <c r="O79" s="13">
        <v>0</v>
      </c>
      <c r="P79" s="11">
        <v>0</v>
      </c>
      <c r="Q79" s="13">
        <v>0</v>
      </c>
      <c r="R79" s="13">
        <v>0</v>
      </c>
      <c r="S79" s="11">
        <v>0</v>
      </c>
      <c r="T79" s="13">
        <v>0</v>
      </c>
      <c r="U79" s="13">
        <v>0</v>
      </c>
      <c r="V79" s="11">
        <v>0</v>
      </c>
      <c r="W79" s="13">
        <v>0</v>
      </c>
      <c r="X79" s="13">
        <v>0</v>
      </c>
      <c r="Y79" s="11">
        <v>0</v>
      </c>
    </row>
    <row r="80" spans="1:25" x14ac:dyDescent="0.3">
      <c r="A80" s="10" t="s">
        <v>151</v>
      </c>
      <c r="B80" s="7">
        <v>2022</v>
      </c>
      <c r="C80" s="11">
        <v>79</v>
      </c>
      <c r="D80" s="7" t="s">
        <v>284</v>
      </c>
      <c r="E80" s="7" t="s">
        <v>83</v>
      </c>
      <c r="F80" s="7" t="s">
        <v>278</v>
      </c>
      <c r="G80" s="12" t="s">
        <v>154</v>
      </c>
      <c r="H80" s="7" t="s">
        <v>155</v>
      </c>
      <c r="I80" s="7" t="s">
        <v>155</v>
      </c>
      <c r="J80" s="7" t="s">
        <v>154</v>
      </c>
      <c r="K80" s="13">
        <v>100</v>
      </c>
      <c r="L80" s="13">
        <v>27</v>
      </c>
      <c r="M80" s="11">
        <v>141</v>
      </c>
      <c r="N80" s="13">
        <v>0</v>
      </c>
      <c r="O80" s="13">
        <v>0</v>
      </c>
      <c r="P80" s="11">
        <v>0</v>
      </c>
      <c r="Q80" s="13">
        <v>0</v>
      </c>
      <c r="R80" s="13">
        <v>0</v>
      </c>
      <c r="S80" s="11">
        <v>0</v>
      </c>
      <c r="T80" s="13">
        <v>0</v>
      </c>
      <c r="U80" s="13">
        <v>0</v>
      </c>
      <c r="V80" s="11">
        <v>0</v>
      </c>
      <c r="W80" s="13">
        <v>0</v>
      </c>
      <c r="X80" s="13">
        <v>0</v>
      </c>
      <c r="Y80" s="11">
        <v>0</v>
      </c>
    </row>
    <row r="81" spans="1:25" x14ac:dyDescent="0.3">
      <c r="A81" s="10" t="s">
        <v>151</v>
      </c>
      <c r="B81" s="7">
        <v>2022</v>
      </c>
      <c r="C81" s="11">
        <v>80</v>
      </c>
      <c r="D81" s="7" t="s">
        <v>285</v>
      </c>
      <c r="E81" s="7" t="s">
        <v>83</v>
      </c>
      <c r="F81" s="7" t="s">
        <v>278</v>
      </c>
      <c r="G81" s="12" t="s">
        <v>154</v>
      </c>
      <c r="H81" s="7" t="s">
        <v>155</v>
      </c>
      <c r="I81" s="7" t="s">
        <v>155</v>
      </c>
      <c r="J81" s="7" t="s">
        <v>154</v>
      </c>
      <c r="K81" s="13">
        <v>100</v>
      </c>
      <c r="L81" s="13">
        <v>27</v>
      </c>
      <c r="M81" s="11">
        <v>141</v>
      </c>
      <c r="N81" s="13">
        <v>0</v>
      </c>
      <c r="O81" s="13">
        <v>0</v>
      </c>
      <c r="P81" s="11">
        <v>0</v>
      </c>
      <c r="Q81" s="13">
        <v>0</v>
      </c>
      <c r="R81" s="13">
        <v>0</v>
      </c>
      <c r="S81" s="11">
        <v>0</v>
      </c>
      <c r="T81" s="13">
        <v>0</v>
      </c>
      <c r="U81" s="13">
        <v>0</v>
      </c>
      <c r="V81" s="11">
        <v>0</v>
      </c>
      <c r="W81" s="13">
        <v>0</v>
      </c>
      <c r="X81" s="13">
        <v>0</v>
      </c>
      <c r="Y81" s="11">
        <v>0</v>
      </c>
    </row>
    <row r="82" spans="1:25" x14ac:dyDescent="0.3">
      <c r="A82" s="10" t="s">
        <v>151</v>
      </c>
      <c r="B82" s="7">
        <v>2022</v>
      </c>
      <c r="C82" s="11">
        <v>81</v>
      </c>
      <c r="D82" s="7" t="s">
        <v>286</v>
      </c>
      <c r="E82" s="7" t="s">
        <v>83</v>
      </c>
      <c r="F82" s="7" t="s">
        <v>278</v>
      </c>
      <c r="G82" s="12" t="s">
        <v>154</v>
      </c>
      <c r="H82" s="7" t="s">
        <v>155</v>
      </c>
      <c r="I82" s="7" t="s">
        <v>155</v>
      </c>
      <c r="J82" s="7" t="s">
        <v>154</v>
      </c>
      <c r="K82" s="13">
        <v>100</v>
      </c>
      <c r="L82" s="13">
        <v>27</v>
      </c>
      <c r="M82" s="11">
        <v>141</v>
      </c>
      <c r="N82" s="13">
        <v>0</v>
      </c>
      <c r="O82" s="13">
        <v>0</v>
      </c>
      <c r="P82" s="11">
        <v>0</v>
      </c>
      <c r="Q82" s="13">
        <v>0</v>
      </c>
      <c r="R82" s="13">
        <v>0</v>
      </c>
      <c r="S82" s="11">
        <v>0</v>
      </c>
      <c r="T82" s="13">
        <v>0</v>
      </c>
      <c r="U82" s="13">
        <v>0</v>
      </c>
      <c r="V82" s="11">
        <v>0</v>
      </c>
      <c r="W82" s="13">
        <v>0</v>
      </c>
      <c r="X82" s="13">
        <v>0</v>
      </c>
      <c r="Y82" s="11">
        <v>0</v>
      </c>
    </row>
    <row r="83" spans="1:25" x14ac:dyDescent="0.3">
      <c r="A83" s="10" t="s">
        <v>151</v>
      </c>
      <c r="B83" s="7">
        <v>2022</v>
      </c>
      <c r="C83" s="11">
        <v>82</v>
      </c>
      <c r="D83" s="7" t="s">
        <v>287</v>
      </c>
      <c r="E83" s="7" t="s">
        <v>83</v>
      </c>
      <c r="F83" s="7" t="s">
        <v>154</v>
      </c>
      <c r="G83" s="14" t="s">
        <v>288</v>
      </c>
      <c r="H83" s="7" t="s">
        <v>155</v>
      </c>
      <c r="I83" s="7" t="s">
        <v>155</v>
      </c>
      <c r="J83" s="7" t="s">
        <v>154</v>
      </c>
      <c r="K83" s="13">
        <v>0</v>
      </c>
      <c r="L83" s="13">
        <v>0</v>
      </c>
      <c r="M83" s="11">
        <v>0</v>
      </c>
      <c r="N83" s="13">
        <v>0</v>
      </c>
      <c r="O83" s="13">
        <v>0</v>
      </c>
      <c r="P83" s="11">
        <v>0</v>
      </c>
      <c r="Q83" s="13">
        <v>0</v>
      </c>
      <c r="R83" s="13">
        <v>0</v>
      </c>
      <c r="S83" s="11">
        <v>0</v>
      </c>
      <c r="T83" s="13">
        <v>0</v>
      </c>
      <c r="U83" s="13">
        <v>0</v>
      </c>
      <c r="V83" s="11">
        <v>0</v>
      </c>
      <c r="W83" s="13">
        <v>0</v>
      </c>
      <c r="X83" s="13">
        <v>0</v>
      </c>
      <c r="Y83" s="11">
        <v>0</v>
      </c>
    </row>
    <row r="84" spans="1:25" x14ac:dyDescent="0.3">
      <c r="A84" s="10" t="s">
        <v>151</v>
      </c>
      <c r="B84" s="7">
        <v>2022</v>
      </c>
      <c r="C84" s="11">
        <v>83</v>
      </c>
      <c r="D84" s="7" t="s">
        <v>289</v>
      </c>
      <c r="E84" s="7" t="s">
        <v>83</v>
      </c>
      <c r="F84" s="7" t="s">
        <v>154</v>
      </c>
      <c r="G84" s="14" t="s">
        <v>290</v>
      </c>
      <c r="H84" s="7" t="s">
        <v>155</v>
      </c>
      <c r="I84" s="7" t="s">
        <v>155</v>
      </c>
      <c r="J84" s="7" t="s">
        <v>154</v>
      </c>
      <c r="K84" s="13">
        <v>0</v>
      </c>
      <c r="L84" s="13">
        <v>0</v>
      </c>
      <c r="M84" s="11">
        <v>0</v>
      </c>
      <c r="N84" s="13">
        <v>0</v>
      </c>
      <c r="O84" s="13">
        <v>0</v>
      </c>
      <c r="P84" s="11">
        <v>0</v>
      </c>
      <c r="Q84" s="13">
        <v>0</v>
      </c>
      <c r="R84" s="13">
        <v>0</v>
      </c>
      <c r="S84" s="11">
        <v>0</v>
      </c>
      <c r="T84" s="13">
        <v>0</v>
      </c>
      <c r="U84" s="13">
        <v>0</v>
      </c>
      <c r="V84" s="11">
        <v>0</v>
      </c>
      <c r="W84" s="13">
        <v>0</v>
      </c>
      <c r="X84" s="13">
        <v>0</v>
      </c>
      <c r="Y84" s="11">
        <v>0</v>
      </c>
    </row>
    <row r="85" spans="1:25" x14ac:dyDescent="0.3">
      <c r="A85" s="10" t="s">
        <v>151</v>
      </c>
      <c r="B85" s="7">
        <v>2022</v>
      </c>
      <c r="C85" s="11">
        <v>84</v>
      </c>
      <c r="D85" s="7" t="s">
        <v>291</v>
      </c>
      <c r="E85" s="7" t="s">
        <v>83</v>
      </c>
      <c r="F85" s="7" t="s">
        <v>292</v>
      </c>
      <c r="G85" s="12" t="s">
        <v>154</v>
      </c>
      <c r="H85" s="7" t="s">
        <v>155</v>
      </c>
      <c r="I85" s="7" t="s">
        <v>155</v>
      </c>
      <c r="J85" s="7" t="s">
        <v>154</v>
      </c>
      <c r="K85" s="13">
        <v>100</v>
      </c>
      <c r="L85" s="13">
        <v>27</v>
      </c>
      <c r="M85" s="11">
        <v>141</v>
      </c>
      <c r="N85" s="13">
        <v>0</v>
      </c>
      <c r="O85" s="13">
        <v>0</v>
      </c>
      <c r="P85" s="11">
        <v>0</v>
      </c>
      <c r="Q85" s="13">
        <v>0</v>
      </c>
      <c r="R85" s="13">
        <v>0</v>
      </c>
      <c r="S85" s="11">
        <v>0</v>
      </c>
      <c r="T85" s="13">
        <v>0</v>
      </c>
      <c r="U85" s="13">
        <v>0</v>
      </c>
      <c r="V85" s="11">
        <v>0</v>
      </c>
      <c r="W85" s="13">
        <v>0</v>
      </c>
      <c r="X85" s="13">
        <v>0</v>
      </c>
      <c r="Y85" s="11">
        <v>0</v>
      </c>
    </row>
    <row r="86" spans="1:25" x14ac:dyDescent="0.3">
      <c r="A86" s="10" t="s">
        <v>151</v>
      </c>
      <c r="B86" s="7">
        <v>2022</v>
      </c>
      <c r="C86" s="11">
        <v>85</v>
      </c>
      <c r="D86" s="7" t="s">
        <v>293</v>
      </c>
      <c r="E86" s="7" t="s">
        <v>83</v>
      </c>
      <c r="F86" s="7" t="s">
        <v>292</v>
      </c>
      <c r="G86" s="12" t="s">
        <v>154</v>
      </c>
      <c r="H86" s="7" t="s">
        <v>155</v>
      </c>
      <c r="I86" s="7" t="s">
        <v>155</v>
      </c>
      <c r="J86" s="7" t="s">
        <v>154</v>
      </c>
      <c r="K86" s="13">
        <v>100</v>
      </c>
      <c r="L86" s="13">
        <v>27</v>
      </c>
      <c r="M86" s="11">
        <v>141</v>
      </c>
      <c r="N86" s="13">
        <v>0</v>
      </c>
      <c r="O86" s="13">
        <v>0</v>
      </c>
      <c r="P86" s="11">
        <v>0</v>
      </c>
      <c r="Q86" s="13">
        <v>0</v>
      </c>
      <c r="R86" s="13">
        <v>0</v>
      </c>
      <c r="S86" s="11">
        <v>0</v>
      </c>
      <c r="T86" s="13">
        <v>0</v>
      </c>
      <c r="U86" s="13">
        <v>0</v>
      </c>
      <c r="V86" s="11">
        <v>0</v>
      </c>
      <c r="W86" s="13">
        <v>0</v>
      </c>
      <c r="X86" s="13">
        <v>0</v>
      </c>
      <c r="Y86" s="11">
        <v>0</v>
      </c>
    </row>
    <row r="87" spans="1:25" x14ac:dyDescent="0.3">
      <c r="A87" s="10" t="s">
        <v>151</v>
      </c>
      <c r="B87" s="7">
        <v>2022</v>
      </c>
      <c r="C87" s="11">
        <v>86</v>
      </c>
      <c r="D87" s="7" t="s">
        <v>294</v>
      </c>
      <c r="E87" s="7" t="s">
        <v>83</v>
      </c>
      <c r="F87" s="7" t="s">
        <v>292</v>
      </c>
      <c r="G87" s="12" t="s">
        <v>154</v>
      </c>
      <c r="H87" s="7" t="s">
        <v>155</v>
      </c>
      <c r="I87" s="7" t="s">
        <v>155</v>
      </c>
      <c r="J87" s="7" t="s">
        <v>154</v>
      </c>
      <c r="K87" s="13">
        <v>100</v>
      </c>
      <c r="L87" s="13">
        <v>27</v>
      </c>
      <c r="M87" s="11">
        <v>141</v>
      </c>
      <c r="N87" s="13">
        <v>0</v>
      </c>
      <c r="O87" s="13">
        <v>0</v>
      </c>
      <c r="P87" s="11">
        <v>0</v>
      </c>
      <c r="Q87" s="13">
        <v>0</v>
      </c>
      <c r="R87" s="13">
        <v>0</v>
      </c>
      <c r="S87" s="11">
        <v>0</v>
      </c>
      <c r="T87" s="13">
        <v>0</v>
      </c>
      <c r="U87" s="13">
        <v>0</v>
      </c>
      <c r="V87" s="11">
        <v>0</v>
      </c>
      <c r="W87" s="13">
        <v>0</v>
      </c>
      <c r="X87" s="13">
        <v>0</v>
      </c>
      <c r="Y87" s="11">
        <v>0</v>
      </c>
    </row>
    <row r="88" spans="1:25" x14ac:dyDescent="0.3">
      <c r="A88" s="10" t="s">
        <v>151</v>
      </c>
      <c r="B88" s="7">
        <v>2022</v>
      </c>
      <c r="C88" s="11">
        <v>87</v>
      </c>
      <c r="D88" s="7" t="s">
        <v>295</v>
      </c>
      <c r="E88" s="7" t="s">
        <v>83</v>
      </c>
      <c r="F88" s="7" t="s">
        <v>292</v>
      </c>
      <c r="G88" s="12" t="s">
        <v>154</v>
      </c>
      <c r="H88" s="7" t="s">
        <v>155</v>
      </c>
      <c r="I88" s="7" t="s">
        <v>155</v>
      </c>
      <c r="J88" s="7" t="s">
        <v>154</v>
      </c>
      <c r="K88" s="13">
        <v>100</v>
      </c>
      <c r="L88" s="13">
        <v>27</v>
      </c>
      <c r="M88" s="11">
        <v>141</v>
      </c>
      <c r="N88" s="13">
        <v>0</v>
      </c>
      <c r="O88" s="13">
        <v>0</v>
      </c>
      <c r="P88" s="11">
        <v>0</v>
      </c>
      <c r="Q88" s="13">
        <v>0</v>
      </c>
      <c r="R88" s="13">
        <v>0</v>
      </c>
      <c r="S88" s="11">
        <v>0</v>
      </c>
      <c r="T88" s="13">
        <v>0</v>
      </c>
      <c r="U88" s="13">
        <v>0</v>
      </c>
      <c r="V88" s="11">
        <v>0</v>
      </c>
      <c r="W88" s="13">
        <v>0</v>
      </c>
      <c r="X88" s="13">
        <v>0</v>
      </c>
      <c r="Y88" s="11">
        <v>0</v>
      </c>
    </row>
    <row r="89" spans="1:25" x14ac:dyDescent="0.3">
      <c r="A89" s="10" t="s">
        <v>151</v>
      </c>
      <c r="B89" s="7">
        <v>2022</v>
      </c>
      <c r="C89" s="11">
        <v>88</v>
      </c>
      <c r="D89" s="7" t="s">
        <v>296</v>
      </c>
      <c r="E89" s="7" t="s">
        <v>83</v>
      </c>
      <c r="F89" s="7" t="s">
        <v>292</v>
      </c>
      <c r="G89" s="12" t="s">
        <v>154</v>
      </c>
      <c r="H89" s="7" t="s">
        <v>155</v>
      </c>
      <c r="I89" s="7" t="s">
        <v>155</v>
      </c>
      <c r="J89" s="7" t="s">
        <v>154</v>
      </c>
      <c r="K89" s="13">
        <v>100</v>
      </c>
      <c r="L89" s="13">
        <v>5</v>
      </c>
      <c r="M89" s="11">
        <v>141</v>
      </c>
      <c r="N89" s="13">
        <v>0</v>
      </c>
      <c r="O89" s="13">
        <v>0</v>
      </c>
      <c r="P89" s="11">
        <v>0</v>
      </c>
      <c r="Q89" s="13">
        <v>0</v>
      </c>
      <c r="R89" s="13">
        <v>0</v>
      </c>
      <c r="S89" s="11">
        <v>0</v>
      </c>
      <c r="T89" s="13">
        <v>0</v>
      </c>
      <c r="U89" s="13">
        <v>0</v>
      </c>
      <c r="V89" s="11">
        <v>0</v>
      </c>
      <c r="W89" s="13">
        <v>0</v>
      </c>
      <c r="X89" s="13">
        <v>0</v>
      </c>
      <c r="Y89" s="11">
        <v>0</v>
      </c>
    </row>
    <row r="90" spans="1:25" x14ac:dyDescent="0.3">
      <c r="A90" s="10" t="s">
        <v>151</v>
      </c>
      <c r="B90" s="7">
        <v>2022</v>
      </c>
      <c r="C90" s="11">
        <v>89</v>
      </c>
      <c r="D90" s="7" t="s">
        <v>297</v>
      </c>
      <c r="E90" s="7" t="s">
        <v>83</v>
      </c>
      <c r="F90" s="7" t="s">
        <v>154</v>
      </c>
      <c r="G90" s="14" t="s">
        <v>298</v>
      </c>
      <c r="H90" s="7" t="s">
        <v>155</v>
      </c>
      <c r="I90" s="7" t="s">
        <v>155</v>
      </c>
      <c r="J90" s="7" t="s">
        <v>154</v>
      </c>
      <c r="K90" s="13">
        <v>0</v>
      </c>
      <c r="L90" s="13">
        <v>0</v>
      </c>
      <c r="M90" s="11">
        <v>0</v>
      </c>
      <c r="N90" s="13">
        <v>0</v>
      </c>
      <c r="O90" s="13">
        <v>0</v>
      </c>
      <c r="P90" s="11">
        <v>0</v>
      </c>
      <c r="Q90" s="13">
        <v>0</v>
      </c>
      <c r="R90" s="13">
        <v>0</v>
      </c>
      <c r="S90" s="11">
        <v>0</v>
      </c>
      <c r="T90" s="13">
        <v>0</v>
      </c>
      <c r="U90" s="13">
        <v>0</v>
      </c>
      <c r="V90" s="11">
        <v>0</v>
      </c>
      <c r="W90" s="13">
        <v>0</v>
      </c>
      <c r="X90" s="13">
        <v>0</v>
      </c>
      <c r="Y90" s="11">
        <v>0</v>
      </c>
    </row>
    <row r="91" spans="1:25" x14ac:dyDescent="0.3">
      <c r="A91" s="10" t="s">
        <v>151</v>
      </c>
      <c r="B91" s="7">
        <v>2022</v>
      </c>
      <c r="C91" s="11">
        <v>90</v>
      </c>
      <c r="D91" s="7" t="s">
        <v>299</v>
      </c>
      <c r="E91" s="7" t="s">
        <v>83</v>
      </c>
      <c r="F91" s="7" t="s">
        <v>300</v>
      </c>
      <c r="G91" s="12" t="s">
        <v>154</v>
      </c>
      <c r="H91" s="7" t="s">
        <v>155</v>
      </c>
      <c r="I91" s="7" t="s">
        <v>155</v>
      </c>
      <c r="J91" s="7" t="s">
        <v>154</v>
      </c>
      <c r="K91" s="13">
        <v>100</v>
      </c>
      <c r="L91" s="13">
        <v>27</v>
      </c>
      <c r="M91" s="11">
        <v>141</v>
      </c>
      <c r="N91" s="13">
        <v>0</v>
      </c>
      <c r="O91" s="13">
        <v>0</v>
      </c>
      <c r="P91" s="11">
        <v>0</v>
      </c>
      <c r="Q91" s="13">
        <v>0</v>
      </c>
      <c r="R91" s="13">
        <v>0</v>
      </c>
      <c r="S91" s="11">
        <v>0</v>
      </c>
      <c r="T91" s="13">
        <v>0</v>
      </c>
      <c r="U91" s="13">
        <v>0</v>
      </c>
      <c r="V91" s="11">
        <v>0</v>
      </c>
      <c r="W91" s="13">
        <v>0</v>
      </c>
      <c r="X91" s="13">
        <v>0</v>
      </c>
      <c r="Y91" s="11">
        <v>0</v>
      </c>
    </row>
    <row r="92" spans="1:25" x14ac:dyDescent="0.3">
      <c r="A92" s="10" t="s">
        <v>151</v>
      </c>
      <c r="B92" s="7">
        <v>2022</v>
      </c>
      <c r="C92" s="11">
        <v>91</v>
      </c>
      <c r="D92" s="7" t="s">
        <v>301</v>
      </c>
      <c r="E92" s="7" t="s">
        <v>83</v>
      </c>
      <c r="F92" s="7" t="s">
        <v>300</v>
      </c>
      <c r="G92" s="12" t="s">
        <v>154</v>
      </c>
      <c r="H92" s="7" t="s">
        <v>155</v>
      </c>
      <c r="I92" s="7" t="s">
        <v>155</v>
      </c>
      <c r="J92" s="7" t="s">
        <v>154</v>
      </c>
      <c r="K92" s="13">
        <v>100</v>
      </c>
      <c r="L92" s="13">
        <v>27</v>
      </c>
      <c r="M92" s="11">
        <v>141</v>
      </c>
      <c r="N92" s="13">
        <v>0</v>
      </c>
      <c r="O92" s="13">
        <v>0</v>
      </c>
      <c r="P92" s="11">
        <v>0</v>
      </c>
      <c r="Q92" s="13">
        <v>0</v>
      </c>
      <c r="R92" s="13">
        <v>0</v>
      </c>
      <c r="S92" s="11">
        <v>0</v>
      </c>
      <c r="T92" s="13">
        <v>0</v>
      </c>
      <c r="U92" s="13">
        <v>0</v>
      </c>
      <c r="V92" s="11">
        <v>0</v>
      </c>
      <c r="W92" s="13">
        <v>0</v>
      </c>
      <c r="X92" s="13">
        <v>0</v>
      </c>
      <c r="Y92" s="11">
        <v>0</v>
      </c>
    </row>
    <row r="93" spans="1:25" x14ac:dyDescent="0.3">
      <c r="A93" s="10" t="s">
        <v>151</v>
      </c>
      <c r="B93" s="7">
        <v>2022</v>
      </c>
      <c r="C93" s="11">
        <v>92</v>
      </c>
      <c r="D93" s="7" t="s">
        <v>302</v>
      </c>
      <c r="E93" s="7" t="s">
        <v>83</v>
      </c>
      <c r="F93" s="7" t="s">
        <v>303</v>
      </c>
      <c r="G93" s="12" t="s">
        <v>154</v>
      </c>
      <c r="H93" s="7" t="s">
        <v>155</v>
      </c>
      <c r="I93" s="7" t="s">
        <v>155</v>
      </c>
      <c r="J93" s="7" t="s">
        <v>154</v>
      </c>
      <c r="K93" s="13">
        <v>100</v>
      </c>
      <c r="L93" s="13">
        <v>27</v>
      </c>
      <c r="M93" s="11">
        <v>141</v>
      </c>
      <c r="N93" s="13">
        <v>29.98</v>
      </c>
      <c r="O93" s="13">
        <v>15</v>
      </c>
      <c r="P93" s="11">
        <v>64</v>
      </c>
      <c r="Q93" s="13">
        <v>29.98</v>
      </c>
      <c r="R93" s="13">
        <v>13</v>
      </c>
      <c r="S93" s="11">
        <v>63</v>
      </c>
      <c r="T93" s="13">
        <v>0</v>
      </c>
      <c r="U93" s="13">
        <v>0</v>
      </c>
      <c r="V93" s="11">
        <v>0</v>
      </c>
      <c r="W93" s="13">
        <v>0</v>
      </c>
      <c r="X93" s="13">
        <v>0</v>
      </c>
      <c r="Y93" s="11">
        <v>0</v>
      </c>
    </row>
    <row r="94" spans="1:25" x14ac:dyDescent="0.3">
      <c r="A94" s="10" t="s">
        <v>151</v>
      </c>
      <c r="B94" s="7">
        <v>2022</v>
      </c>
      <c r="C94" s="11">
        <v>93</v>
      </c>
      <c r="D94" s="7" t="s">
        <v>304</v>
      </c>
      <c r="E94" s="7" t="s">
        <v>83</v>
      </c>
      <c r="F94" s="7" t="s">
        <v>303</v>
      </c>
      <c r="G94" s="12" t="s">
        <v>154</v>
      </c>
      <c r="H94" s="7" t="s">
        <v>155</v>
      </c>
      <c r="I94" s="7" t="s">
        <v>155</v>
      </c>
      <c r="J94" s="7" t="s">
        <v>154</v>
      </c>
      <c r="K94" s="13">
        <v>100</v>
      </c>
      <c r="L94" s="13">
        <v>27</v>
      </c>
      <c r="M94" s="11">
        <v>141</v>
      </c>
      <c r="N94" s="13">
        <v>0</v>
      </c>
      <c r="O94" s="13">
        <v>0</v>
      </c>
      <c r="P94" s="11">
        <v>0</v>
      </c>
      <c r="Q94" s="13">
        <v>0</v>
      </c>
      <c r="R94" s="13">
        <v>0</v>
      </c>
      <c r="S94" s="11">
        <v>0</v>
      </c>
      <c r="T94" s="13">
        <v>0</v>
      </c>
      <c r="U94" s="13">
        <v>0</v>
      </c>
      <c r="V94" s="11">
        <v>0</v>
      </c>
      <c r="W94" s="13">
        <v>0</v>
      </c>
      <c r="X94" s="13">
        <v>0</v>
      </c>
      <c r="Y94" s="11">
        <v>0</v>
      </c>
    </row>
    <row r="95" spans="1:25" x14ac:dyDescent="0.3">
      <c r="A95" s="10" t="s">
        <v>151</v>
      </c>
      <c r="B95" s="7">
        <v>2022</v>
      </c>
      <c r="C95" s="11">
        <v>94</v>
      </c>
      <c r="D95" s="7" t="s">
        <v>305</v>
      </c>
      <c r="E95" s="7" t="s">
        <v>83</v>
      </c>
      <c r="F95" s="7" t="s">
        <v>154</v>
      </c>
      <c r="G95" s="14" t="s">
        <v>306</v>
      </c>
      <c r="H95" s="7" t="s">
        <v>155</v>
      </c>
      <c r="I95" s="7" t="s">
        <v>155</v>
      </c>
      <c r="J95" s="7" t="s">
        <v>154</v>
      </c>
      <c r="K95" s="13">
        <v>0</v>
      </c>
      <c r="L95" s="13">
        <v>0</v>
      </c>
      <c r="M95" s="11">
        <v>0</v>
      </c>
      <c r="N95" s="13">
        <v>0</v>
      </c>
      <c r="O95" s="13">
        <v>0</v>
      </c>
      <c r="P95" s="11">
        <v>0</v>
      </c>
      <c r="Q95" s="13">
        <v>0</v>
      </c>
      <c r="R95" s="13">
        <v>0</v>
      </c>
      <c r="S95" s="11">
        <v>0</v>
      </c>
      <c r="T95" s="13">
        <v>0</v>
      </c>
      <c r="U95" s="13">
        <v>0</v>
      </c>
      <c r="V95" s="11">
        <v>0</v>
      </c>
      <c r="W95" s="13">
        <v>0</v>
      </c>
      <c r="X95" s="13">
        <v>0</v>
      </c>
      <c r="Y95" s="11">
        <v>0</v>
      </c>
    </row>
    <row r="96" spans="1:25" x14ac:dyDescent="0.3">
      <c r="A96" s="10" t="s">
        <v>151</v>
      </c>
      <c r="B96" s="7">
        <v>2022</v>
      </c>
      <c r="C96" s="11">
        <v>95</v>
      </c>
      <c r="D96" s="7" t="s">
        <v>307</v>
      </c>
      <c r="E96" s="7" t="s">
        <v>83</v>
      </c>
      <c r="F96" s="7" t="s">
        <v>154</v>
      </c>
      <c r="G96" s="14" t="s">
        <v>308</v>
      </c>
      <c r="H96" s="7" t="s">
        <v>155</v>
      </c>
      <c r="I96" s="7" t="s">
        <v>155</v>
      </c>
      <c r="J96" s="7" t="s">
        <v>154</v>
      </c>
      <c r="K96" s="13">
        <v>0</v>
      </c>
      <c r="L96" s="13">
        <v>0</v>
      </c>
      <c r="M96" s="11">
        <v>0</v>
      </c>
      <c r="N96" s="13">
        <v>0</v>
      </c>
      <c r="O96" s="13">
        <v>0</v>
      </c>
      <c r="P96" s="11">
        <v>0</v>
      </c>
      <c r="Q96" s="13">
        <v>0</v>
      </c>
      <c r="R96" s="13">
        <v>0</v>
      </c>
      <c r="S96" s="11">
        <v>0</v>
      </c>
      <c r="T96" s="13">
        <v>0</v>
      </c>
      <c r="U96" s="13">
        <v>0</v>
      </c>
      <c r="V96" s="11">
        <v>0</v>
      </c>
      <c r="W96" s="13">
        <v>0</v>
      </c>
      <c r="X96" s="13">
        <v>0</v>
      </c>
      <c r="Y96" s="11">
        <v>0</v>
      </c>
    </row>
    <row r="97" spans="1:25" x14ac:dyDescent="0.3">
      <c r="A97" s="10" t="s">
        <v>151</v>
      </c>
      <c r="B97" s="7">
        <v>2022</v>
      </c>
      <c r="C97" s="11">
        <v>96</v>
      </c>
      <c r="D97" s="7" t="s">
        <v>309</v>
      </c>
      <c r="E97" s="7" t="s">
        <v>83</v>
      </c>
      <c r="F97" s="7" t="s">
        <v>310</v>
      </c>
      <c r="G97" s="12" t="s">
        <v>154</v>
      </c>
      <c r="H97" s="7" t="s">
        <v>155</v>
      </c>
      <c r="I97" s="7" t="s">
        <v>155</v>
      </c>
      <c r="J97" s="7" t="s">
        <v>154</v>
      </c>
      <c r="K97" s="13">
        <v>100</v>
      </c>
      <c r="L97" s="13">
        <v>27</v>
      </c>
      <c r="M97" s="11">
        <v>141</v>
      </c>
      <c r="N97" s="13">
        <v>0</v>
      </c>
      <c r="O97" s="13">
        <v>0</v>
      </c>
      <c r="P97" s="11">
        <v>0</v>
      </c>
      <c r="Q97" s="13">
        <v>0</v>
      </c>
      <c r="R97" s="13">
        <v>0</v>
      </c>
      <c r="S97" s="11">
        <v>0</v>
      </c>
      <c r="T97" s="13">
        <v>0</v>
      </c>
      <c r="U97" s="13">
        <v>0</v>
      </c>
      <c r="V97" s="11">
        <v>0</v>
      </c>
      <c r="W97" s="13">
        <v>0</v>
      </c>
      <c r="X97" s="13">
        <v>0</v>
      </c>
      <c r="Y97" s="11">
        <v>0</v>
      </c>
    </row>
    <row r="98" spans="1:25" x14ac:dyDescent="0.3">
      <c r="A98" s="10" t="s">
        <v>151</v>
      </c>
      <c r="B98" s="7">
        <v>2022</v>
      </c>
      <c r="C98" s="11">
        <v>97</v>
      </c>
      <c r="D98" s="7" t="s">
        <v>311</v>
      </c>
      <c r="E98" s="7" t="s">
        <v>83</v>
      </c>
      <c r="F98" s="7" t="s">
        <v>310</v>
      </c>
      <c r="G98" s="12" t="s">
        <v>154</v>
      </c>
      <c r="H98" s="7" t="s">
        <v>155</v>
      </c>
      <c r="I98" s="7" t="s">
        <v>155</v>
      </c>
      <c r="J98" s="7" t="s">
        <v>154</v>
      </c>
      <c r="K98" s="13">
        <v>100</v>
      </c>
      <c r="L98" s="13">
        <v>27</v>
      </c>
      <c r="M98" s="11">
        <v>141</v>
      </c>
      <c r="N98" s="13">
        <v>0</v>
      </c>
      <c r="O98" s="13">
        <v>0</v>
      </c>
      <c r="P98" s="11">
        <v>0</v>
      </c>
      <c r="Q98" s="13">
        <v>0</v>
      </c>
      <c r="R98" s="13">
        <v>0</v>
      </c>
      <c r="S98" s="11">
        <v>0</v>
      </c>
      <c r="T98" s="13">
        <v>0</v>
      </c>
      <c r="U98" s="13">
        <v>0</v>
      </c>
      <c r="V98" s="11">
        <v>0</v>
      </c>
      <c r="W98" s="13">
        <v>0</v>
      </c>
      <c r="X98" s="13">
        <v>0</v>
      </c>
      <c r="Y98" s="11">
        <v>0</v>
      </c>
    </row>
    <row r="99" spans="1:25" x14ac:dyDescent="0.3">
      <c r="A99" s="10" t="s">
        <v>151</v>
      </c>
      <c r="B99" s="7">
        <v>2022</v>
      </c>
      <c r="C99" s="11">
        <v>98</v>
      </c>
      <c r="D99" s="7" t="s">
        <v>312</v>
      </c>
      <c r="E99" s="7" t="s">
        <v>83</v>
      </c>
      <c r="F99" s="7" t="s">
        <v>310</v>
      </c>
      <c r="G99" s="12" t="s">
        <v>154</v>
      </c>
      <c r="H99" s="7" t="s">
        <v>155</v>
      </c>
      <c r="I99" s="7" t="s">
        <v>155</v>
      </c>
      <c r="J99" s="7" t="s">
        <v>154</v>
      </c>
      <c r="K99" s="13">
        <v>100</v>
      </c>
      <c r="L99" s="13">
        <v>5</v>
      </c>
      <c r="M99" s="11">
        <v>141</v>
      </c>
      <c r="N99" s="13">
        <v>0</v>
      </c>
      <c r="O99" s="13">
        <v>0</v>
      </c>
      <c r="P99" s="11">
        <v>0</v>
      </c>
      <c r="Q99" s="13">
        <v>0</v>
      </c>
      <c r="R99" s="13">
        <v>0</v>
      </c>
      <c r="S99" s="11">
        <v>0</v>
      </c>
      <c r="T99" s="13">
        <v>0</v>
      </c>
      <c r="U99" s="13">
        <v>0</v>
      </c>
      <c r="V99" s="11">
        <v>0</v>
      </c>
      <c r="W99" s="13">
        <v>0</v>
      </c>
      <c r="X99" s="13">
        <v>0</v>
      </c>
      <c r="Y99" s="11">
        <v>0</v>
      </c>
    </row>
    <row r="100" spans="1:25" x14ac:dyDescent="0.3">
      <c r="A100" s="10" t="s">
        <v>151</v>
      </c>
      <c r="B100" s="7">
        <v>2022</v>
      </c>
      <c r="C100" s="11">
        <v>99</v>
      </c>
      <c r="D100" s="7" t="s">
        <v>313</v>
      </c>
      <c r="E100" s="7" t="s">
        <v>83</v>
      </c>
      <c r="F100" s="7" t="s">
        <v>310</v>
      </c>
      <c r="G100" s="12" t="s">
        <v>154</v>
      </c>
      <c r="H100" s="7" t="s">
        <v>155</v>
      </c>
      <c r="I100" s="7" t="s">
        <v>155</v>
      </c>
      <c r="J100" s="7" t="s">
        <v>154</v>
      </c>
      <c r="K100" s="13">
        <v>100</v>
      </c>
      <c r="L100" s="13">
        <v>27</v>
      </c>
      <c r="M100" s="11">
        <v>141</v>
      </c>
      <c r="N100" s="13">
        <v>0</v>
      </c>
      <c r="O100" s="13">
        <v>0</v>
      </c>
      <c r="P100" s="11">
        <v>0</v>
      </c>
      <c r="Q100" s="13">
        <v>0</v>
      </c>
      <c r="R100" s="13">
        <v>0</v>
      </c>
      <c r="S100" s="11">
        <v>0</v>
      </c>
      <c r="T100" s="13">
        <v>0</v>
      </c>
      <c r="U100" s="13">
        <v>0</v>
      </c>
      <c r="V100" s="11">
        <v>0</v>
      </c>
      <c r="W100" s="13">
        <v>0</v>
      </c>
      <c r="X100" s="13">
        <v>0</v>
      </c>
      <c r="Y100" s="11">
        <v>0</v>
      </c>
    </row>
    <row r="101" spans="1:25" x14ac:dyDescent="0.3">
      <c r="A101" s="10" t="s">
        <v>151</v>
      </c>
      <c r="B101" s="7">
        <v>2022</v>
      </c>
      <c r="C101" s="11">
        <v>100</v>
      </c>
      <c r="D101" s="7" t="s">
        <v>314</v>
      </c>
      <c r="E101" s="7" t="s">
        <v>83</v>
      </c>
      <c r="F101" s="7" t="s">
        <v>310</v>
      </c>
      <c r="G101" s="12" t="s">
        <v>154</v>
      </c>
      <c r="H101" s="7" t="s">
        <v>155</v>
      </c>
      <c r="I101" s="7" t="s">
        <v>155</v>
      </c>
      <c r="J101" s="7" t="s">
        <v>154</v>
      </c>
      <c r="K101" s="13">
        <v>0</v>
      </c>
      <c r="L101" s="13">
        <v>0</v>
      </c>
      <c r="M101" s="11">
        <v>0</v>
      </c>
      <c r="N101" s="13">
        <v>0</v>
      </c>
      <c r="O101" s="13">
        <v>0</v>
      </c>
      <c r="P101" s="11">
        <v>0</v>
      </c>
      <c r="Q101" s="13">
        <v>0</v>
      </c>
      <c r="R101" s="13">
        <v>0</v>
      </c>
      <c r="S101" s="11">
        <v>0</v>
      </c>
      <c r="T101" s="13">
        <v>0</v>
      </c>
      <c r="U101" s="13">
        <v>0</v>
      </c>
      <c r="V101" s="11">
        <v>0</v>
      </c>
      <c r="W101" s="13">
        <v>0</v>
      </c>
      <c r="X101" s="13">
        <v>0</v>
      </c>
      <c r="Y101" s="11">
        <v>0</v>
      </c>
    </row>
    <row r="102" spans="1:25" x14ac:dyDescent="0.3">
      <c r="A102" s="10" t="s">
        <v>151</v>
      </c>
      <c r="B102" s="7">
        <v>2022</v>
      </c>
      <c r="C102" s="11">
        <v>101</v>
      </c>
      <c r="D102" s="7" t="s">
        <v>315</v>
      </c>
      <c r="E102" s="7" t="s">
        <v>83</v>
      </c>
      <c r="F102" s="7" t="s">
        <v>154</v>
      </c>
      <c r="G102" s="14" t="s">
        <v>316</v>
      </c>
      <c r="H102" s="7" t="s">
        <v>155</v>
      </c>
      <c r="I102" s="7" t="s">
        <v>155</v>
      </c>
      <c r="J102" s="7" t="s">
        <v>154</v>
      </c>
      <c r="K102" s="13">
        <v>0</v>
      </c>
      <c r="L102" s="13">
        <v>0</v>
      </c>
      <c r="M102" s="11">
        <v>0</v>
      </c>
      <c r="N102" s="13">
        <v>0</v>
      </c>
      <c r="O102" s="13">
        <v>0</v>
      </c>
      <c r="P102" s="11">
        <v>0</v>
      </c>
      <c r="Q102" s="13">
        <v>0</v>
      </c>
      <c r="R102" s="13">
        <v>0</v>
      </c>
      <c r="S102" s="11">
        <v>0</v>
      </c>
      <c r="T102" s="13">
        <v>0</v>
      </c>
      <c r="U102" s="13">
        <v>0</v>
      </c>
      <c r="V102" s="11">
        <v>0</v>
      </c>
      <c r="W102" s="13">
        <v>0</v>
      </c>
      <c r="X102" s="13">
        <v>0</v>
      </c>
      <c r="Y102" s="11">
        <v>0</v>
      </c>
    </row>
    <row r="103" spans="1:25" x14ac:dyDescent="0.3">
      <c r="A103" s="10" t="s">
        <v>151</v>
      </c>
      <c r="B103" s="7">
        <v>2022</v>
      </c>
      <c r="C103" s="11">
        <v>102</v>
      </c>
      <c r="D103" s="7" t="s">
        <v>317</v>
      </c>
      <c r="E103" s="7" t="s">
        <v>83</v>
      </c>
      <c r="F103" s="7" t="s">
        <v>318</v>
      </c>
      <c r="G103" s="12" t="s">
        <v>154</v>
      </c>
      <c r="H103" s="7" t="s">
        <v>155</v>
      </c>
      <c r="I103" s="7" t="s">
        <v>155</v>
      </c>
      <c r="J103" s="7" t="s">
        <v>154</v>
      </c>
      <c r="K103" s="13">
        <v>100</v>
      </c>
      <c r="L103" s="13">
        <v>27</v>
      </c>
      <c r="M103" s="11">
        <v>141</v>
      </c>
      <c r="N103" s="13">
        <v>0</v>
      </c>
      <c r="O103" s="13">
        <v>0</v>
      </c>
      <c r="P103" s="11">
        <v>0</v>
      </c>
      <c r="Q103" s="13">
        <v>0</v>
      </c>
      <c r="R103" s="13">
        <v>0</v>
      </c>
      <c r="S103" s="11">
        <v>0</v>
      </c>
      <c r="T103" s="13">
        <v>0</v>
      </c>
      <c r="U103" s="13">
        <v>0</v>
      </c>
      <c r="V103" s="11">
        <v>0</v>
      </c>
      <c r="W103" s="13">
        <v>0</v>
      </c>
      <c r="X103" s="13">
        <v>0</v>
      </c>
      <c r="Y103" s="11">
        <v>0</v>
      </c>
    </row>
    <row r="104" spans="1:25" x14ac:dyDescent="0.3">
      <c r="A104" s="10" t="s">
        <v>151</v>
      </c>
      <c r="B104" s="7">
        <v>2022</v>
      </c>
      <c r="C104" s="11">
        <v>103</v>
      </c>
      <c r="D104" s="7" t="s">
        <v>319</v>
      </c>
      <c r="E104" s="7" t="s">
        <v>83</v>
      </c>
      <c r="F104" s="7" t="s">
        <v>154</v>
      </c>
      <c r="G104" s="14" t="s">
        <v>1773</v>
      </c>
      <c r="H104" s="7" t="s">
        <v>155</v>
      </c>
      <c r="I104" s="7" t="s">
        <v>155</v>
      </c>
      <c r="J104" s="7" t="s">
        <v>154</v>
      </c>
      <c r="K104" s="13">
        <v>0</v>
      </c>
      <c r="L104" s="13">
        <v>0</v>
      </c>
      <c r="M104" s="11">
        <v>0</v>
      </c>
      <c r="N104" s="13">
        <v>0</v>
      </c>
      <c r="O104" s="13">
        <v>0</v>
      </c>
      <c r="P104" s="11">
        <v>0</v>
      </c>
      <c r="Q104" s="13">
        <v>0</v>
      </c>
      <c r="R104" s="13">
        <v>0</v>
      </c>
      <c r="S104" s="11">
        <v>0</v>
      </c>
      <c r="T104" s="13">
        <v>0</v>
      </c>
      <c r="U104" s="13">
        <v>0</v>
      </c>
      <c r="V104" s="11">
        <v>0</v>
      </c>
      <c r="W104" s="13">
        <v>0</v>
      </c>
      <c r="X104" s="13">
        <v>0</v>
      </c>
      <c r="Y104" s="11">
        <v>0</v>
      </c>
    </row>
    <row r="105" spans="1:25" x14ac:dyDescent="0.3">
      <c r="A105" s="10" t="s">
        <v>151</v>
      </c>
      <c r="B105" s="7">
        <v>2022</v>
      </c>
      <c r="C105" s="11">
        <v>104</v>
      </c>
      <c r="D105" s="7" t="s">
        <v>320</v>
      </c>
      <c r="E105" s="7" t="s">
        <v>83</v>
      </c>
      <c r="F105" s="7" t="s">
        <v>321</v>
      </c>
      <c r="G105" s="12" t="s">
        <v>154</v>
      </c>
      <c r="H105" s="7" t="s">
        <v>155</v>
      </c>
      <c r="I105" s="7" t="s">
        <v>155</v>
      </c>
      <c r="J105" s="7" t="s">
        <v>154</v>
      </c>
      <c r="K105" s="13">
        <v>100</v>
      </c>
      <c r="L105" s="13">
        <v>27</v>
      </c>
      <c r="M105" s="11">
        <v>141</v>
      </c>
      <c r="N105" s="13">
        <v>0</v>
      </c>
      <c r="O105" s="13">
        <v>0</v>
      </c>
      <c r="P105" s="11">
        <v>0</v>
      </c>
      <c r="Q105" s="13">
        <v>0</v>
      </c>
      <c r="R105" s="13">
        <v>0</v>
      </c>
      <c r="S105" s="11">
        <v>0</v>
      </c>
      <c r="T105" s="13">
        <v>0</v>
      </c>
      <c r="U105" s="13">
        <v>0</v>
      </c>
      <c r="V105" s="11">
        <v>0</v>
      </c>
      <c r="W105" s="13">
        <v>0</v>
      </c>
      <c r="X105" s="13">
        <v>0</v>
      </c>
      <c r="Y105" s="11">
        <v>0</v>
      </c>
    </row>
    <row r="106" spans="1:25" x14ac:dyDescent="0.3">
      <c r="A106" s="10" t="s">
        <v>151</v>
      </c>
      <c r="B106" s="7">
        <v>2022</v>
      </c>
      <c r="C106" s="11">
        <v>105</v>
      </c>
      <c r="D106" s="7" t="s">
        <v>322</v>
      </c>
      <c r="E106" s="7" t="s">
        <v>83</v>
      </c>
      <c r="F106" s="7" t="s">
        <v>323</v>
      </c>
      <c r="G106" s="12" t="s">
        <v>154</v>
      </c>
      <c r="H106" s="7" t="s">
        <v>155</v>
      </c>
      <c r="I106" s="7" t="s">
        <v>155</v>
      </c>
      <c r="J106" s="7" t="s">
        <v>154</v>
      </c>
      <c r="K106" s="13">
        <v>100</v>
      </c>
      <c r="L106" s="13">
        <v>27</v>
      </c>
      <c r="M106" s="11">
        <v>141</v>
      </c>
      <c r="N106" s="13">
        <v>0</v>
      </c>
      <c r="O106" s="13">
        <v>0</v>
      </c>
      <c r="P106" s="11">
        <v>0</v>
      </c>
      <c r="Q106" s="13">
        <v>0</v>
      </c>
      <c r="R106" s="13">
        <v>0</v>
      </c>
      <c r="S106" s="11">
        <v>0</v>
      </c>
      <c r="T106" s="13">
        <v>0</v>
      </c>
      <c r="U106" s="13">
        <v>0</v>
      </c>
      <c r="V106" s="11">
        <v>0</v>
      </c>
      <c r="W106" s="13">
        <v>0</v>
      </c>
      <c r="X106" s="13">
        <v>0</v>
      </c>
      <c r="Y106" s="11">
        <v>0</v>
      </c>
    </row>
    <row r="107" spans="1:25" x14ac:dyDescent="0.3">
      <c r="A107" s="10" t="s">
        <v>151</v>
      </c>
      <c r="B107" s="7">
        <v>2022</v>
      </c>
      <c r="C107" s="11">
        <v>106</v>
      </c>
      <c r="D107" s="7" t="s">
        <v>324</v>
      </c>
      <c r="E107" s="7" t="s">
        <v>83</v>
      </c>
      <c r="F107" s="7" t="s">
        <v>323</v>
      </c>
      <c r="G107" s="12" t="s">
        <v>154</v>
      </c>
      <c r="H107" s="7" t="s">
        <v>155</v>
      </c>
      <c r="I107" s="7" t="s">
        <v>155</v>
      </c>
      <c r="J107" s="7" t="s">
        <v>154</v>
      </c>
      <c r="K107" s="13">
        <v>0</v>
      </c>
      <c r="L107" s="13">
        <v>0</v>
      </c>
      <c r="M107" s="11">
        <v>0</v>
      </c>
      <c r="N107" s="13">
        <v>0</v>
      </c>
      <c r="O107" s="13">
        <v>0</v>
      </c>
      <c r="P107" s="11">
        <v>0</v>
      </c>
      <c r="Q107" s="13">
        <v>0</v>
      </c>
      <c r="R107" s="13">
        <v>0</v>
      </c>
      <c r="S107" s="11">
        <v>0</v>
      </c>
      <c r="T107" s="13">
        <v>0</v>
      </c>
      <c r="U107" s="13">
        <v>0</v>
      </c>
      <c r="V107" s="11">
        <v>0</v>
      </c>
      <c r="W107" s="13">
        <v>0</v>
      </c>
      <c r="X107" s="13">
        <v>0</v>
      </c>
      <c r="Y107" s="11">
        <v>0</v>
      </c>
    </row>
    <row r="108" spans="1:25" x14ac:dyDescent="0.3">
      <c r="A108" s="10" t="s">
        <v>151</v>
      </c>
      <c r="B108" s="7">
        <v>2022</v>
      </c>
      <c r="C108" s="11">
        <v>107</v>
      </c>
      <c r="D108" s="7" t="s">
        <v>325</v>
      </c>
      <c r="E108" s="7" t="s">
        <v>83</v>
      </c>
      <c r="F108" s="7" t="s">
        <v>154</v>
      </c>
      <c r="G108" s="14" t="s">
        <v>326</v>
      </c>
      <c r="H108" s="7" t="s">
        <v>155</v>
      </c>
      <c r="I108" s="7" t="s">
        <v>155</v>
      </c>
      <c r="J108" s="7" t="s">
        <v>154</v>
      </c>
      <c r="K108" s="13">
        <v>0</v>
      </c>
      <c r="L108" s="13">
        <v>0</v>
      </c>
      <c r="M108" s="11">
        <v>0</v>
      </c>
      <c r="N108" s="13">
        <v>0</v>
      </c>
      <c r="O108" s="13">
        <v>0</v>
      </c>
      <c r="P108" s="11">
        <v>0</v>
      </c>
      <c r="Q108" s="13">
        <v>0</v>
      </c>
      <c r="R108" s="13">
        <v>0</v>
      </c>
      <c r="S108" s="11">
        <v>0</v>
      </c>
      <c r="T108" s="13">
        <v>0</v>
      </c>
      <c r="U108" s="13">
        <v>0</v>
      </c>
      <c r="V108" s="11">
        <v>0</v>
      </c>
      <c r="W108" s="13">
        <v>0</v>
      </c>
      <c r="X108" s="13">
        <v>0</v>
      </c>
      <c r="Y108" s="11">
        <v>0</v>
      </c>
    </row>
    <row r="109" spans="1:25" x14ac:dyDescent="0.3">
      <c r="A109" s="10" t="s">
        <v>151</v>
      </c>
      <c r="B109" s="7">
        <v>2022</v>
      </c>
      <c r="C109" s="11">
        <v>108</v>
      </c>
      <c r="D109" s="7" t="s">
        <v>327</v>
      </c>
      <c r="E109" s="7" t="s">
        <v>83</v>
      </c>
      <c r="F109" s="7" t="s">
        <v>328</v>
      </c>
      <c r="G109" s="12" t="s">
        <v>154</v>
      </c>
      <c r="H109" s="7" t="s">
        <v>155</v>
      </c>
      <c r="I109" s="7" t="s">
        <v>155</v>
      </c>
      <c r="J109" s="7" t="s">
        <v>154</v>
      </c>
      <c r="K109" s="13">
        <v>100</v>
      </c>
      <c r="L109" s="13">
        <v>27</v>
      </c>
      <c r="M109" s="11">
        <v>141</v>
      </c>
      <c r="N109" s="13">
        <v>0</v>
      </c>
      <c r="O109" s="13">
        <v>0</v>
      </c>
      <c r="P109" s="11">
        <v>0</v>
      </c>
      <c r="Q109" s="13">
        <v>0</v>
      </c>
      <c r="R109" s="13">
        <v>0</v>
      </c>
      <c r="S109" s="11">
        <v>0</v>
      </c>
      <c r="T109" s="13">
        <v>0</v>
      </c>
      <c r="U109" s="13">
        <v>0</v>
      </c>
      <c r="V109" s="11">
        <v>0</v>
      </c>
      <c r="W109" s="13">
        <v>0</v>
      </c>
      <c r="X109" s="13">
        <v>0</v>
      </c>
      <c r="Y109" s="11">
        <v>0</v>
      </c>
    </row>
    <row r="110" spans="1:25" x14ac:dyDescent="0.3">
      <c r="A110" s="10" t="s">
        <v>151</v>
      </c>
      <c r="B110" s="7">
        <v>2022</v>
      </c>
      <c r="C110" s="11">
        <v>109</v>
      </c>
      <c r="D110" s="7" t="s">
        <v>329</v>
      </c>
      <c r="E110" s="7" t="s">
        <v>83</v>
      </c>
      <c r="F110" s="7" t="s">
        <v>328</v>
      </c>
      <c r="G110" s="12" t="s">
        <v>154</v>
      </c>
      <c r="H110" s="7" t="s">
        <v>155</v>
      </c>
      <c r="I110" s="7" t="s">
        <v>155</v>
      </c>
      <c r="J110" s="7" t="s">
        <v>154</v>
      </c>
      <c r="K110" s="13">
        <v>100</v>
      </c>
      <c r="L110" s="13">
        <v>27</v>
      </c>
      <c r="M110" s="11">
        <v>141</v>
      </c>
      <c r="N110" s="13">
        <v>0</v>
      </c>
      <c r="O110" s="13">
        <v>0</v>
      </c>
      <c r="P110" s="11">
        <v>0</v>
      </c>
      <c r="Q110" s="13">
        <v>0</v>
      </c>
      <c r="R110" s="13">
        <v>0</v>
      </c>
      <c r="S110" s="11">
        <v>0</v>
      </c>
      <c r="T110" s="13">
        <v>0</v>
      </c>
      <c r="U110" s="13">
        <v>0</v>
      </c>
      <c r="V110" s="11">
        <v>0</v>
      </c>
      <c r="W110" s="13">
        <v>0</v>
      </c>
      <c r="X110" s="13">
        <v>0</v>
      </c>
      <c r="Y110" s="11">
        <v>0</v>
      </c>
    </row>
    <row r="111" spans="1:25" x14ac:dyDescent="0.3">
      <c r="A111" s="10" t="s">
        <v>151</v>
      </c>
      <c r="B111" s="7">
        <v>2022</v>
      </c>
      <c r="C111" s="11">
        <v>110</v>
      </c>
      <c r="D111" s="7" t="s">
        <v>330</v>
      </c>
      <c r="E111" s="7" t="s">
        <v>83</v>
      </c>
      <c r="F111" s="7" t="s">
        <v>328</v>
      </c>
      <c r="G111" s="12" t="s">
        <v>154</v>
      </c>
      <c r="H111" s="7" t="s">
        <v>155</v>
      </c>
      <c r="I111" s="7" t="s">
        <v>155</v>
      </c>
      <c r="J111" s="7" t="s">
        <v>154</v>
      </c>
      <c r="K111" s="13">
        <v>100</v>
      </c>
      <c r="L111" s="13">
        <v>27</v>
      </c>
      <c r="M111" s="11">
        <v>141</v>
      </c>
      <c r="N111" s="13">
        <v>0</v>
      </c>
      <c r="O111" s="13">
        <v>0</v>
      </c>
      <c r="P111" s="11">
        <v>0</v>
      </c>
      <c r="Q111" s="13">
        <v>0</v>
      </c>
      <c r="R111" s="13">
        <v>0</v>
      </c>
      <c r="S111" s="11">
        <v>0</v>
      </c>
      <c r="T111" s="13">
        <v>0</v>
      </c>
      <c r="U111" s="13">
        <v>0</v>
      </c>
      <c r="V111" s="11">
        <v>0</v>
      </c>
      <c r="W111" s="13">
        <v>0</v>
      </c>
      <c r="X111" s="13">
        <v>0</v>
      </c>
      <c r="Y111" s="11">
        <v>0</v>
      </c>
    </row>
    <row r="112" spans="1:25" x14ac:dyDescent="0.3">
      <c r="A112" s="10" t="s">
        <v>151</v>
      </c>
      <c r="B112" s="7">
        <v>2022</v>
      </c>
      <c r="C112" s="11">
        <v>111</v>
      </c>
      <c r="D112" s="7" t="s">
        <v>331</v>
      </c>
      <c r="E112" s="7" t="s">
        <v>83</v>
      </c>
      <c r="F112" s="7" t="s">
        <v>154</v>
      </c>
      <c r="G112" s="14" t="s">
        <v>332</v>
      </c>
      <c r="H112" s="7" t="s">
        <v>155</v>
      </c>
      <c r="I112" s="7" t="s">
        <v>155</v>
      </c>
      <c r="J112" s="7" t="s">
        <v>154</v>
      </c>
      <c r="K112" s="13">
        <v>0</v>
      </c>
      <c r="L112" s="13">
        <v>0</v>
      </c>
      <c r="M112" s="11">
        <v>0</v>
      </c>
      <c r="N112" s="13">
        <v>0</v>
      </c>
      <c r="O112" s="13">
        <v>0</v>
      </c>
      <c r="P112" s="11">
        <v>0</v>
      </c>
      <c r="Q112" s="13">
        <v>0</v>
      </c>
      <c r="R112" s="13">
        <v>0</v>
      </c>
      <c r="S112" s="11">
        <v>0</v>
      </c>
      <c r="T112" s="13">
        <v>0</v>
      </c>
      <c r="U112" s="13">
        <v>0</v>
      </c>
      <c r="V112" s="11">
        <v>0</v>
      </c>
      <c r="W112" s="13">
        <v>0</v>
      </c>
      <c r="X112" s="13">
        <v>0</v>
      </c>
      <c r="Y112" s="11">
        <v>0</v>
      </c>
    </row>
    <row r="113" spans="1:25" x14ac:dyDescent="0.3">
      <c r="A113" s="10" t="s">
        <v>151</v>
      </c>
      <c r="B113" s="7">
        <v>2022</v>
      </c>
      <c r="C113" s="11">
        <v>112</v>
      </c>
      <c r="D113" s="7" t="s">
        <v>333</v>
      </c>
      <c r="E113" s="7" t="s">
        <v>83</v>
      </c>
      <c r="F113" s="7" t="s">
        <v>334</v>
      </c>
      <c r="G113" s="12" t="s">
        <v>154</v>
      </c>
      <c r="H113" s="7" t="s">
        <v>155</v>
      </c>
      <c r="I113" s="7" t="s">
        <v>155</v>
      </c>
      <c r="J113" s="7" t="s">
        <v>154</v>
      </c>
      <c r="K113" s="13">
        <v>100</v>
      </c>
      <c r="L113" s="13">
        <v>27</v>
      </c>
      <c r="M113" s="11">
        <v>141</v>
      </c>
      <c r="N113" s="13">
        <v>0</v>
      </c>
      <c r="O113" s="13">
        <v>0</v>
      </c>
      <c r="P113" s="11">
        <v>0</v>
      </c>
      <c r="Q113" s="13">
        <v>0</v>
      </c>
      <c r="R113" s="13">
        <v>0</v>
      </c>
      <c r="S113" s="11">
        <v>0</v>
      </c>
      <c r="T113" s="13">
        <v>0</v>
      </c>
      <c r="U113" s="13">
        <v>0</v>
      </c>
      <c r="V113" s="11">
        <v>0</v>
      </c>
      <c r="W113" s="13">
        <v>0</v>
      </c>
      <c r="X113" s="13">
        <v>0</v>
      </c>
      <c r="Y113" s="11">
        <v>0</v>
      </c>
    </row>
    <row r="114" spans="1:25" x14ac:dyDescent="0.3">
      <c r="A114" s="10" t="s">
        <v>151</v>
      </c>
      <c r="B114" s="7">
        <v>2022</v>
      </c>
      <c r="C114" s="11">
        <v>113</v>
      </c>
      <c r="D114" s="7" t="s">
        <v>335</v>
      </c>
      <c r="E114" s="7" t="s">
        <v>83</v>
      </c>
      <c r="F114" s="7" t="s">
        <v>336</v>
      </c>
      <c r="G114" s="12" t="s">
        <v>154</v>
      </c>
      <c r="H114" s="7" t="s">
        <v>155</v>
      </c>
      <c r="I114" s="7" t="s">
        <v>155</v>
      </c>
      <c r="J114" s="7" t="s">
        <v>154</v>
      </c>
      <c r="K114" s="13">
        <v>100</v>
      </c>
      <c r="L114" s="13">
        <v>27</v>
      </c>
      <c r="M114" s="11">
        <v>141</v>
      </c>
      <c r="N114" s="13">
        <v>0</v>
      </c>
      <c r="O114" s="13">
        <v>0</v>
      </c>
      <c r="P114" s="11">
        <v>0</v>
      </c>
      <c r="Q114" s="13">
        <v>0</v>
      </c>
      <c r="R114" s="13">
        <v>0</v>
      </c>
      <c r="S114" s="11">
        <v>0</v>
      </c>
      <c r="T114" s="13">
        <v>0</v>
      </c>
      <c r="U114" s="13">
        <v>0</v>
      </c>
      <c r="V114" s="11">
        <v>0</v>
      </c>
      <c r="W114" s="13">
        <v>0</v>
      </c>
      <c r="X114" s="13">
        <v>0</v>
      </c>
      <c r="Y114" s="11">
        <v>0</v>
      </c>
    </row>
    <row r="115" spans="1:25" x14ac:dyDescent="0.3">
      <c r="A115" s="10" t="s">
        <v>151</v>
      </c>
      <c r="B115" s="7">
        <v>2022</v>
      </c>
      <c r="C115" s="11">
        <v>114</v>
      </c>
      <c r="D115" s="7" t="s">
        <v>337</v>
      </c>
      <c r="E115" s="7" t="s">
        <v>83</v>
      </c>
      <c r="F115" s="7" t="s">
        <v>154</v>
      </c>
      <c r="G115" s="14" t="s">
        <v>338</v>
      </c>
      <c r="H115" s="7" t="s">
        <v>155</v>
      </c>
      <c r="I115" s="7" t="s">
        <v>155</v>
      </c>
      <c r="J115" s="7" t="s">
        <v>154</v>
      </c>
      <c r="K115" s="13">
        <v>0</v>
      </c>
      <c r="L115" s="13">
        <v>0</v>
      </c>
      <c r="M115" s="11">
        <v>0</v>
      </c>
      <c r="N115" s="13">
        <v>0</v>
      </c>
      <c r="O115" s="13">
        <v>0</v>
      </c>
      <c r="P115" s="11">
        <v>0</v>
      </c>
      <c r="Q115" s="13">
        <v>0</v>
      </c>
      <c r="R115" s="13">
        <v>0</v>
      </c>
      <c r="S115" s="11">
        <v>0</v>
      </c>
      <c r="T115" s="13">
        <v>0</v>
      </c>
      <c r="U115" s="13">
        <v>0</v>
      </c>
      <c r="V115" s="11">
        <v>0</v>
      </c>
      <c r="W115" s="13">
        <v>0</v>
      </c>
      <c r="X115" s="13">
        <v>0</v>
      </c>
      <c r="Y115" s="11">
        <v>0</v>
      </c>
    </row>
    <row r="116" spans="1:25" x14ac:dyDescent="0.3">
      <c r="A116" s="10" t="s">
        <v>151</v>
      </c>
      <c r="B116" s="7">
        <v>2022</v>
      </c>
      <c r="C116" s="11">
        <v>115</v>
      </c>
      <c r="D116" s="7" t="s">
        <v>339</v>
      </c>
      <c r="E116" s="7" t="s">
        <v>83</v>
      </c>
      <c r="F116" s="7" t="s">
        <v>340</v>
      </c>
      <c r="G116" s="12" t="s">
        <v>154</v>
      </c>
      <c r="H116" s="7" t="s">
        <v>155</v>
      </c>
      <c r="I116" s="7" t="s">
        <v>155</v>
      </c>
      <c r="J116" s="7" t="s">
        <v>154</v>
      </c>
      <c r="K116" s="13">
        <v>100</v>
      </c>
      <c r="L116" s="13">
        <v>27</v>
      </c>
      <c r="M116" s="11">
        <v>141</v>
      </c>
      <c r="N116" s="13">
        <v>0</v>
      </c>
      <c r="O116" s="13">
        <v>0</v>
      </c>
      <c r="P116" s="11">
        <v>0</v>
      </c>
      <c r="Q116" s="13">
        <v>0</v>
      </c>
      <c r="R116" s="13">
        <v>0</v>
      </c>
      <c r="S116" s="11">
        <v>0</v>
      </c>
      <c r="T116" s="13">
        <v>0</v>
      </c>
      <c r="U116" s="13">
        <v>0</v>
      </c>
      <c r="V116" s="11">
        <v>0</v>
      </c>
      <c r="W116" s="13">
        <v>0</v>
      </c>
      <c r="X116" s="13">
        <v>0</v>
      </c>
      <c r="Y116" s="11">
        <v>0</v>
      </c>
    </row>
    <row r="117" spans="1:25" x14ac:dyDescent="0.3">
      <c r="A117" s="10" t="s">
        <v>151</v>
      </c>
      <c r="B117" s="7">
        <v>2022</v>
      </c>
      <c r="C117" s="11">
        <v>116</v>
      </c>
      <c r="D117" s="7" t="s">
        <v>341</v>
      </c>
      <c r="E117" s="7" t="s">
        <v>83</v>
      </c>
      <c r="F117" s="7" t="s">
        <v>340</v>
      </c>
      <c r="G117" s="12" t="s">
        <v>154</v>
      </c>
      <c r="H117" s="7" t="s">
        <v>155</v>
      </c>
      <c r="I117" s="7" t="s">
        <v>155</v>
      </c>
      <c r="J117" s="7" t="s">
        <v>154</v>
      </c>
      <c r="K117" s="13">
        <v>100</v>
      </c>
      <c r="L117" s="13">
        <v>27</v>
      </c>
      <c r="M117" s="11">
        <v>141</v>
      </c>
      <c r="N117" s="13">
        <v>0</v>
      </c>
      <c r="O117" s="13">
        <v>0</v>
      </c>
      <c r="P117" s="11">
        <v>0</v>
      </c>
      <c r="Q117" s="13">
        <v>0</v>
      </c>
      <c r="R117" s="13">
        <v>0</v>
      </c>
      <c r="S117" s="11">
        <v>0</v>
      </c>
      <c r="T117" s="13">
        <v>0</v>
      </c>
      <c r="U117" s="13">
        <v>0</v>
      </c>
      <c r="V117" s="11">
        <v>0</v>
      </c>
      <c r="W117" s="13">
        <v>0</v>
      </c>
      <c r="X117" s="13">
        <v>0</v>
      </c>
      <c r="Y117" s="11">
        <v>0</v>
      </c>
    </row>
    <row r="118" spans="1:25" x14ac:dyDescent="0.3">
      <c r="A118" s="10" t="s">
        <v>151</v>
      </c>
      <c r="B118" s="7">
        <v>2022</v>
      </c>
      <c r="C118" s="405">
        <v>117</v>
      </c>
      <c r="D118" s="7" t="s">
        <v>3442</v>
      </c>
      <c r="E118" s="7" t="s">
        <v>83</v>
      </c>
      <c r="F118" s="7" t="s">
        <v>340</v>
      </c>
      <c r="G118" s="12" t="s">
        <v>154</v>
      </c>
      <c r="H118" s="7" t="s">
        <v>155</v>
      </c>
      <c r="I118" s="7" t="s">
        <v>155</v>
      </c>
      <c r="J118" s="7" t="s">
        <v>154</v>
      </c>
      <c r="K118" s="13">
        <v>0</v>
      </c>
      <c r="L118" s="13">
        <v>0</v>
      </c>
      <c r="M118" s="11">
        <v>0</v>
      </c>
      <c r="N118" s="13">
        <v>0</v>
      </c>
      <c r="O118" s="13">
        <v>0</v>
      </c>
      <c r="P118" s="11">
        <v>0</v>
      </c>
      <c r="Q118" s="13">
        <v>0</v>
      </c>
      <c r="R118" s="13">
        <v>0</v>
      </c>
      <c r="S118" s="11">
        <v>0</v>
      </c>
      <c r="T118" s="13">
        <v>0</v>
      </c>
      <c r="U118" s="13">
        <v>0</v>
      </c>
      <c r="V118" s="11">
        <v>0</v>
      </c>
      <c r="W118" s="13">
        <v>0</v>
      </c>
      <c r="X118" s="13">
        <v>0</v>
      </c>
      <c r="Y118" s="11">
        <v>0</v>
      </c>
    </row>
    <row r="119" spans="1:25" x14ac:dyDescent="0.3">
      <c r="A119" s="10" t="s">
        <v>151</v>
      </c>
      <c r="B119" s="7">
        <v>2022</v>
      </c>
      <c r="C119" s="405">
        <v>118</v>
      </c>
      <c r="D119" s="7" t="s">
        <v>3443</v>
      </c>
      <c r="E119" s="7" t="s">
        <v>83</v>
      </c>
      <c r="F119" s="7" t="s">
        <v>340</v>
      </c>
      <c r="G119" s="12" t="s">
        <v>154</v>
      </c>
      <c r="H119" s="7" t="s">
        <v>155</v>
      </c>
      <c r="I119" s="7" t="s">
        <v>155</v>
      </c>
      <c r="J119" s="7" t="s">
        <v>154</v>
      </c>
      <c r="K119" s="13">
        <v>100</v>
      </c>
      <c r="L119" s="13">
        <v>27</v>
      </c>
      <c r="M119" s="11">
        <v>141</v>
      </c>
      <c r="N119" s="13">
        <v>0</v>
      </c>
      <c r="O119" s="13">
        <v>0</v>
      </c>
      <c r="P119" s="11">
        <v>0</v>
      </c>
      <c r="Q119" s="13">
        <v>0</v>
      </c>
      <c r="R119" s="13">
        <v>0</v>
      </c>
      <c r="S119" s="11">
        <v>0</v>
      </c>
      <c r="T119" s="13">
        <v>0</v>
      </c>
      <c r="U119" s="13">
        <v>0</v>
      </c>
      <c r="V119" s="11">
        <v>0</v>
      </c>
      <c r="W119" s="13">
        <v>0</v>
      </c>
      <c r="X119" s="13">
        <v>0</v>
      </c>
      <c r="Y119" s="11">
        <v>0</v>
      </c>
    </row>
    <row r="120" spans="1:25" x14ac:dyDescent="0.3">
      <c r="A120" s="10" t="s">
        <v>151</v>
      </c>
      <c r="B120" s="7">
        <v>2022</v>
      </c>
      <c r="C120" s="11">
        <v>119</v>
      </c>
      <c r="D120" s="7" t="s">
        <v>344</v>
      </c>
      <c r="E120" s="7" t="s">
        <v>83</v>
      </c>
      <c r="F120" s="7" t="s">
        <v>340</v>
      </c>
      <c r="G120" s="12" t="s">
        <v>154</v>
      </c>
      <c r="H120" s="7" t="s">
        <v>155</v>
      </c>
      <c r="I120" s="7" t="s">
        <v>155</v>
      </c>
      <c r="J120" s="7" t="s">
        <v>154</v>
      </c>
      <c r="K120" s="13">
        <v>100</v>
      </c>
      <c r="L120" s="13">
        <v>27</v>
      </c>
      <c r="M120" s="11">
        <v>141</v>
      </c>
      <c r="N120" s="13">
        <v>0</v>
      </c>
      <c r="O120" s="13">
        <v>0</v>
      </c>
      <c r="P120" s="11">
        <v>0</v>
      </c>
      <c r="Q120" s="13">
        <v>0</v>
      </c>
      <c r="R120" s="13">
        <v>0</v>
      </c>
      <c r="S120" s="11">
        <v>0</v>
      </c>
      <c r="T120" s="13">
        <v>0</v>
      </c>
      <c r="U120" s="13">
        <v>0</v>
      </c>
      <c r="V120" s="11">
        <v>0</v>
      </c>
      <c r="W120" s="13">
        <v>0</v>
      </c>
      <c r="X120" s="13">
        <v>0</v>
      </c>
      <c r="Y120" s="11">
        <v>0</v>
      </c>
    </row>
    <row r="121" spans="1:25" x14ac:dyDescent="0.3">
      <c r="A121" s="10" t="s">
        <v>151</v>
      </c>
      <c r="B121" s="7">
        <v>2022</v>
      </c>
      <c r="C121" s="405">
        <v>120</v>
      </c>
      <c r="D121" s="7" t="s">
        <v>3444</v>
      </c>
      <c r="E121" s="7" t="s">
        <v>83</v>
      </c>
      <c r="F121" s="7" t="s">
        <v>340</v>
      </c>
      <c r="G121" s="12" t="s">
        <v>154</v>
      </c>
      <c r="H121" s="7" t="s">
        <v>155</v>
      </c>
      <c r="I121" s="7" t="s">
        <v>155</v>
      </c>
      <c r="J121" s="7" t="s">
        <v>154</v>
      </c>
      <c r="K121" s="13">
        <v>100</v>
      </c>
      <c r="L121" s="13">
        <v>27</v>
      </c>
      <c r="M121" s="11">
        <v>141</v>
      </c>
      <c r="N121" s="13">
        <v>0</v>
      </c>
      <c r="O121" s="13">
        <v>0</v>
      </c>
      <c r="P121" s="11">
        <v>0</v>
      </c>
      <c r="Q121" s="13">
        <v>0</v>
      </c>
      <c r="R121" s="13">
        <v>0</v>
      </c>
      <c r="S121" s="11">
        <v>0</v>
      </c>
      <c r="T121" s="13">
        <v>0</v>
      </c>
      <c r="U121" s="13">
        <v>0</v>
      </c>
      <c r="V121" s="11">
        <v>0</v>
      </c>
      <c r="W121" s="13">
        <v>0</v>
      </c>
      <c r="X121" s="13">
        <v>0</v>
      </c>
      <c r="Y121" s="11">
        <v>0</v>
      </c>
    </row>
    <row r="122" spans="1:25" x14ac:dyDescent="0.3">
      <c r="A122" s="10" t="s">
        <v>151</v>
      </c>
      <c r="B122" s="7">
        <v>2022</v>
      </c>
      <c r="C122" s="11">
        <v>121</v>
      </c>
      <c r="D122" s="7" t="s">
        <v>346</v>
      </c>
      <c r="E122" s="7" t="s">
        <v>83</v>
      </c>
      <c r="F122" s="7" t="s">
        <v>154</v>
      </c>
      <c r="G122" s="14" t="s">
        <v>347</v>
      </c>
      <c r="H122" s="7" t="s">
        <v>155</v>
      </c>
      <c r="I122" s="7" t="s">
        <v>155</v>
      </c>
      <c r="J122" s="7" t="s">
        <v>154</v>
      </c>
      <c r="K122" s="13">
        <v>0</v>
      </c>
      <c r="L122" s="13">
        <v>0</v>
      </c>
      <c r="M122" s="11">
        <v>0</v>
      </c>
      <c r="N122" s="13">
        <v>0</v>
      </c>
      <c r="O122" s="13">
        <v>0</v>
      </c>
      <c r="P122" s="11">
        <v>0</v>
      </c>
      <c r="Q122" s="13">
        <v>0</v>
      </c>
      <c r="R122" s="13">
        <v>0</v>
      </c>
      <c r="S122" s="11">
        <v>0</v>
      </c>
      <c r="T122" s="13">
        <v>0</v>
      </c>
      <c r="U122" s="13">
        <v>0</v>
      </c>
      <c r="V122" s="11">
        <v>0</v>
      </c>
      <c r="W122" s="13">
        <v>0</v>
      </c>
      <c r="X122" s="13">
        <v>0</v>
      </c>
      <c r="Y122" s="11">
        <v>0</v>
      </c>
    </row>
    <row r="123" spans="1:25" x14ac:dyDescent="0.3">
      <c r="A123" s="10" t="s">
        <v>151</v>
      </c>
      <c r="B123" s="7">
        <v>2022</v>
      </c>
      <c r="C123" s="11">
        <v>122</v>
      </c>
      <c r="D123" s="7" t="s">
        <v>348</v>
      </c>
      <c r="E123" s="7" t="s">
        <v>83</v>
      </c>
      <c r="F123" s="7" t="s">
        <v>349</v>
      </c>
      <c r="G123" s="12" t="s">
        <v>154</v>
      </c>
      <c r="H123" s="7" t="s">
        <v>155</v>
      </c>
      <c r="I123" s="7" t="s">
        <v>155</v>
      </c>
      <c r="J123" s="7" t="s">
        <v>154</v>
      </c>
      <c r="K123" s="13">
        <v>0</v>
      </c>
      <c r="L123" s="13">
        <v>0</v>
      </c>
      <c r="M123" s="11">
        <v>0</v>
      </c>
      <c r="N123" s="13">
        <v>0</v>
      </c>
      <c r="O123" s="13">
        <v>0</v>
      </c>
      <c r="P123" s="11">
        <v>0</v>
      </c>
      <c r="Q123" s="13">
        <v>0</v>
      </c>
      <c r="R123" s="13">
        <v>0</v>
      </c>
      <c r="S123" s="11">
        <v>0</v>
      </c>
      <c r="T123" s="13">
        <v>0</v>
      </c>
      <c r="U123" s="13">
        <v>0</v>
      </c>
      <c r="V123" s="11">
        <v>0</v>
      </c>
      <c r="W123" s="13">
        <v>0</v>
      </c>
      <c r="X123" s="13">
        <v>0</v>
      </c>
      <c r="Y123" s="11">
        <v>0</v>
      </c>
    </row>
    <row r="124" spans="1:25" x14ac:dyDescent="0.3">
      <c r="A124" s="10" t="s">
        <v>151</v>
      </c>
      <c r="B124" s="7">
        <v>2022</v>
      </c>
      <c r="C124" s="11">
        <v>123</v>
      </c>
      <c r="D124" s="7" t="s">
        <v>350</v>
      </c>
      <c r="E124" s="7" t="s">
        <v>83</v>
      </c>
      <c r="F124" s="7" t="s">
        <v>349</v>
      </c>
      <c r="G124" s="12" t="s">
        <v>154</v>
      </c>
      <c r="H124" s="7" t="s">
        <v>155</v>
      </c>
      <c r="I124" s="7" t="s">
        <v>155</v>
      </c>
      <c r="J124" s="7" t="s">
        <v>154</v>
      </c>
      <c r="K124" s="13">
        <v>100</v>
      </c>
      <c r="L124" s="13">
        <v>27</v>
      </c>
      <c r="M124" s="11">
        <v>141</v>
      </c>
      <c r="N124" s="13">
        <v>0</v>
      </c>
      <c r="O124" s="13">
        <v>0</v>
      </c>
      <c r="P124" s="11">
        <v>0</v>
      </c>
      <c r="Q124" s="13">
        <v>0</v>
      </c>
      <c r="R124" s="13">
        <v>0</v>
      </c>
      <c r="S124" s="11">
        <v>0</v>
      </c>
      <c r="T124" s="13">
        <v>0</v>
      </c>
      <c r="U124" s="13">
        <v>0</v>
      </c>
      <c r="V124" s="11">
        <v>0</v>
      </c>
      <c r="W124" s="13">
        <v>0</v>
      </c>
      <c r="X124" s="13">
        <v>0</v>
      </c>
      <c r="Y124" s="11">
        <v>0</v>
      </c>
    </row>
    <row r="125" spans="1:25" x14ac:dyDescent="0.3">
      <c r="A125" s="10" t="s">
        <v>151</v>
      </c>
      <c r="B125" s="7">
        <v>2022</v>
      </c>
      <c r="C125" s="11">
        <v>124</v>
      </c>
      <c r="D125" s="7" t="s">
        <v>351</v>
      </c>
      <c r="E125" s="7" t="s">
        <v>83</v>
      </c>
      <c r="F125" s="7" t="s">
        <v>349</v>
      </c>
      <c r="G125" s="12" t="s">
        <v>154</v>
      </c>
      <c r="H125" s="7" t="s">
        <v>155</v>
      </c>
      <c r="I125" s="7" t="s">
        <v>155</v>
      </c>
      <c r="J125" s="7" t="s">
        <v>154</v>
      </c>
      <c r="K125" s="13">
        <v>100</v>
      </c>
      <c r="L125" s="13">
        <v>27</v>
      </c>
      <c r="M125" s="11">
        <v>141</v>
      </c>
      <c r="N125" s="13">
        <v>0</v>
      </c>
      <c r="O125" s="13">
        <v>0</v>
      </c>
      <c r="P125" s="11">
        <v>0</v>
      </c>
      <c r="Q125" s="13">
        <v>0</v>
      </c>
      <c r="R125" s="13">
        <v>0</v>
      </c>
      <c r="S125" s="11">
        <v>0</v>
      </c>
      <c r="T125" s="13">
        <v>0</v>
      </c>
      <c r="U125" s="13">
        <v>0</v>
      </c>
      <c r="V125" s="11">
        <v>0</v>
      </c>
      <c r="W125" s="13">
        <v>0</v>
      </c>
      <c r="X125" s="13">
        <v>0</v>
      </c>
      <c r="Y125" s="11">
        <v>0</v>
      </c>
    </row>
    <row r="126" spans="1:25" x14ac:dyDescent="0.3">
      <c r="A126" s="10" t="s">
        <v>151</v>
      </c>
      <c r="B126" s="7">
        <v>2022</v>
      </c>
      <c r="C126" s="11">
        <v>125</v>
      </c>
      <c r="D126" s="7" t="s">
        <v>352</v>
      </c>
      <c r="E126" s="7" t="s">
        <v>83</v>
      </c>
      <c r="F126" s="7" t="s">
        <v>349</v>
      </c>
      <c r="G126" s="12" t="s">
        <v>154</v>
      </c>
      <c r="H126" s="7" t="s">
        <v>155</v>
      </c>
      <c r="I126" s="7" t="s">
        <v>155</v>
      </c>
      <c r="J126" s="7" t="s">
        <v>154</v>
      </c>
      <c r="K126" s="13">
        <v>0</v>
      </c>
      <c r="L126" s="13">
        <v>0</v>
      </c>
      <c r="M126" s="11">
        <v>0</v>
      </c>
      <c r="N126" s="13">
        <v>0</v>
      </c>
      <c r="O126" s="13">
        <v>0</v>
      </c>
      <c r="P126" s="11">
        <v>0</v>
      </c>
      <c r="Q126" s="13">
        <v>0</v>
      </c>
      <c r="R126" s="13">
        <v>0</v>
      </c>
      <c r="S126" s="11">
        <v>0</v>
      </c>
      <c r="T126" s="13">
        <v>0</v>
      </c>
      <c r="U126" s="13">
        <v>0</v>
      </c>
      <c r="V126" s="11">
        <v>0</v>
      </c>
      <c r="W126" s="13">
        <v>0</v>
      </c>
      <c r="X126" s="13">
        <v>0</v>
      </c>
      <c r="Y126" s="11">
        <v>0</v>
      </c>
    </row>
    <row r="127" spans="1:25" x14ac:dyDescent="0.3">
      <c r="A127" s="10" t="s">
        <v>151</v>
      </c>
      <c r="B127" s="7">
        <v>2022</v>
      </c>
      <c r="C127" s="11">
        <v>126</v>
      </c>
      <c r="D127" s="7" t="s">
        <v>353</v>
      </c>
      <c r="E127" s="7" t="s">
        <v>83</v>
      </c>
      <c r="F127" s="7" t="s">
        <v>349</v>
      </c>
      <c r="G127" s="12" t="s">
        <v>154</v>
      </c>
      <c r="H127" s="7" t="s">
        <v>155</v>
      </c>
      <c r="I127" s="7" t="s">
        <v>155</v>
      </c>
      <c r="J127" s="7" t="s">
        <v>154</v>
      </c>
      <c r="K127" s="13">
        <v>100</v>
      </c>
      <c r="L127" s="13">
        <v>27</v>
      </c>
      <c r="M127" s="11">
        <v>141</v>
      </c>
      <c r="N127" s="13">
        <v>0</v>
      </c>
      <c r="O127" s="13">
        <v>0</v>
      </c>
      <c r="P127" s="11">
        <v>0</v>
      </c>
      <c r="Q127" s="13">
        <v>0</v>
      </c>
      <c r="R127" s="13">
        <v>0</v>
      </c>
      <c r="S127" s="11">
        <v>0</v>
      </c>
      <c r="T127" s="13">
        <v>0</v>
      </c>
      <c r="U127" s="13">
        <v>0</v>
      </c>
      <c r="V127" s="11">
        <v>0</v>
      </c>
      <c r="W127" s="13">
        <v>0</v>
      </c>
      <c r="X127" s="13">
        <v>0</v>
      </c>
      <c r="Y127" s="11">
        <v>0</v>
      </c>
    </row>
    <row r="128" spans="1:25" x14ac:dyDescent="0.3">
      <c r="A128" s="10" t="s">
        <v>151</v>
      </c>
      <c r="B128" s="7">
        <v>2022</v>
      </c>
      <c r="C128" s="11">
        <v>127</v>
      </c>
      <c r="D128" s="7" t="s">
        <v>354</v>
      </c>
      <c r="E128" s="7" t="s">
        <v>83</v>
      </c>
      <c r="F128" s="7" t="s">
        <v>349</v>
      </c>
      <c r="G128" s="12" t="s">
        <v>154</v>
      </c>
      <c r="H128" s="7" t="s">
        <v>155</v>
      </c>
      <c r="I128" s="7" t="s">
        <v>155</v>
      </c>
      <c r="J128" s="7" t="s">
        <v>154</v>
      </c>
      <c r="K128" s="13">
        <v>100</v>
      </c>
      <c r="L128" s="13">
        <v>27</v>
      </c>
      <c r="M128" s="11">
        <v>141</v>
      </c>
      <c r="N128" s="13">
        <v>0</v>
      </c>
      <c r="O128" s="13">
        <v>0</v>
      </c>
      <c r="P128" s="11">
        <v>0</v>
      </c>
      <c r="Q128" s="13">
        <v>0</v>
      </c>
      <c r="R128" s="13">
        <v>0</v>
      </c>
      <c r="S128" s="11">
        <v>0</v>
      </c>
      <c r="T128" s="13">
        <v>0</v>
      </c>
      <c r="U128" s="13">
        <v>0</v>
      </c>
      <c r="V128" s="11">
        <v>0</v>
      </c>
      <c r="W128" s="13">
        <v>0</v>
      </c>
      <c r="X128" s="13">
        <v>0</v>
      </c>
      <c r="Y128" s="11">
        <v>0</v>
      </c>
    </row>
    <row r="129" spans="1:25" x14ac:dyDescent="0.3">
      <c r="A129" s="10" t="s">
        <v>151</v>
      </c>
      <c r="B129" s="7">
        <v>2022</v>
      </c>
      <c r="C129" s="11">
        <v>128</v>
      </c>
      <c r="D129" s="7" t="s">
        <v>355</v>
      </c>
      <c r="E129" s="7" t="s">
        <v>83</v>
      </c>
      <c r="F129" s="7" t="s">
        <v>349</v>
      </c>
      <c r="G129" s="12" t="s">
        <v>154</v>
      </c>
      <c r="H129" s="7" t="s">
        <v>155</v>
      </c>
      <c r="I129" s="7" t="s">
        <v>155</v>
      </c>
      <c r="J129" s="7" t="s">
        <v>154</v>
      </c>
      <c r="K129" s="13">
        <v>100</v>
      </c>
      <c r="L129" s="13">
        <v>27</v>
      </c>
      <c r="M129" s="11">
        <v>141</v>
      </c>
      <c r="N129" s="13">
        <v>0</v>
      </c>
      <c r="O129" s="13">
        <v>0</v>
      </c>
      <c r="P129" s="11">
        <v>0</v>
      </c>
      <c r="Q129" s="13">
        <v>0</v>
      </c>
      <c r="R129" s="13">
        <v>0</v>
      </c>
      <c r="S129" s="11">
        <v>0</v>
      </c>
      <c r="T129" s="13">
        <v>0</v>
      </c>
      <c r="U129" s="13">
        <v>0</v>
      </c>
      <c r="V129" s="11">
        <v>0</v>
      </c>
      <c r="W129" s="13">
        <v>0</v>
      </c>
      <c r="X129" s="13">
        <v>0</v>
      </c>
      <c r="Y129" s="11">
        <v>0</v>
      </c>
    </row>
    <row r="130" spans="1:25" x14ac:dyDescent="0.3">
      <c r="A130" s="10" t="s">
        <v>151</v>
      </c>
      <c r="B130" s="7">
        <v>2022</v>
      </c>
      <c r="C130" s="11">
        <v>129</v>
      </c>
      <c r="D130" s="7" t="s">
        <v>356</v>
      </c>
      <c r="E130" s="7" t="s">
        <v>83</v>
      </c>
      <c r="F130" s="7" t="s">
        <v>349</v>
      </c>
      <c r="G130" s="12" t="s">
        <v>154</v>
      </c>
      <c r="H130" s="7" t="s">
        <v>155</v>
      </c>
      <c r="I130" s="7" t="s">
        <v>155</v>
      </c>
      <c r="J130" s="7" t="s">
        <v>154</v>
      </c>
      <c r="K130" s="13">
        <v>100</v>
      </c>
      <c r="L130" s="13">
        <v>27</v>
      </c>
      <c r="M130" s="11">
        <v>141</v>
      </c>
      <c r="N130" s="13">
        <v>0</v>
      </c>
      <c r="O130" s="13">
        <v>0</v>
      </c>
      <c r="P130" s="11">
        <v>0</v>
      </c>
      <c r="Q130" s="13">
        <v>0</v>
      </c>
      <c r="R130" s="13">
        <v>0</v>
      </c>
      <c r="S130" s="11">
        <v>0</v>
      </c>
      <c r="T130" s="13">
        <v>0</v>
      </c>
      <c r="U130" s="13">
        <v>0</v>
      </c>
      <c r="V130" s="11">
        <v>0</v>
      </c>
      <c r="W130" s="13">
        <v>0</v>
      </c>
      <c r="X130" s="13">
        <v>0</v>
      </c>
      <c r="Y130" s="11">
        <v>0</v>
      </c>
    </row>
    <row r="131" spans="1:25" x14ac:dyDescent="0.3">
      <c r="A131" s="10" t="s">
        <v>151</v>
      </c>
      <c r="B131" s="7">
        <v>2022</v>
      </c>
      <c r="C131" s="11">
        <v>130</v>
      </c>
      <c r="D131" s="7" t="s">
        <v>357</v>
      </c>
      <c r="E131" s="7" t="s">
        <v>83</v>
      </c>
      <c r="F131" s="7" t="s">
        <v>349</v>
      </c>
      <c r="G131" s="12" t="s">
        <v>154</v>
      </c>
      <c r="H131" s="7" t="s">
        <v>155</v>
      </c>
      <c r="I131" s="7" t="s">
        <v>155</v>
      </c>
      <c r="J131" s="7" t="s">
        <v>154</v>
      </c>
      <c r="K131" s="13">
        <v>100</v>
      </c>
      <c r="L131" s="13">
        <v>27</v>
      </c>
      <c r="M131" s="11">
        <v>141</v>
      </c>
      <c r="N131" s="13">
        <v>0</v>
      </c>
      <c r="O131" s="13">
        <v>0</v>
      </c>
      <c r="P131" s="11">
        <v>0</v>
      </c>
      <c r="Q131" s="13">
        <v>0</v>
      </c>
      <c r="R131" s="13">
        <v>0</v>
      </c>
      <c r="S131" s="11">
        <v>0</v>
      </c>
      <c r="T131" s="13">
        <v>0</v>
      </c>
      <c r="U131" s="13">
        <v>0</v>
      </c>
      <c r="V131" s="11">
        <v>0</v>
      </c>
      <c r="W131" s="13">
        <v>0</v>
      </c>
      <c r="X131" s="13">
        <v>0</v>
      </c>
      <c r="Y131" s="11">
        <v>0</v>
      </c>
    </row>
    <row r="132" spans="1:25" x14ac:dyDescent="0.3">
      <c r="A132" s="10" t="s">
        <v>151</v>
      </c>
      <c r="B132" s="7">
        <v>2022</v>
      </c>
      <c r="C132" s="11">
        <v>131</v>
      </c>
      <c r="D132" s="7" t="s">
        <v>358</v>
      </c>
      <c r="E132" s="7" t="s">
        <v>83</v>
      </c>
      <c r="F132" s="7" t="s">
        <v>349</v>
      </c>
      <c r="G132" s="12" t="s">
        <v>154</v>
      </c>
      <c r="H132" s="7" t="s">
        <v>155</v>
      </c>
      <c r="I132" s="7" t="s">
        <v>155</v>
      </c>
      <c r="J132" s="7" t="s">
        <v>154</v>
      </c>
      <c r="K132" s="13">
        <v>100</v>
      </c>
      <c r="L132" s="13">
        <v>27</v>
      </c>
      <c r="M132" s="11">
        <v>141</v>
      </c>
      <c r="N132" s="13">
        <v>0</v>
      </c>
      <c r="O132" s="13">
        <v>0</v>
      </c>
      <c r="P132" s="11">
        <v>0</v>
      </c>
      <c r="Q132" s="13">
        <v>0</v>
      </c>
      <c r="R132" s="13">
        <v>0</v>
      </c>
      <c r="S132" s="11">
        <v>0</v>
      </c>
      <c r="T132" s="13">
        <v>0</v>
      </c>
      <c r="U132" s="13">
        <v>0</v>
      </c>
      <c r="V132" s="11">
        <v>0</v>
      </c>
      <c r="W132" s="13">
        <v>0</v>
      </c>
      <c r="X132" s="13">
        <v>0</v>
      </c>
      <c r="Y132" s="11">
        <v>0</v>
      </c>
    </row>
    <row r="133" spans="1:25" x14ac:dyDescent="0.3">
      <c r="A133" s="10" t="s">
        <v>151</v>
      </c>
      <c r="B133" s="7">
        <v>2022</v>
      </c>
      <c r="C133" s="11">
        <v>132</v>
      </c>
      <c r="D133" s="7" t="s">
        <v>359</v>
      </c>
      <c r="E133" s="7" t="s">
        <v>83</v>
      </c>
      <c r="F133" s="7" t="s">
        <v>349</v>
      </c>
      <c r="G133" s="12" t="s">
        <v>154</v>
      </c>
      <c r="H133" s="7" t="s">
        <v>155</v>
      </c>
      <c r="I133" s="7" t="s">
        <v>155</v>
      </c>
      <c r="J133" s="7" t="s">
        <v>154</v>
      </c>
      <c r="K133" s="13">
        <v>100</v>
      </c>
      <c r="L133" s="13">
        <v>27</v>
      </c>
      <c r="M133" s="11">
        <v>141</v>
      </c>
      <c r="N133" s="13">
        <v>0</v>
      </c>
      <c r="O133" s="13">
        <v>0</v>
      </c>
      <c r="P133" s="11">
        <v>0</v>
      </c>
      <c r="Q133" s="13">
        <v>0</v>
      </c>
      <c r="R133" s="13">
        <v>0</v>
      </c>
      <c r="S133" s="11">
        <v>0</v>
      </c>
      <c r="T133" s="13">
        <v>0</v>
      </c>
      <c r="U133" s="13">
        <v>0</v>
      </c>
      <c r="V133" s="11">
        <v>0</v>
      </c>
      <c r="W133" s="13">
        <v>0</v>
      </c>
      <c r="X133" s="13">
        <v>0</v>
      </c>
      <c r="Y133" s="11">
        <v>0</v>
      </c>
    </row>
    <row r="134" spans="1:25" x14ac:dyDescent="0.3">
      <c r="A134" s="10" t="s">
        <v>151</v>
      </c>
      <c r="B134" s="7">
        <v>2022</v>
      </c>
      <c r="C134" s="11">
        <v>133</v>
      </c>
      <c r="D134" s="7" t="s">
        <v>360</v>
      </c>
      <c r="E134" s="7" t="s">
        <v>83</v>
      </c>
      <c r="F134" s="7" t="s">
        <v>349</v>
      </c>
      <c r="G134" s="12" t="s">
        <v>154</v>
      </c>
      <c r="H134" s="7" t="s">
        <v>155</v>
      </c>
      <c r="I134" s="7" t="s">
        <v>155</v>
      </c>
      <c r="J134" s="7" t="s">
        <v>154</v>
      </c>
      <c r="K134" s="13">
        <v>100</v>
      </c>
      <c r="L134" s="13">
        <v>27</v>
      </c>
      <c r="M134" s="11">
        <v>141</v>
      </c>
      <c r="N134" s="13">
        <v>0</v>
      </c>
      <c r="O134" s="13">
        <v>0</v>
      </c>
      <c r="P134" s="11">
        <v>0</v>
      </c>
      <c r="Q134" s="13">
        <v>0</v>
      </c>
      <c r="R134" s="13">
        <v>0</v>
      </c>
      <c r="S134" s="11">
        <v>0</v>
      </c>
      <c r="T134" s="13">
        <v>0</v>
      </c>
      <c r="U134" s="13">
        <v>0</v>
      </c>
      <c r="V134" s="11">
        <v>0</v>
      </c>
      <c r="W134" s="13">
        <v>0</v>
      </c>
      <c r="X134" s="13">
        <v>0</v>
      </c>
      <c r="Y134" s="11">
        <v>0</v>
      </c>
    </row>
    <row r="135" spans="1:25" x14ac:dyDescent="0.3">
      <c r="A135" s="10" t="s">
        <v>151</v>
      </c>
      <c r="B135" s="7">
        <v>2022</v>
      </c>
      <c r="C135" s="11">
        <v>134</v>
      </c>
      <c r="D135" s="7" t="s">
        <v>361</v>
      </c>
      <c r="E135" s="7" t="s">
        <v>83</v>
      </c>
      <c r="F135" s="7" t="s">
        <v>362</v>
      </c>
      <c r="G135" s="12" t="s">
        <v>154</v>
      </c>
      <c r="H135" s="7" t="s">
        <v>155</v>
      </c>
      <c r="I135" s="7" t="s">
        <v>155</v>
      </c>
      <c r="J135" s="7" t="s">
        <v>154</v>
      </c>
      <c r="K135" s="13">
        <v>0</v>
      </c>
      <c r="L135" s="13">
        <v>0</v>
      </c>
      <c r="M135" s="11">
        <v>0</v>
      </c>
      <c r="N135" s="13">
        <v>0</v>
      </c>
      <c r="O135" s="13">
        <v>0</v>
      </c>
      <c r="P135" s="11">
        <v>0</v>
      </c>
      <c r="Q135" s="13">
        <v>0</v>
      </c>
      <c r="R135" s="13">
        <v>0</v>
      </c>
      <c r="S135" s="11">
        <v>0</v>
      </c>
      <c r="T135" s="13">
        <v>0</v>
      </c>
      <c r="U135" s="13">
        <v>0</v>
      </c>
      <c r="V135" s="11">
        <v>0</v>
      </c>
      <c r="W135" s="13">
        <v>0</v>
      </c>
      <c r="X135" s="13">
        <v>0</v>
      </c>
      <c r="Y135" s="11">
        <v>0</v>
      </c>
    </row>
    <row r="136" spans="1:25" x14ac:dyDescent="0.3">
      <c r="A136" s="10" t="s">
        <v>151</v>
      </c>
      <c r="B136" s="7">
        <v>2022</v>
      </c>
      <c r="C136" s="11">
        <v>135</v>
      </c>
      <c r="D136" s="7" t="s">
        <v>363</v>
      </c>
      <c r="E136" s="7" t="s">
        <v>83</v>
      </c>
      <c r="F136" s="7" t="s">
        <v>154</v>
      </c>
      <c r="G136" s="14" t="s">
        <v>364</v>
      </c>
      <c r="H136" s="7" t="s">
        <v>155</v>
      </c>
      <c r="I136" s="7" t="s">
        <v>155</v>
      </c>
      <c r="J136" s="7" t="s">
        <v>154</v>
      </c>
      <c r="K136" s="13">
        <v>0</v>
      </c>
      <c r="L136" s="13">
        <v>0</v>
      </c>
      <c r="M136" s="11">
        <v>0</v>
      </c>
      <c r="N136" s="13">
        <v>0</v>
      </c>
      <c r="O136" s="13">
        <v>0</v>
      </c>
      <c r="P136" s="11">
        <v>0</v>
      </c>
      <c r="Q136" s="13">
        <v>0</v>
      </c>
      <c r="R136" s="13">
        <v>0</v>
      </c>
      <c r="S136" s="11">
        <v>0</v>
      </c>
      <c r="T136" s="13">
        <v>0</v>
      </c>
      <c r="U136" s="13">
        <v>0</v>
      </c>
      <c r="V136" s="11">
        <v>0</v>
      </c>
      <c r="W136" s="13">
        <v>0</v>
      </c>
      <c r="X136" s="13">
        <v>0</v>
      </c>
      <c r="Y136" s="11">
        <v>0</v>
      </c>
    </row>
    <row r="137" spans="1:25" x14ac:dyDescent="0.3">
      <c r="A137" s="10" t="s">
        <v>151</v>
      </c>
      <c r="B137" s="7">
        <v>2022</v>
      </c>
      <c r="C137" s="11">
        <v>136</v>
      </c>
      <c r="D137" s="7" t="s">
        <v>365</v>
      </c>
      <c r="E137" s="7" t="s">
        <v>83</v>
      </c>
      <c r="F137" s="7" t="s">
        <v>154</v>
      </c>
      <c r="G137" s="14" t="s">
        <v>366</v>
      </c>
      <c r="H137" s="7" t="s">
        <v>155</v>
      </c>
      <c r="I137" s="7" t="s">
        <v>155</v>
      </c>
      <c r="J137" s="7" t="s">
        <v>154</v>
      </c>
      <c r="K137" s="13">
        <v>0</v>
      </c>
      <c r="L137" s="13">
        <v>0</v>
      </c>
      <c r="M137" s="11">
        <v>0</v>
      </c>
      <c r="N137" s="13">
        <v>0</v>
      </c>
      <c r="O137" s="13">
        <v>0</v>
      </c>
      <c r="P137" s="11">
        <v>0</v>
      </c>
      <c r="Q137" s="13">
        <v>0</v>
      </c>
      <c r="R137" s="13">
        <v>0</v>
      </c>
      <c r="S137" s="11">
        <v>0</v>
      </c>
      <c r="T137" s="13">
        <v>0</v>
      </c>
      <c r="U137" s="13">
        <v>0</v>
      </c>
      <c r="V137" s="11">
        <v>0</v>
      </c>
      <c r="W137" s="13">
        <v>0</v>
      </c>
      <c r="X137" s="13">
        <v>0</v>
      </c>
      <c r="Y137" s="11">
        <v>0</v>
      </c>
    </row>
    <row r="138" spans="1:25" x14ac:dyDescent="0.3">
      <c r="A138" s="10" t="s">
        <v>151</v>
      </c>
      <c r="B138" s="7">
        <v>2022</v>
      </c>
      <c r="C138" s="11">
        <v>137</v>
      </c>
      <c r="D138" s="7" t="s">
        <v>367</v>
      </c>
      <c r="E138" s="7" t="s">
        <v>83</v>
      </c>
      <c r="F138" s="7" t="s">
        <v>368</v>
      </c>
      <c r="G138" s="12" t="s">
        <v>154</v>
      </c>
      <c r="H138" s="7" t="s">
        <v>155</v>
      </c>
      <c r="I138" s="7" t="s">
        <v>155</v>
      </c>
      <c r="J138" s="7" t="s">
        <v>154</v>
      </c>
      <c r="K138" s="13">
        <v>0</v>
      </c>
      <c r="L138" s="13">
        <v>0</v>
      </c>
      <c r="M138" s="11">
        <v>0</v>
      </c>
      <c r="N138" s="13">
        <v>0</v>
      </c>
      <c r="O138" s="13">
        <v>0</v>
      </c>
      <c r="P138" s="11">
        <v>0</v>
      </c>
      <c r="Q138" s="13">
        <v>0</v>
      </c>
      <c r="R138" s="13">
        <v>0</v>
      </c>
      <c r="S138" s="11">
        <v>0</v>
      </c>
      <c r="T138" s="13">
        <v>0</v>
      </c>
      <c r="U138" s="13">
        <v>0</v>
      </c>
      <c r="V138" s="11">
        <v>0</v>
      </c>
      <c r="W138" s="13">
        <v>0</v>
      </c>
      <c r="X138" s="13">
        <v>0</v>
      </c>
      <c r="Y138" s="11">
        <v>0</v>
      </c>
    </row>
    <row r="139" spans="1:25" x14ac:dyDescent="0.3">
      <c r="A139" s="10" t="s">
        <v>151</v>
      </c>
      <c r="B139" s="7">
        <v>2022</v>
      </c>
      <c r="C139" s="11">
        <v>138</v>
      </c>
      <c r="D139" s="7" t="s">
        <v>369</v>
      </c>
      <c r="E139" s="7" t="s">
        <v>83</v>
      </c>
      <c r="F139" s="7" t="s">
        <v>368</v>
      </c>
      <c r="G139" s="12" t="s">
        <v>154</v>
      </c>
      <c r="H139" s="7" t="s">
        <v>155</v>
      </c>
      <c r="I139" s="7" t="s">
        <v>155</v>
      </c>
      <c r="J139" s="7" t="s">
        <v>154</v>
      </c>
      <c r="K139" s="13">
        <v>100</v>
      </c>
      <c r="L139" s="13">
        <v>27</v>
      </c>
      <c r="M139" s="11">
        <v>141</v>
      </c>
      <c r="N139" s="13">
        <v>0</v>
      </c>
      <c r="O139" s="13">
        <v>0</v>
      </c>
      <c r="P139" s="11">
        <v>0</v>
      </c>
      <c r="Q139" s="13">
        <v>0</v>
      </c>
      <c r="R139" s="13">
        <v>0</v>
      </c>
      <c r="S139" s="11">
        <v>0</v>
      </c>
      <c r="T139" s="13">
        <v>0</v>
      </c>
      <c r="U139" s="13">
        <v>0</v>
      </c>
      <c r="V139" s="11">
        <v>0</v>
      </c>
      <c r="W139" s="13">
        <v>0</v>
      </c>
      <c r="X139" s="13">
        <v>0</v>
      </c>
      <c r="Y139" s="11">
        <v>0</v>
      </c>
    </row>
    <row r="140" spans="1:25" x14ac:dyDescent="0.3">
      <c r="A140" s="10" t="s">
        <v>151</v>
      </c>
      <c r="B140" s="7">
        <v>2022</v>
      </c>
      <c r="C140" s="11">
        <v>139</v>
      </c>
      <c r="D140" s="7" t="s">
        <v>370</v>
      </c>
      <c r="E140" s="7" t="s">
        <v>83</v>
      </c>
      <c r="F140" s="7" t="s">
        <v>371</v>
      </c>
      <c r="G140" s="12" t="s">
        <v>154</v>
      </c>
      <c r="H140" s="7" t="s">
        <v>155</v>
      </c>
      <c r="I140" s="7" t="s">
        <v>155</v>
      </c>
      <c r="J140" s="7" t="s">
        <v>154</v>
      </c>
      <c r="K140" s="13">
        <v>100</v>
      </c>
      <c r="L140" s="13">
        <v>27</v>
      </c>
      <c r="M140" s="11">
        <v>141</v>
      </c>
      <c r="N140" s="13">
        <v>0</v>
      </c>
      <c r="O140" s="13">
        <v>0</v>
      </c>
      <c r="P140" s="11">
        <v>0</v>
      </c>
      <c r="Q140" s="13">
        <v>0</v>
      </c>
      <c r="R140" s="13">
        <v>0</v>
      </c>
      <c r="S140" s="11">
        <v>0</v>
      </c>
      <c r="T140" s="13">
        <v>0</v>
      </c>
      <c r="U140" s="13">
        <v>0</v>
      </c>
      <c r="V140" s="11">
        <v>0</v>
      </c>
      <c r="W140" s="13">
        <v>0</v>
      </c>
      <c r="X140" s="13">
        <v>0</v>
      </c>
      <c r="Y140" s="11">
        <v>0</v>
      </c>
    </row>
    <row r="141" spans="1:25" x14ac:dyDescent="0.3">
      <c r="A141" s="10" t="s">
        <v>151</v>
      </c>
      <c r="B141" s="7">
        <v>2022</v>
      </c>
      <c r="C141" s="11">
        <v>140</v>
      </c>
      <c r="D141" s="7" t="s">
        <v>372</v>
      </c>
      <c r="E141" s="7" t="s">
        <v>83</v>
      </c>
      <c r="F141" s="7" t="s">
        <v>154</v>
      </c>
      <c r="G141" s="14" t="s">
        <v>373</v>
      </c>
      <c r="H141" s="7" t="s">
        <v>155</v>
      </c>
      <c r="I141" s="7" t="s">
        <v>155</v>
      </c>
      <c r="J141" s="7" t="s">
        <v>154</v>
      </c>
      <c r="K141" s="13">
        <v>0</v>
      </c>
      <c r="L141" s="13">
        <v>0</v>
      </c>
      <c r="M141" s="11">
        <v>0</v>
      </c>
      <c r="N141" s="13">
        <v>0</v>
      </c>
      <c r="O141" s="13">
        <v>0</v>
      </c>
      <c r="P141" s="11">
        <v>0</v>
      </c>
      <c r="Q141" s="13">
        <v>0</v>
      </c>
      <c r="R141" s="13">
        <v>0</v>
      </c>
      <c r="S141" s="11">
        <v>0</v>
      </c>
      <c r="T141" s="13">
        <v>0</v>
      </c>
      <c r="U141" s="13">
        <v>0</v>
      </c>
      <c r="V141" s="11">
        <v>0</v>
      </c>
      <c r="W141" s="13">
        <v>0</v>
      </c>
      <c r="X141" s="13">
        <v>0</v>
      </c>
      <c r="Y141" s="11">
        <v>0</v>
      </c>
    </row>
    <row r="142" spans="1:25" x14ac:dyDescent="0.3">
      <c r="A142" s="10" t="s">
        <v>151</v>
      </c>
      <c r="B142" s="7">
        <v>2022</v>
      </c>
      <c r="C142" s="11">
        <v>141</v>
      </c>
      <c r="D142" s="7" t="s">
        <v>374</v>
      </c>
      <c r="E142" s="7" t="s">
        <v>83</v>
      </c>
      <c r="F142" s="7" t="s">
        <v>375</v>
      </c>
      <c r="G142" s="12" t="s">
        <v>154</v>
      </c>
      <c r="H142" s="7" t="s">
        <v>155</v>
      </c>
      <c r="I142" s="7" t="s">
        <v>155</v>
      </c>
      <c r="J142" s="7" t="s">
        <v>258</v>
      </c>
      <c r="K142" s="13">
        <v>0</v>
      </c>
      <c r="L142" s="13">
        <v>0</v>
      </c>
      <c r="M142" s="11">
        <v>0</v>
      </c>
      <c r="N142" s="13">
        <v>0</v>
      </c>
      <c r="O142" s="13">
        <v>0</v>
      </c>
      <c r="P142" s="11">
        <v>0</v>
      </c>
      <c r="Q142" s="13">
        <v>0</v>
      </c>
      <c r="R142" s="13">
        <v>0</v>
      </c>
      <c r="S142" s="11">
        <v>0</v>
      </c>
      <c r="T142" s="13">
        <v>0</v>
      </c>
      <c r="U142" s="13">
        <v>0</v>
      </c>
      <c r="V142" s="11">
        <v>0</v>
      </c>
      <c r="W142" s="13">
        <v>0</v>
      </c>
      <c r="X142" s="13">
        <v>0</v>
      </c>
      <c r="Y142" s="11">
        <v>0</v>
      </c>
    </row>
    <row r="143" spans="1:25" x14ac:dyDescent="0.3">
      <c r="A143" s="10" t="s">
        <v>151</v>
      </c>
      <c r="B143" s="7">
        <v>2022</v>
      </c>
      <c r="C143" s="11">
        <v>142</v>
      </c>
      <c r="D143" s="7" t="s">
        <v>376</v>
      </c>
      <c r="E143" s="7" t="s">
        <v>83</v>
      </c>
      <c r="F143" s="7" t="s">
        <v>377</v>
      </c>
      <c r="G143" s="12" t="s">
        <v>154</v>
      </c>
      <c r="H143" s="7" t="s">
        <v>155</v>
      </c>
      <c r="I143" s="7" t="s">
        <v>155</v>
      </c>
      <c r="J143" s="7" t="s">
        <v>258</v>
      </c>
      <c r="K143" s="13">
        <v>0</v>
      </c>
      <c r="L143" s="13">
        <v>0</v>
      </c>
      <c r="M143" s="11">
        <v>0</v>
      </c>
      <c r="N143" s="13">
        <v>0</v>
      </c>
      <c r="O143" s="13">
        <v>0</v>
      </c>
      <c r="P143" s="11">
        <v>0</v>
      </c>
      <c r="Q143" s="13">
        <v>0</v>
      </c>
      <c r="R143" s="13">
        <v>0</v>
      </c>
      <c r="S143" s="11">
        <v>0</v>
      </c>
      <c r="T143" s="13">
        <v>0</v>
      </c>
      <c r="U143" s="13">
        <v>0</v>
      </c>
      <c r="V143" s="11">
        <v>0</v>
      </c>
      <c r="W143" s="13">
        <v>0</v>
      </c>
      <c r="X143" s="13">
        <v>0</v>
      </c>
      <c r="Y143" s="11">
        <v>0</v>
      </c>
    </row>
    <row r="144" spans="1:25" x14ac:dyDescent="0.3">
      <c r="A144" s="10" t="s">
        <v>151</v>
      </c>
      <c r="B144" s="7">
        <v>2022</v>
      </c>
      <c r="C144" s="11">
        <v>143</v>
      </c>
      <c r="D144" s="7" t="s">
        <v>378</v>
      </c>
      <c r="E144" s="7" t="s">
        <v>83</v>
      </c>
      <c r="F144" s="7" t="s">
        <v>154</v>
      </c>
      <c r="G144" s="14" t="s">
        <v>379</v>
      </c>
      <c r="H144" s="7" t="s">
        <v>155</v>
      </c>
      <c r="I144" s="7" t="s">
        <v>155</v>
      </c>
      <c r="J144" s="7" t="s">
        <v>154</v>
      </c>
      <c r="K144" s="13">
        <v>0</v>
      </c>
      <c r="L144" s="13">
        <v>0</v>
      </c>
      <c r="M144" s="11">
        <v>0</v>
      </c>
      <c r="N144" s="13">
        <v>0</v>
      </c>
      <c r="O144" s="13">
        <v>0</v>
      </c>
      <c r="P144" s="11">
        <v>0</v>
      </c>
      <c r="Q144" s="13">
        <v>0</v>
      </c>
      <c r="R144" s="13">
        <v>0</v>
      </c>
      <c r="S144" s="11">
        <v>0</v>
      </c>
      <c r="T144" s="13">
        <v>0</v>
      </c>
      <c r="U144" s="13">
        <v>0</v>
      </c>
      <c r="V144" s="11">
        <v>0</v>
      </c>
      <c r="W144" s="13">
        <v>0</v>
      </c>
      <c r="X144" s="13">
        <v>0</v>
      </c>
      <c r="Y144" s="11">
        <v>0</v>
      </c>
    </row>
    <row r="145" spans="1:25" x14ac:dyDescent="0.3">
      <c r="A145" s="10" t="s">
        <v>151</v>
      </c>
      <c r="B145" s="7">
        <v>2022</v>
      </c>
      <c r="C145" s="11">
        <v>144</v>
      </c>
      <c r="D145" s="7" t="s">
        <v>380</v>
      </c>
      <c r="E145" s="7" t="s">
        <v>83</v>
      </c>
      <c r="F145" s="7" t="s">
        <v>381</v>
      </c>
      <c r="G145" s="12" t="s">
        <v>154</v>
      </c>
      <c r="H145" s="7" t="s">
        <v>155</v>
      </c>
      <c r="I145" s="7" t="s">
        <v>155</v>
      </c>
      <c r="J145" s="7" t="s">
        <v>154</v>
      </c>
      <c r="K145" s="13">
        <v>0</v>
      </c>
      <c r="L145" s="13">
        <v>0</v>
      </c>
      <c r="M145" s="11">
        <v>0</v>
      </c>
      <c r="N145" s="13">
        <v>0</v>
      </c>
      <c r="O145" s="13">
        <v>0</v>
      </c>
      <c r="P145" s="11">
        <v>0</v>
      </c>
      <c r="Q145" s="13">
        <v>0</v>
      </c>
      <c r="R145" s="13">
        <v>0</v>
      </c>
      <c r="S145" s="11">
        <v>0</v>
      </c>
      <c r="T145" s="13">
        <v>0</v>
      </c>
      <c r="U145" s="13">
        <v>0</v>
      </c>
      <c r="V145" s="11">
        <v>0</v>
      </c>
      <c r="W145" s="13">
        <v>0</v>
      </c>
      <c r="X145" s="13">
        <v>0</v>
      </c>
      <c r="Y145" s="11">
        <v>0</v>
      </c>
    </row>
    <row r="146" spans="1:25" x14ac:dyDescent="0.3">
      <c r="A146" s="10" t="s">
        <v>151</v>
      </c>
      <c r="B146" s="7">
        <v>2022</v>
      </c>
      <c r="C146" s="11">
        <v>145</v>
      </c>
      <c r="D146" s="7" t="s">
        <v>382</v>
      </c>
      <c r="E146" s="7" t="s">
        <v>83</v>
      </c>
      <c r="F146" s="7" t="s">
        <v>383</v>
      </c>
      <c r="G146" s="12" t="s">
        <v>154</v>
      </c>
      <c r="H146" s="7" t="s">
        <v>155</v>
      </c>
      <c r="I146" s="7" t="s">
        <v>155</v>
      </c>
      <c r="J146" s="7" t="s">
        <v>154</v>
      </c>
      <c r="K146" s="13">
        <v>0</v>
      </c>
      <c r="L146" s="13">
        <v>0</v>
      </c>
      <c r="M146" s="11">
        <v>0</v>
      </c>
      <c r="N146" s="13">
        <v>0</v>
      </c>
      <c r="O146" s="13">
        <v>0</v>
      </c>
      <c r="P146" s="11">
        <v>0</v>
      </c>
      <c r="Q146" s="13">
        <v>0</v>
      </c>
      <c r="R146" s="13">
        <v>0</v>
      </c>
      <c r="S146" s="11">
        <v>0</v>
      </c>
      <c r="T146" s="13">
        <v>0</v>
      </c>
      <c r="U146" s="13">
        <v>0</v>
      </c>
      <c r="V146" s="11">
        <v>0</v>
      </c>
      <c r="W146" s="13">
        <v>0</v>
      </c>
      <c r="X146" s="13">
        <v>0</v>
      </c>
      <c r="Y146" s="11">
        <v>0</v>
      </c>
    </row>
    <row r="147" spans="1:25" x14ac:dyDescent="0.3">
      <c r="A147" s="10" t="s">
        <v>151</v>
      </c>
      <c r="B147" s="7">
        <v>2022</v>
      </c>
      <c r="C147" s="11">
        <v>146</v>
      </c>
      <c r="D147" s="7" t="s">
        <v>384</v>
      </c>
      <c r="E147" s="7" t="s">
        <v>83</v>
      </c>
      <c r="F147" s="7" t="s">
        <v>383</v>
      </c>
      <c r="G147" s="12" t="s">
        <v>154</v>
      </c>
      <c r="H147" s="7" t="s">
        <v>155</v>
      </c>
      <c r="I147" s="7" t="s">
        <v>155</v>
      </c>
      <c r="J147" s="7" t="s">
        <v>154</v>
      </c>
      <c r="K147" s="13">
        <v>0</v>
      </c>
      <c r="L147" s="13">
        <v>0</v>
      </c>
      <c r="M147" s="11">
        <v>0</v>
      </c>
      <c r="N147" s="13">
        <v>0</v>
      </c>
      <c r="O147" s="13">
        <v>0</v>
      </c>
      <c r="P147" s="11">
        <v>0</v>
      </c>
      <c r="Q147" s="13">
        <v>0</v>
      </c>
      <c r="R147" s="13">
        <v>0</v>
      </c>
      <c r="S147" s="11">
        <v>0</v>
      </c>
      <c r="T147" s="13">
        <v>0</v>
      </c>
      <c r="U147" s="13">
        <v>0</v>
      </c>
      <c r="V147" s="11">
        <v>0</v>
      </c>
      <c r="W147" s="13">
        <v>0</v>
      </c>
      <c r="X147" s="13">
        <v>0</v>
      </c>
      <c r="Y147" s="11">
        <v>0</v>
      </c>
    </row>
    <row r="148" spans="1:25" x14ac:dyDescent="0.3">
      <c r="A148" s="10" t="s">
        <v>151</v>
      </c>
      <c r="B148" s="7">
        <v>2022</v>
      </c>
      <c r="C148" s="11">
        <v>147</v>
      </c>
      <c r="D148" s="7" t="s">
        <v>385</v>
      </c>
      <c r="E148" s="7" t="s">
        <v>83</v>
      </c>
      <c r="F148" s="7" t="s">
        <v>383</v>
      </c>
      <c r="G148" s="12" t="s">
        <v>154</v>
      </c>
      <c r="H148" s="7" t="s">
        <v>155</v>
      </c>
      <c r="I148" s="7" t="s">
        <v>155</v>
      </c>
      <c r="J148" s="7" t="s">
        <v>154</v>
      </c>
      <c r="K148" s="13">
        <v>0</v>
      </c>
      <c r="L148" s="13">
        <v>0</v>
      </c>
      <c r="M148" s="11">
        <v>0</v>
      </c>
      <c r="N148" s="13">
        <v>0</v>
      </c>
      <c r="O148" s="13">
        <v>0</v>
      </c>
      <c r="P148" s="11">
        <v>0</v>
      </c>
      <c r="Q148" s="13">
        <v>0</v>
      </c>
      <c r="R148" s="13">
        <v>0</v>
      </c>
      <c r="S148" s="11">
        <v>0</v>
      </c>
      <c r="T148" s="13">
        <v>0</v>
      </c>
      <c r="U148" s="13">
        <v>0</v>
      </c>
      <c r="V148" s="11">
        <v>0</v>
      </c>
      <c r="W148" s="13">
        <v>0</v>
      </c>
      <c r="X148" s="13">
        <v>0</v>
      </c>
      <c r="Y148" s="11">
        <v>0</v>
      </c>
    </row>
    <row r="149" spans="1:25" x14ac:dyDescent="0.3">
      <c r="A149" s="10" t="s">
        <v>151</v>
      </c>
      <c r="B149" s="7">
        <v>2022</v>
      </c>
      <c r="C149" s="11">
        <v>148</v>
      </c>
      <c r="D149" s="7" t="s">
        <v>386</v>
      </c>
      <c r="E149" s="7" t="s">
        <v>83</v>
      </c>
      <c r="F149" s="7" t="s">
        <v>387</v>
      </c>
      <c r="G149" s="12" t="s">
        <v>154</v>
      </c>
      <c r="H149" s="7" t="s">
        <v>155</v>
      </c>
      <c r="I149" s="7" t="s">
        <v>155</v>
      </c>
      <c r="J149" s="7" t="s">
        <v>154</v>
      </c>
      <c r="K149" s="13">
        <v>0</v>
      </c>
      <c r="L149" s="13">
        <v>0</v>
      </c>
      <c r="M149" s="11">
        <v>0</v>
      </c>
      <c r="N149" s="13">
        <v>0</v>
      </c>
      <c r="O149" s="13">
        <v>0</v>
      </c>
      <c r="P149" s="11">
        <v>0</v>
      </c>
      <c r="Q149" s="13">
        <v>0</v>
      </c>
      <c r="R149" s="13">
        <v>0</v>
      </c>
      <c r="S149" s="11">
        <v>0</v>
      </c>
      <c r="T149" s="13">
        <v>0</v>
      </c>
      <c r="U149" s="13">
        <v>0</v>
      </c>
      <c r="V149" s="11">
        <v>0</v>
      </c>
      <c r="W149" s="13">
        <v>0</v>
      </c>
      <c r="X149" s="13">
        <v>0</v>
      </c>
      <c r="Y149" s="11">
        <v>0</v>
      </c>
    </row>
    <row r="150" spans="1:25" x14ac:dyDescent="0.3">
      <c r="A150" s="10" t="s">
        <v>151</v>
      </c>
      <c r="B150" s="7">
        <v>2022</v>
      </c>
      <c r="C150" s="11">
        <v>149</v>
      </c>
      <c r="D150" s="7" t="s">
        <v>388</v>
      </c>
      <c r="E150" s="7" t="s">
        <v>83</v>
      </c>
      <c r="F150" s="7" t="s">
        <v>387</v>
      </c>
      <c r="G150" s="12" t="s">
        <v>154</v>
      </c>
      <c r="H150" s="7" t="s">
        <v>155</v>
      </c>
      <c r="I150" s="7" t="s">
        <v>155</v>
      </c>
      <c r="J150" s="7" t="s">
        <v>154</v>
      </c>
      <c r="K150" s="13">
        <v>0</v>
      </c>
      <c r="L150" s="13">
        <v>0</v>
      </c>
      <c r="M150" s="11">
        <v>0</v>
      </c>
      <c r="N150" s="13">
        <v>0</v>
      </c>
      <c r="O150" s="13">
        <v>0</v>
      </c>
      <c r="P150" s="11">
        <v>0</v>
      </c>
      <c r="Q150" s="13">
        <v>0</v>
      </c>
      <c r="R150" s="13">
        <v>0</v>
      </c>
      <c r="S150" s="11">
        <v>0</v>
      </c>
      <c r="T150" s="13">
        <v>0</v>
      </c>
      <c r="U150" s="13">
        <v>0</v>
      </c>
      <c r="V150" s="11">
        <v>0</v>
      </c>
      <c r="W150" s="13">
        <v>0</v>
      </c>
      <c r="X150" s="13">
        <v>0</v>
      </c>
      <c r="Y150" s="11">
        <v>0</v>
      </c>
    </row>
    <row r="151" spans="1:25" x14ac:dyDescent="0.3">
      <c r="A151" s="10" t="s">
        <v>151</v>
      </c>
      <c r="B151" s="7">
        <v>2022</v>
      </c>
      <c r="C151" s="11">
        <v>150</v>
      </c>
      <c r="D151" s="7" t="s">
        <v>389</v>
      </c>
      <c r="E151" s="7" t="s">
        <v>83</v>
      </c>
      <c r="F151" s="7" t="s">
        <v>154</v>
      </c>
      <c r="G151" s="14" t="s">
        <v>390</v>
      </c>
      <c r="H151" s="7" t="s">
        <v>155</v>
      </c>
      <c r="I151" s="7" t="s">
        <v>155</v>
      </c>
      <c r="J151" s="7" t="s">
        <v>154</v>
      </c>
      <c r="K151" s="13">
        <v>0</v>
      </c>
      <c r="L151" s="13">
        <v>0</v>
      </c>
      <c r="M151" s="11">
        <v>0</v>
      </c>
      <c r="N151" s="13">
        <v>0</v>
      </c>
      <c r="O151" s="13">
        <v>0</v>
      </c>
      <c r="P151" s="11">
        <v>0</v>
      </c>
      <c r="Q151" s="13">
        <v>0</v>
      </c>
      <c r="R151" s="13">
        <v>0</v>
      </c>
      <c r="S151" s="11">
        <v>0</v>
      </c>
      <c r="T151" s="13">
        <v>0</v>
      </c>
      <c r="U151" s="13">
        <v>0</v>
      </c>
      <c r="V151" s="11">
        <v>0</v>
      </c>
      <c r="W151" s="13">
        <v>0</v>
      </c>
      <c r="X151" s="13">
        <v>0</v>
      </c>
      <c r="Y151" s="11">
        <v>0</v>
      </c>
    </row>
    <row r="152" spans="1:25" x14ac:dyDescent="0.3">
      <c r="A152" s="10" t="s">
        <v>151</v>
      </c>
      <c r="B152" s="7">
        <v>2022</v>
      </c>
      <c r="C152" s="11">
        <v>151</v>
      </c>
      <c r="D152" s="7" t="s">
        <v>391</v>
      </c>
      <c r="E152" s="7" t="s">
        <v>83</v>
      </c>
      <c r="F152" s="7" t="s">
        <v>154</v>
      </c>
      <c r="G152" s="14" t="s">
        <v>392</v>
      </c>
      <c r="H152" s="7" t="s">
        <v>155</v>
      </c>
      <c r="I152" s="7" t="s">
        <v>155</v>
      </c>
      <c r="J152" s="7" t="s">
        <v>154</v>
      </c>
      <c r="K152" s="13">
        <v>0</v>
      </c>
      <c r="L152" s="13">
        <v>0</v>
      </c>
      <c r="M152" s="11">
        <v>0</v>
      </c>
      <c r="N152" s="13">
        <v>0</v>
      </c>
      <c r="O152" s="13">
        <v>0</v>
      </c>
      <c r="P152" s="11">
        <v>0</v>
      </c>
      <c r="Q152" s="13">
        <v>0</v>
      </c>
      <c r="R152" s="13">
        <v>0</v>
      </c>
      <c r="S152" s="11">
        <v>0</v>
      </c>
      <c r="T152" s="13">
        <v>0</v>
      </c>
      <c r="U152" s="13">
        <v>0</v>
      </c>
      <c r="V152" s="11">
        <v>0</v>
      </c>
      <c r="W152" s="13">
        <v>0</v>
      </c>
      <c r="X152" s="13">
        <v>0</v>
      </c>
      <c r="Y152" s="11">
        <v>0</v>
      </c>
    </row>
    <row r="153" spans="1:25" x14ac:dyDescent="0.3">
      <c r="A153" s="10" t="s">
        <v>151</v>
      </c>
      <c r="B153" s="7">
        <v>2022</v>
      </c>
      <c r="C153" s="11">
        <v>152</v>
      </c>
      <c r="D153" s="7" t="s">
        <v>393</v>
      </c>
      <c r="E153" s="7" t="s">
        <v>83</v>
      </c>
      <c r="F153" s="7" t="s">
        <v>394</v>
      </c>
      <c r="G153" s="12" t="s">
        <v>154</v>
      </c>
      <c r="H153" s="7" t="s">
        <v>155</v>
      </c>
      <c r="I153" s="7" t="s">
        <v>155</v>
      </c>
      <c r="J153" s="7" t="s">
        <v>154</v>
      </c>
      <c r="K153" s="13">
        <v>0</v>
      </c>
      <c r="L153" s="13">
        <v>0</v>
      </c>
      <c r="M153" s="11">
        <v>0</v>
      </c>
      <c r="N153" s="13">
        <v>0</v>
      </c>
      <c r="O153" s="13">
        <v>0</v>
      </c>
      <c r="P153" s="11">
        <v>0</v>
      </c>
      <c r="Q153" s="13">
        <v>0</v>
      </c>
      <c r="R153" s="13">
        <v>0</v>
      </c>
      <c r="S153" s="11">
        <v>0</v>
      </c>
      <c r="T153" s="13">
        <v>0</v>
      </c>
      <c r="U153" s="13">
        <v>0</v>
      </c>
      <c r="V153" s="11">
        <v>0</v>
      </c>
      <c r="W153" s="13">
        <v>0</v>
      </c>
      <c r="X153" s="13">
        <v>0</v>
      </c>
      <c r="Y153" s="11">
        <v>0</v>
      </c>
    </row>
    <row r="154" spans="1:25" x14ac:dyDescent="0.3">
      <c r="A154" s="10" t="s">
        <v>151</v>
      </c>
      <c r="B154" s="7">
        <v>2022</v>
      </c>
      <c r="C154" s="11">
        <v>153</v>
      </c>
      <c r="D154" s="7" t="s">
        <v>395</v>
      </c>
      <c r="E154" s="7" t="s">
        <v>83</v>
      </c>
      <c r="F154" s="7" t="s">
        <v>394</v>
      </c>
      <c r="G154" s="12" t="s">
        <v>154</v>
      </c>
      <c r="H154" s="7" t="s">
        <v>155</v>
      </c>
      <c r="I154" s="7" t="s">
        <v>155</v>
      </c>
      <c r="J154" s="7" t="s">
        <v>154</v>
      </c>
      <c r="K154" s="13">
        <v>0</v>
      </c>
      <c r="L154" s="13">
        <v>0</v>
      </c>
      <c r="M154" s="11">
        <v>0</v>
      </c>
      <c r="N154" s="13">
        <v>0</v>
      </c>
      <c r="O154" s="13">
        <v>0</v>
      </c>
      <c r="P154" s="11">
        <v>0</v>
      </c>
      <c r="Q154" s="13">
        <v>0</v>
      </c>
      <c r="R154" s="13">
        <v>0</v>
      </c>
      <c r="S154" s="11">
        <v>0</v>
      </c>
      <c r="T154" s="13">
        <v>0</v>
      </c>
      <c r="U154" s="13">
        <v>0</v>
      </c>
      <c r="V154" s="11">
        <v>0</v>
      </c>
      <c r="W154" s="13">
        <v>0</v>
      </c>
      <c r="X154" s="13">
        <v>0</v>
      </c>
      <c r="Y154" s="11">
        <v>0</v>
      </c>
    </row>
    <row r="155" spans="1:25" x14ac:dyDescent="0.3">
      <c r="A155" s="10" t="s">
        <v>151</v>
      </c>
      <c r="B155" s="7">
        <v>2022</v>
      </c>
      <c r="C155" s="11">
        <v>154</v>
      </c>
      <c r="D155" s="7" t="s">
        <v>396</v>
      </c>
      <c r="E155" s="7" t="s">
        <v>83</v>
      </c>
      <c r="F155" s="7" t="s">
        <v>394</v>
      </c>
      <c r="G155" s="12" t="s">
        <v>154</v>
      </c>
      <c r="H155" s="7" t="s">
        <v>155</v>
      </c>
      <c r="I155" s="7" t="s">
        <v>155</v>
      </c>
      <c r="J155" s="7" t="s">
        <v>154</v>
      </c>
      <c r="K155" s="13">
        <v>0</v>
      </c>
      <c r="L155" s="13">
        <v>0</v>
      </c>
      <c r="M155" s="11">
        <v>0</v>
      </c>
      <c r="N155" s="13">
        <v>0</v>
      </c>
      <c r="O155" s="13">
        <v>0</v>
      </c>
      <c r="P155" s="11">
        <v>0</v>
      </c>
      <c r="Q155" s="13">
        <v>0</v>
      </c>
      <c r="R155" s="13">
        <v>0</v>
      </c>
      <c r="S155" s="11">
        <v>0</v>
      </c>
      <c r="T155" s="13">
        <v>0</v>
      </c>
      <c r="U155" s="13">
        <v>0</v>
      </c>
      <c r="V155" s="11">
        <v>0</v>
      </c>
      <c r="W155" s="13">
        <v>0</v>
      </c>
      <c r="X155" s="13">
        <v>0</v>
      </c>
      <c r="Y155" s="11">
        <v>0</v>
      </c>
    </row>
    <row r="156" spans="1:25" x14ac:dyDescent="0.3">
      <c r="A156" s="10" t="s">
        <v>151</v>
      </c>
      <c r="B156" s="7">
        <v>2022</v>
      </c>
      <c r="C156" s="11">
        <v>155</v>
      </c>
      <c r="D156" s="7" t="s">
        <v>397</v>
      </c>
      <c r="E156" s="7" t="s">
        <v>83</v>
      </c>
      <c r="F156" s="7" t="s">
        <v>394</v>
      </c>
      <c r="G156" s="12" t="s">
        <v>154</v>
      </c>
      <c r="H156" s="7" t="s">
        <v>155</v>
      </c>
      <c r="I156" s="7" t="s">
        <v>155</v>
      </c>
      <c r="J156" s="7" t="s">
        <v>154</v>
      </c>
      <c r="K156" s="13">
        <v>0</v>
      </c>
      <c r="L156" s="13">
        <v>0</v>
      </c>
      <c r="M156" s="11">
        <v>0</v>
      </c>
      <c r="N156" s="13">
        <v>0</v>
      </c>
      <c r="O156" s="13">
        <v>0</v>
      </c>
      <c r="P156" s="11">
        <v>0</v>
      </c>
      <c r="Q156" s="13">
        <v>0</v>
      </c>
      <c r="R156" s="13">
        <v>0</v>
      </c>
      <c r="S156" s="11">
        <v>0</v>
      </c>
      <c r="T156" s="13">
        <v>0</v>
      </c>
      <c r="U156" s="13">
        <v>0</v>
      </c>
      <c r="V156" s="11">
        <v>0</v>
      </c>
      <c r="W156" s="13">
        <v>0</v>
      </c>
      <c r="X156" s="13">
        <v>0</v>
      </c>
      <c r="Y156" s="11">
        <v>0</v>
      </c>
    </row>
    <row r="157" spans="1:25" x14ac:dyDescent="0.3">
      <c r="A157" s="10" t="s">
        <v>151</v>
      </c>
      <c r="B157" s="7">
        <v>2022</v>
      </c>
      <c r="C157" s="11">
        <v>156</v>
      </c>
      <c r="D157" s="7" t="s">
        <v>398</v>
      </c>
      <c r="E157" s="7" t="s">
        <v>83</v>
      </c>
      <c r="F157" s="7" t="s">
        <v>394</v>
      </c>
      <c r="G157" s="12" t="s">
        <v>154</v>
      </c>
      <c r="H157" s="7" t="s">
        <v>155</v>
      </c>
      <c r="I157" s="7" t="s">
        <v>155</v>
      </c>
      <c r="J157" s="7" t="s">
        <v>154</v>
      </c>
      <c r="K157" s="13">
        <v>0</v>
      </c>
      <c r="L157" s="13">
        <v>0</v>
      </c>
      <c r="M157" s="11">
        <v>0</v>
      </c>
      <c r="N157" s="13">
        <v>0</v>
      </c>
      <c r="O157" s="13">
        <v>0</v>
      </c>
      <c r="P157" s="11">
        <v>0</v>
      </c>
      <c r="Q157" s="13">
        <v>0</v>
      </c>
      <c r="R157" s="13">
        <v>0</v>
      </c>
      <c r="S157" s="11">
        <v>0</v>
      </c>
      <c r="T157" s="13">
        <v>0</v>
      </c>
      <c r="U157" s="13">
        <v>0</v>
      </c>
      <c r="V157" s="11">
        <v>0</v>
      </c>
      <c r="W157" s="13">
        <v>0</v>
      </c>
      <c r="X157" s="13">
        <v>0</v>
      </c>
      <c r="Y157" s="11">
        <v>0</v>
      </c>
    </row>
    <row r="158" spans="1:25" x14ac:dyDescent="0.3">
      <c r="A158" s="10" t="s">
        <v>151</v>
      </c>
      <c r="B158" s="7">
        <v>2022</v>
      </c>
      <c r="C158" s="11">
        <v>157</v>
      </c>
      <c r="D158" s="7" t="s">
        <v>399</v>
      </c>
      <c r="E158" s="7" t="s">
        <v>83</v>
      </c>
      <c r="F158" s="7" t="s">
        <v>394</v>
      </c>
      <c r="G158" s="12" t="s">
        <v>154</v>
      </c>
      <c r="H158" s="7" t="s">
        <v>155</v>
      </c>
      <c r="I158" s="7" t="s">
        <v>155</v>
      </c>
      <c r="J158" s="7" t="s">
        <v>154</v>
      </c>
      <c r="K158" s="13">
        <v>0</v>
      </c>
      <c r="L158" s="13">
        <v>0</v>
      </c>
      <c r="M158" s="11">
        <v>0</v>
      </c>
      <c r="N158" s="13">
        <v>0</v>
      </c>
      <c r="O158" s="13">
        <v>0</v>
      </c>
      <c r="P158" s="11">
        <v>0</v>
      </c>
      <c r="Q158" s="13">
        <v>0</v>
      </c>
      <c r="R158" s="13">
        <v>0</v>
      </c>
      <c r="S158" s="11">
        <v>0</v>
      </c>
      <c r="T158" s="13">
        <v>0</v>
      </c>
      <c r="U158" s="13">
        <v>0</v>
      </c>
      <c r="V158" s="11">
        <v>0</v>
      </c>
      <c r="W158" s="13">
        <v>0</v>
      </c>
      <c r="X158" s="13">
        <v>0</v>
      </c>
      <c r="Y158" s="11">
        <v>0</v>
      </c>
    </row>
    <row r="159" spans="1:25" x14ac:dyDescent="0.3">
      <c r="A159" s="10" t="s">
        <v>151</v>
      </c>
      <c r="B159" s="7">
        <v>2022</v>
      </c>
      <c r="C159" s="11">
        <v>158</v>
      </c>
      <c r="D159" s="7" t="s">
        <v>400</v>
      </c>
      <c r="E159" s="7" t="s">
        <v>83</v>
      </c>
      <c r="F159" s="7" t="s">
        <v>401</v>
      </c>
      <c r="G159" s="12" t="s">
        <v>154</v>
      </c>
      <c r="H159" s="7" t="s">
        <v>155</v>
      </c>
      <c r="I159" s="7" t="s">
        <v>155</v>
      </c>
      <c r="J159" s="7" t="s">
        <v>154</v>
      </c>
      <c r="K159" s="13">
        <v>0</v>
      </c>
      <c r="L159" s="13">
        <v>0</v>
      </c>
      <c r="M159" s="11">
        <v>0</v>
      </c>
      <c r="N159" s="13">
        <v>0</v>
      </c>
      <c r="O159" s="13">
        <v>0</v>
      </c>
      <c r="P159" s="11">
        <v>0</v>
      </c>
      <c r="Q159" s="13">
        <v>0</v>
      </c>
      <c r="R159" s="13">
        <v>0</v>
      </c>
      <c r="S159" s="11">
        <v>0</v>
      </c>
      <c r="T159" s="13">
        <v>0</v>
      </c>
      <c r="U159" s="13">
        <v>0</v>
      </c>
      <c r="V159" s="11">
        <v>0</v>
      </c>
      <c r="W159" s="13">
        <v>0</v>
      </c>
      <c r="X159" s="13">
        <v>0</v>
      </c>
      <c r="Y159" s="11">
        <v>0</v>
      </c>
    </row>
    <row r="160" spans="1:25" x14ac:dyDescent="0.3">
      <c r="A160" s="10" t="s">
        <v>151</v>
      </c>
      <c r="B160" s="7">
        <v>2022</v>
      </c>
      <c r="C160" s="11">
        <v>159</v>
      </c>
      <c r="D160" s="7" t="s">
        <v>402</v>
      </c>
      <c r="E160" s="7" t="s">
        <v>83</v>
      </c>
      <c r="F160" s="7" t="s">
        <v>401</v>
      </c>
      <c r="G160" s="12" t="s">
        <v>154</v>
      </c>
      <c r="H160" s="7" t="s">
        <v>155</v>
      </c>
      <c r="I160" s="7" t="s">
        <v>155</v>
      </c>
      <c r="J160" s="7" t="s">
        <v>154</v>
      </c>
      <c r="K160" s="13">
        <v>0</v>
      </c>
      <c r="L160" s="13">
        <v>0</v>
      </c>
      <c r="M160" s="11">
        <v>0</v>
      </c>
      <c r="N160" s="13">
        <v>0</v>
      </c>
      <c r="O160" s="13">
        <v>0</v>
      </c>
      <c r="P160" s="11">
        <v>0</v>
      </c>
      <c r="Q160" s="13">
        <v>0</v>
      </c>
      <c r="R160" s="13">
        <v>0</v>
      </c>
      <c r="S160" s="11">
        <v>0</v>
      </c>
      <c r="T160" s="13">
        <v>0</v>
      </c>
      <c r="U160" s="13">
        <v>0</v>
      </c>
      <c r="V160" s="11">
        <v>0</v>
      </c>
      <c r="W160" s="13">
        <v>0</v>
      </c>
      <c r="X160" s="13">
        <v>0</v>
      </c>
      <c r="Y160" s="11">
        <v>0</v>
      </c>
    </row>
    <row r="161" spans="1:25" x14ac:dyDescent="0.3">
      <c r="A161" s="10" t="s">
        <v>151</v>
      </c>
      <c r="B161" s="7">
        <v>2022</v>
      </c>
      <c r="C161" s="11">
        <v>160</v>
      </c>
      <c r="D161" s="7" t="s">
        <v>403</v>
      </c>
      <c r="E161" s="7" t="s">
        <v>83</v>
      </c>
      <c r="F161" s="7" t="s">
        <v>401</v>
      </c>
      <c r="G161" s="12" t="s">
        <v>154</v>
      </c>
      <c r="H161" s="7" t="s">
        <v>155</v>
      </c>
      <c r="I161" s="7" t="s">
        <v>155</v>
      </c>
      <c r="J161" s="7" t="s">
        <v>154</v>
      </c>
      <c r="K161" s="13">
        <v>0</v>
      </c>
      <c r="L161" s="13">
        <v>0</v>
      </c>
      <c r="M161" s="11">
        <v>0</v>
      </c>
      <c r="N161" s="13">
        <v>0</v>
      </c>
      <c r="O161" s="13">
        <v>0</v>
      </c>
      <c r="P161" s="11">
        <v>0</v>
      </c>
      <c r="Q161" s="13">
        <v>0</v>
      </c>
      <c r="R161" s="13">
        <v>0</v>
      </c>
      <c r="S161" s="11">
        <v>0</v>
      </c>
      <c r="T161" s="13">
        <v>0</v>
      </c>
      <c r="U161" s="13">
        <v>0</v>
      </c>
      <c r="V161" s="11">
        <v>0</v>
      </c>
      <c r="W161" s="13">
        <v>0</v>
      </c>
      <c r="X161" s="13">
        <v>0</v>
      </c>
      <c r="Y161" s="11">
        <v>0</v>
      </c>
    </row>
    <row r="162" spans="1:25" x14ac:dyDescent="0.3">
      <c r="A162" s="10" t="s">
        <v>151</v>
      </c>
      <c r="B162" s="7">
        <v>2022</v>
      </c>
      <c r="C162" s="11">
        <v>161</v>
      </c>
      <c r="D162" s="7" t="s">
        <v>404</v>
      </c>
      <c r="E162" s="7" t="s">
        <v>83</v>
      </c>
      <c r="F162" s="7" t="s">
        <v>405</v>
      </c>
      <c r="G162" s="12" t="s">
        <v>154</v>
      </c>
      <c r="H162" s="7" t="s">
        <v>155</v>
      </c>
      <c r="I162" s="7" t="s">
        <v>155</v>
      </c>
      <c r="J162" s="7" t="s">
        <v>154</v>
      </c>
      <c r="K162" s="13">
        <v>0</v>
      </c>
      <c r="L162" s="13">
        <v>0</v>
      </c>
      <c r="M162" s="11">
        <v>0</v>
      </c>
      <c r="N162" s="13">
        <v>0</v>
      </c>
      <c r="O162" s="13">
        <v>0</v>
      </c>
      <c r="P162" s="11">
        <v>0</v>
      </c>
      <c r="Q162" s="13">
        <v>0</v>
      </c>
      <c r="R162" s="13">
        <v>0</v>
      </c>
      <c r="S162" s="11">
        <v>0</v>
      </c>
      <c r="T162" s="13">
        <v>0</v>
      </c>
      <c r="U162" s="13">
        <v>0</v>
      </c>
      <c r="V162" s="11">
        <v>0</v>
      </c>
      <c r="W162" s="13">
        <v>0</v>
      </c>
      <c r="X162" s="13">
        <v>0</v>
      </c>
      <c r="Y162" s="11">
        <v>0</v>
      </c>
    </row>
    <row r="163" spans="1:25" x14ac:dyDescent="0.3">
      <c r="A163" s="10" t="s">
        <v>151</v>
      </c>
      <c r="B163" s="7">
        <v>2022</v>
      </c>
      <c r="C163" s="11">
        <v>162</v>
      </c>
      <c r="D163" s="7" t="s">
        <v>406</v>
      </c>
      <c r="E163" s="7" t="s">
        <v>83</v>
      </c>
      <c r="F163" s="7" t="s">
        <v>405</v>
      </c>
      <c r="G163" s="12" t="s">
        <v>154</v>
      </c>
      <c r="H163" s="7" t="s">
        <v>155</v>
      </c>
      <c r="I163" s="7" t="s">
        <v>155</v>
      </c>
      <c r="J163" s="7" t="s">
        <v>154</v>
      </c>
      <c r="K163" s="13">
        <v>0</v>
      </c>
      <c r="L163" s="13">
        <v>0</v>
      </c>
      <c r="M163" s="11">
        <v>0</v>
      </c>
      <c r="N163" s="13">
        <v>0</v>
      </c>
      <c r="O163" s="13">
        <v>0</v>
      </c>
      <c r="P163" s="11">
        <v>0</v>
      </c>
      <c r="Q163" s="13">
        <v>0</v>
      </c>
      <c r="R163" s="13">
        <v>0</v>
      </c>
      <c r="S163" s="11">
        <v>0</v>
      </c>
      <c r="T163" s="13">
        <v>0</v>
      </c>
      <c r="U163" s="13">
        <v>0</v>
      </c>
      <c r="V163" s="11">
        <v>0</v>
      </c>
      <c r="W163" s="13">
        <v>0</v>
      </c>
      <c r="X163" s="13">
        <v>0</v>
      </c>
      <c r="Y163" s="11">
        <v>0</v>
      </c>
    </row>
    <row r="164" spans="1:25" x14ac:dyDescent="0.3">
      <c r="A164" s="10" t="s">
        <v>151</v>
      </c>
      <c r="B164" s="7">
        <v>2022</v>
      </c>
      <c r="C164" s="11">
        <v>163</v>
      </c>
      <c r="D164" s="7" t="s">
        <v>407</v>
      </c>
      <c r="E164" s="7" t="s">
        <v>83</v>
      </c>
      <c r="F164" s="7" t="s">
        <v>405</v>
      </c>
      <c r="G164" s="12" t="s">
        <v>154</v>
      </c>
      <c r="H164" s="7" t="s">
        <v>155</v>
      </c>
      <c r="I164" s="7" t="s">
        <v>155</v>
      </c>
      <c r="J164" s="7" t="s">
        <v>154</v>
      </c>
      <c r="K164" s="13">
        <v>0</v>
      </c>
      <c r="L164" s="13">
        <v>0</v>
      </c>
      <c r="M164" s="11">
        <v>0</v>
      </c>
      <c r="N164" s="13">
        <v>0</v>
      </c>
      <c r="O164" s="13">
        <v>0</v>
      </c>
      <c r="P164" s="11">
        <v>0</v>
      </c>
      <c r="Q164" s="13">
        <v>0</v>
      </c>
      <c r="R164" s="13">
        <v>0</v>
      </c>
      <c r="S164" s="11">
        <v>0</v>
      </c>
      <c r="T164" s="13">
        <v>0</v>
      </c>
      <c r="U164" s="13">
        <v>0</v>
      </c>
      <c r="V164" s="11">
        <v>0</v>
      </c>
      <c r="W164" s="13">
        <v>0</v>
      </c>
      <c r="X164" s="13">
        <v>0</v>
      </c>
      <c r="Y164" s="11">
        <v>0</v>
      </c>
    </row>
    <row r="165" spans="1:25" x14ac:dyDescent="0.3">
      <c r="A165" s="10" t="s">
        <v>151</v>
      </c>
      <c r="B165" s="7">
        <v>2022</v>
      </c>
      <c r="C165" s="11">
        <v>164</v>
      </c>
      <c r="D165" s="7" t="s">
        <v>408</v>
      </c>
      <c r="E165" s="7" t="s">
        <v>83</v>
      </c>
      <c r="F165" s="7" t="s">
        <v>405</v>
      </c>
      <c r="G165" s="12" t="s">
        <v>154</v>
      </c>
      <c r="H165" s="7" t="s">
        <v>155</v>
      </c>
      <c r="I165" s="7" t="s">
        <v>155</v>
      </c>
      <c r="J165" s="7" t="s">
        <v>154</v>
      </c>
      <c r="K165" s="13">
        <v>0</v>
      </c>
      <c r="L165" s="13">
        <v>0</v>
      </c>
      <c r="M165" s="11">
        <v>0</v>
      </c>
      <c r="N165" s="13">
        <v>0</v>
      </c>
      <c r="O165" s="13">
        <v>0</v>
      </c>
      <c r="P165" s="11">
        <v>0</v>
      </c>
      <c r="Q165" s="13">
        <v>0</v>
      </c>
      <c r="R165" s="13">
        <v>0</v>
      </c>
      <c r="S165" s="11">
        <v>0</v>
      </c>
      <c r="T165" s="13">
        <v>0</v>
      </c>
      <c r="U165" s="13">
        <v>0</v>
      </c>
      <c r="V165" s="11">
        <v>0</v>
      </c>
      <c r="W165" s="13">
        <v>0</v>
      </c>
      <c r="X165" s="13">
        <v>0</v>
      </c>
      <c r="Y165" s="11">
        <v>0</v>
      </c>
    </row>
    <row r="166" spans="1:25" x14ac:dyDescent="0.3">
      <c r="A166" s="10" t="s">
        <v>151</v>
      </c>
      <c r="B166" s="7">
        <v>2022</v>
      </c>
      <c r="C166" s="11">
        <v>165</v>
      </c>
      <c r="D166" s="7" t="s">
        <v>409</v>
      </c>
      <c r="E166" s="7" t="s">
        <v>83</v>
      </c>
      <c r="F166" s="7" t="s">
        <v>405</v>
      </c>
      <c r="G166" s="12" t="s">
        <v>154</v>
      </c>
      <c r="H166" s="7" t="s">
        <v>155</v>
      </c>
      <c r="I166" s="7" t="s">
        <v>155</v>
      </c>
      <c r="J166" s="7" t="s">
        <v>154</v>
      </c>
      <c r="K166" s="13">
        <v>0</v>
      </c>
      <c r="L166" s="13">
        <v>0</v>
      </c>
      <c r="M166" s="11">
        <v>0</v>
      </c>
      <c r="N166" s="13">
        <v>0</v>
      </c>
      <c r="O166" s="13">
        <v>0</v>
      </c>
      <c r="P166" s="11">
        <v>0</v>
      </c>
      <c r="Q166" s="13">
        <v>0</v>
      </c>
      <c r="R166" s="13">
        <v>0</v>
      </c>
      <c r="S166" s="11">
        <v>0</v>
      </c>
      <c r="T166" s="13">
        <v>0</v>
      </c>
      <c r="U166" s="13">
        <v>0</v>
      </c>
      <c r="V166" s="11">
        <v>0</v>
      </c>
      <c r="W166" s="13">
        <v>0</v>
      </c>
      <c r="X166" s="13">
        <v>0</v>
      </c>
      <c r="Y166" s="11">
        <v>0</v>
      </c>
    </row>
    <row r="167" spans="1:25" x14ac:dyDescent="0.3">
      <c r="A167" s="10" t="s">
        <v>151</v>
      </c>
      <c r="B167" s="7">
        <v>2022</v>
      </c>
      <c r="C167" s="11">
        <v>166</v>
      </c>
      <c r="D167" s="7" t="s">
        <v>410</v>
      </c>
      <c r="E167" s="7" t="s">
        <v>83</v>
      </c>
      <c r="F167" s="7" t="s">
        <v>405</v>
      </c>
      <c r="G167" s="12" t="s">
        <v>154</v>
      </c>
      <c r="H167" s="7" t="s">
        <v>155</v>
      </c>
      <c r="I167" s="7" t="s">
        <v>155</v>
      </c>
      <c r="J167" s="7" t="s">
        <v>154</v>
      </c>
      <c r="K167" s="13">
        <v>0</v>
      </c>
      <c r="L167" s="13">
        <v>0</v>
      </c>
      <c r="M167" s="11">
        <v>0</v>
      </c>
      <c r="N167" s="13">
        <v>0</v>
      </c>
      <c r="O167" s="13">
        <v>0</v>
      </c>
      <c r="P167" s="11">
        <v>0</v>
      </c>
      <c r="Q167" s="13">
        <v>0</v>
      </c>
      <c r="R167" s="13">
        <v>0</v>
      </c>
      <c r="S167" s="11">
        <v>0</v>
      </c>
      <c r="T167" s="13">
        <v>0</v>
      </c>
      <c r="U167" s="13">
        <v>0</v>
      </c>
      <c r="V167" s="11">
        <v>0</v>
      </c>
      <c r="W167" s="13">
        <v>0</v>
      </c>
      <c r="X167" s="13">
        <v>0</v>
      </c>
      <c r="Y167" s="11">
        <v>0</v>
      </c>
    </row>
    <row r="168" spans="1:25" x14ac:dyDescent="0.3">
      <c r="A168" s="10" t="s">
        <v>151</v>
      </c>
      <c r="B168" s="7">
        <v>2022</v>
      </c>
      <c r="C168" s="11">
        <v>167</v>
      </c>
      <c r="D168" s="7" t="s">
        <v>411</v>
      </c>
      <c r="E168" s="7" t="s">
        <v>83</v>
      </c>
      <c r="F168" s="7" t="s">
        <v>412</v>
      </c>
      <c r="G168" s="12" t="s">
        <v>154</v>
      </c>
      <c r="H168" s="7" t="s">
        <v>155</v>
      </c>
      <c r="I168" s="7" t="s">
        <v>155</v>
      </c>
      <c r="J168" s="7" t="s">
        <v>154</v>
      </c>
      <c r="K168" s="13">
        <v>0</v>
      </c>
      <c r="L168" s="13">
        <v>0</v>
      </c>
      <c r="M168" s="11">
        <v>0</v>
      </c>
      <c r="N168" s="13">
        <v>0</v>
      </c>
      <c r="O168" s="13">
        <v>0</v>
      </c>
      <c r="P168" s="11">
        <v>0</v>
      </c>
      <c r="Q168" s="13">
        <v>0</v>
      </c>
      <c r="R168" s="13">
        <v>0</v>
      </c>
      <c r="S168" s="11">
        <v>0</v>
      </c>
      <c r="T168" s="13">
        <v>0</v>
      </c>
      <c r="U168" s="13">
        <v>0</v>
      </c>
      <c r="V168" s="11">
        <v>0</v>
      </c>
      <c r="W168" s="13">
        <v>0</v>
      </c>
      <c r="X168" s="13">
        <v>0</v>
      </c>
      <c r="Y168" s="11">
        <v>0</v>
      </c>
    </row>
    <row r="169" spans="1:25" x14ac:dyDescent="0.3">
      <c r="A169" s="10" t="s">
        <v>151</v>
      </c>
      <c r="B169" s="7">
        <v>2022</v>
      </c>
      <c r="C169" s="11">
        <v>168</v>
      </c>
      <c r="D169" s="7" t="s">
        <v>413</v>
      </c>
      <c r="E169" s="7" t="s">
        <v>83</v>
      </c>
      <c r="F169" s="7" t="s">
        <v>412</v>
      </c>
      <c r="G169" s="12" t="s">
        <v>154</v>
      </c>
      <c r="H169" s="7" t="s">
        <v>155</v>
      </c>
      <c r="I169" s="7" t="s">
        <v>155</v>
      </c>
      <c r="J169" s="7" t="s">
        <v>154</v>
      </c>
      <c r="K169" s="13">
        <v>0</v>
      </c>
      <c r="L169" s="13">
        <v>0</v>
      </c>
      <c r="M169" s="11">
        <v>0</v>
      </c>
      <c r="N169" s="13">
        <v>0</v>
      </c>
      <c r="O169" s="13">
        <v>0</v>
      </c>
      <c r="P169" s="11">
        <v>0</v>
      </c>
      <c r="Q169" s="13">
        <v>0</v>
      </c>
      <c r="R169" s="13">
        <v>0</v>
      </c>
      <c r="S169" s="11">
        <v>0</v>
      </c>
      <c r="T169" s="13">
        <v>0</v>
      </c>
      <c r="U169" s="13">
        <v>0</v>
      </c>
      <c r="V169" s="11">
        <v>0</v>
      </c>
      <c r="W169" s="13">
        <v>0</v>
      </c>
      <c r="X169" s="13">
        <v>0</v>
      </c>
      <c r="Y169" s="11">
        <v>0</v>
      </c>
    </row>
    <row r="170" spans="1:25" x14ac:dyDescent="0.3">
      <c r="A170" s="10" t="s">
        <v>151</v>
      </c>
      <c r="B170" s="7">
        <v>2022</v>
      </c>
      <c r="C170" s="11">
        <v>169</v>
      </c>
      <c r="D170" s="7" t="s">
        <v>414</v>
      </c>
      <c r="E170" s="7" t="s">
        <v>83</v>
      </c>
      <c r="F170" s="7" t="s">
        <v>412</v>
      </c>
      <c r="G170" s="12" t="s">
        <v>154</v>
      </c>
      <c r="H170" s="7" t="s">
        <v>155</v>
      </c>
      <c r="I170" s="7" t="s">
        <v>155</v>
      </c>
      <c r="J170" s="7" t="s">
        <v>154</v>
      </c>
      <c r="K170" s="13">
        <v>0</v>
      </c>
      <c r="L170" s="13">
        <v>0</v>
      </c>
      <c r="M170" s="11">
        <v>0</v>
      </c>
      <c r="N170" s="13">
        <v>0</v>
      </c>
      <c r="O170" s="13">
        <v>0</v>
      </c>
      <c r="P170" s="11">
        <v>0</v>
      </c>
      <c r="Q170" s="13">
        <v>0</v>
      </c>
      <c r="R170" s="13">
        <v>0</v>
      </c>
      <c r="S170" s="11">
        <v>0</v>
      </c>
      <c r="T170" s="13">
        <v>0</v>
      </c>
      <c r="U170" s="13">
        <v>0</v>
      </c>
      <c r="V170" s="11">
        <v>0</v>
      </c>
      <c r="W170" s="13">
        <v>0</v>
      </c>
      <c r="X170" s="13">
        <v>0</v>
      </c>
      <c r="Y170" s="11">
        <v>0</v>
      </c>
    </row>
    <row r="171" spans="1:25" x14ac:dyDescent="0.3">
      <c r="A171" s="10" t="s">
        <v>151</v>
      </c>
      <c r="B171" s="7">
        <v>2022</v>
      </c>
      <c r="C171" s="11">
        <v>170</v>
      </c>
      <c r="D171" s="7" t="s">
        <v>415</v>
      </c>
      <c r="E171" s="7" t="s">
        <v>83</v>
      </c>
      <c r="F171" s="7" t="s">
        <v>412</v>
      </c>
      <c r="G171" s="12" t="s">
        <v>154</v>
      </c>
      <c r="H171" s="7" t="s">
        <v>155</v>
      </c>
      <c r="I171" s="7" t="s">
        <v>155</v>
      </c>
      <c r="J171" s="7" t="s">
        <v>154</v>
      </c>
      <c r="K171" s="13">
        <v>0</v>
      </c>
      <c r="L171" s="13">
        <v>0</v>
      </c>
      <c r="M171" s="11">
        <v>0</v>
      </c>
      <c r="N171" s="13">
        <v>0</v>
      </c>
      <c r="O171" s="13">
        <v>0</v>
      </c>
      <c r="P171" s="11">
        <v>0</v>
      </c>
      <c r="Q171" s="13">
        <v>0</v>
      </c>
      <c r="R171" s="13">
        <v>0</v>
      </c>
      <c r="S171" s="11">
        <v>0</v>
      </c>
      <c r="T171" s="13">
        <v>0</v>
      </c>
      <c r="U171" s="13">
        <v>0</v>
      </c>
      <c r="V171" s="11">
        <v>0</v>
      </c>
      <c r="W171" s="13">
        <v>0</v>
      </c>
      <c r="X171" s="13">
        <v>0</v>
      </c>
      <c r="Y171" s="11">
        <v>0</v>
      </c>
    </row>
    <row r="172" spans="1:25" x14ac:dyDescent="0.3">
      <c r="A172" s="10" t="s">
        <v>151</v>
      </c>
      <c r="B172" s="7">
        <v>2022</v>
      </c>
      <c r="C172" s="11">
        <v>171</v>
      </c>
      <c r="D172" s="7" t="s">
        <v>416</v>
      </c>
      <c r="E172" s="7" t="s">
        <v>83</v>
      </c>
      <c r="F172" s="7" t="s">
        <v>412</v>
      </c>
      <c r="G172" s="12" t="s">
        <v>154</v>
      </c>
      <c r="H172" s="7" t="s">
        <v>155</v>
      </c>
      <c r="I172" s="7" t="s">
        <v>155</v>
      </c>
      <c r="J172" s="7" t="s">
        <v>154</v>
      </c>
      <c r="K172" s="13">
        <v>0</v>
      </c>
      <c r="L172" s="13">
        <v>0</v>
      </c>
      <c r="M172" s="11">
        <v>0</v>
      </c>
      <c r="N172" s="13">
        <v>0</v>
      </c>
      <c r="O172" s="13">
        <v>0</v>
      </c>
      <c r="P172" s="11">
        <v>0</v>
      </c>
      <c r="Q172" s="13">
        <v>0</v>
      </c>
      <c r="R172" s="13">
        <v>0</v>
      </c>
      <c r="S172" s="11">
        <v>0</v>
      </c>
      <c r="T172" s="13">
        <v>0</v>
      </c>
      <c r="U172" s="13">
        <v>0</v>
      </c>
      <c r="V172" s="11">
        <v>0</v>
      </c>
      <c r="W172" s="13">
        <v>0</v>
      </c>
      <c r="X172" s="13">
        <v>0</v>
      </c>
      <c r="Y172" s="11">
        <v>0</v>
      </c>
    </row>
    <row r="173" spans="1:25" x14ac:dyDescent="0.3">
      <c r="A173" s="10" t="s">
        <v>151</v>
      </c>
      <c r="B173" s="7">
        <v>2022</v>
      </c>
      <c r="C173" s="11">
        <v>172</v>
      </c>
      <c r="D173" s="7" t="s">
        <v>417</v>
      </c>
      <c r="E173" s="7" t="s">
        <v>83</v>
      </c>
      <c r="F173" s="7" t="s">
        <v>418</v>
      </c>
      <c r="G173" s="12" t="s">
        <v>154</v>
      </c>
      <c r="H173" s="7" t="s">
        <v>155</v>
      </c>
      <c r="I173" s="7" t="s">
        <v>155</v>
      </c>
      <c r="J173" s="7" t="s">
        <v>154</v>
      </c>
      <c r="K173" s="13">
        <v>0</v>
      </c>
      <c r="L173" s="13">
        <v>0</v>
      </c>
      <c r="M173" s="11">
        <v>0</v>
      </c>
      <c r="N173" s="13">
        <v>0</v>
      </c>
      <c r="O173" s="13">
        <v>0</v>
      </c>
      <c r="P173" s="11">
        <v>0</v>
      </c>
      <c r="Q173" s="13">
        <v>0</v>
      </c>
      <c r="R173" s="13">
        <v>0</v>
      </c>
      <c r="S173" s="11">
        <v>0</v>
      </c>
      <c r="T173" s="13">
        <v>0</v>
      </c>
      <c r="U173" s="13">
        <v>0</v>
      </c>
      <c r="V173" s="11">
        <v>0</v>
      </c>
      <c r="W173" s="13">
        <v>0</v>
      </c>
      <c r="X173" s="13">
        <v>0</v>
      </c>
      <c r="Y173" s="11">
        <v>0</v>
      </c>
    </row>
    <row r="174" spans="1:25" x14ac:dyDescent="0.3">
      <c r="A174" s="10" t="s">
        <v>151</v>
      </c>
      <c r="B174" s="7">
        <v>2022</v>
      </c>
      <c r="C174" s="11">
        <v>173</v>
      </c>
      <c r="D174" s="7" t="s">
        <v>419</v>
      </c>
      <c r="E174" s="7" t="s">
        <v>83</v>
      </c>
      <c r="F174" s="7" t="s">
        <v>154</v>
      </c>
      <c r="G174" s="14" t="s">
        <v>420</v>
      </c>
      <c r="H174" s="7" t="s">
        <v>155</v>
      </c>
      <c r="I174" s="7" t="s">
        <v>155</v>
      </c>
      <c r="J174" s="7" t="s">
        <v>154</v>
      </c>
      <c r="K174" s="13">
        <v>0</v>
      </c>
      <c r="L174" s="13">
        <v>0</v>
      </c>
      <c r="M174" s="11">
        <v>0</v>
      </c>
      <c r="N174" s="13">
        <v>0</v>
      </c>
      <c r="O174" s="13">
        <v>0</v>
      </c>
      <c r="P174" s="11">
        <v>0</v>
      </c>
      <c r="Q174" s="13">
        <v>0</v>
      </c>
      <c r="R174" s="13">
        <v>0</v>
      </c>
      <c r="S174" s="11">
        <v>0</v>
      </c>
      <c r="T174" s="13">
        <v>0</v>
      </c>
      <c r="U174" s="13">
        <v>0</v>
      </c>
      <c r="V174" s="11">
        <v>0</v>
      </c>
      <c r="W174" s="13">
        <v>0</v>
      </c>
      <c r="X174" s="13">
        <v>0</v>
      </c>
      <c r="Y174" s="11">
        <v>0</v>
      </c>
    </row>
    <row r="175" spans="1:25" x14ac:dyDescent="0.3">
      <c r="A175" s="10" t="s">
        <v>151</v>
      </c>
      <c r="B175" s="7">
        <v>2022</v>
      </c>
      <c r="C175" s="11">
        <v>174</v>
      </c>
      <c r="D175" s="7" t="s">
        <v>421</v>
      </c>
      <c r="E175" s="7" t="s">
        <v>83</v>
      </c>
      <c r="F175" s="7" t="s">
        <v>422</v>
      </c>
      <c r="G175" s="12" t="s">
        <v>154</v>
      </c>
      <c r="H175" s="7" t="s">
        <v>155</v>
      </c>
      <c r="I175" s="7" t="s">
        <v>155</v>
      </c>
      <c r="J175" s="7" t="s">
        <v>154</v>
      </c>
      <c r="K175" s="13">
        <v>0</v>
      </c>
      <c r="L175" s="13">
        <v>0</v>
      </c>
      <c r="M175" s="11">
        <v>0</v>
      </c>
      <c r="N175" s="13">
        <v>0</v>
      </c>
      <c r="O175" s="13">
        <v>0</v>
      </c>
      <c r="P175" s="11">
        <v>0</v>
      </c>
      <c r="Q175" s="13">
        <v>0</v>
      </c>
      <c r="R175" s="13">
        <v>0</v>
      </c>
      <c r="S175" s="11">
        <v>0</v>
      </c>
      <c r="T175" s="13">
        <v>0</v>
      </c>
      <c r="U175" s="13">
        <v>0</v>
      </c>
      <c r="V175" s="11">
        <v>0</v>
      </c>
      <c r="W175" s="13">
        <v>0</v>
      </c>
      <c r="X175" s="13">
        <v>0</v>
      </c>
      <c r="Y175" s="11">
        <v>0</v>
      </c>
    </row>
    <row r="176" spans="1:25" x14ac:dyDescent="0.3">
      <c r="A176" s="10" t="s">
        <v>151</v>
      </c>
      <c r="B176" s="7">
        <v>2022</v>
      </c>
      <c r="C176" s="11">
        <v>175</v>
      </c>
      <c r="D176" s="7" t="s">
        <v>423</v>
      </c>
      <c r="E176" s="7" t="s">
        <v>83</v>
      </c>
      <c r="F176" s="7" t="s">
        <v>424</v>
      </c>
      <c r="G176" s="12" t="s">
        <v>154</v>
      </c>
      <c r="H176" s="7" t="s">
        <v>155</v>
      </c>
      <c r="I176" s="7" t="s">
        <v>155</v>
      </c>
      <c r="J176" s="7" t="s">
        <v>154</v>
      </c>
      <c r="K176" s="13">
        <v>0</v>
      </c>
      <c r="L176" s="13">
        <v>0</v>
      </c>
      <c r="M176" s="11">
        <v>0</v>
      </c>
      <c r="N176" s="13">
        <v>0</v>
      </c>
      <c r="O176" s="13">
        <v>0</v>
      </c>
      <c r="P176" s="11">
        <v>0</v>
      </c>
      <c r="Q176" s="13">
        <v>0</v>
      </c>
      <c r="R176" s="13">
        <v>0</v>
      </c>
      <c r="S176" s="11">
        <v>0</v>
      </c>
      <c r="T176" s="13">
        <v>0</v>
      </c>
      <c r="U176" s="13">
        <v>0</v>
      </c>
      <c r="V176" s="11">
        <v>0</v>
      </c>
      <c r="W176" s="13">
        <v>0</v>
      </c>
      <c r="X176" s="13">
        <v>0</v>
      </c>
      <c r="Y176" s="11">
        <v>0</v>
      </c>
    </row>
    <row r="177" spans="1:25" x14ac:dyDescent="0.3">
      <c r="A177" s="10" t="s">
        <v>151</v>
      </c>
      <c r="B177" s="7">
        <v>2022</v>
      </c>
      <c r="C177" s="11">
        <v>176</v>
      </c>
      <c r="D177" s="7" t="s">
        <v>425</v>
      </c>
      <c r="E177" s="7" t="s">
        <v>83</v>
      </c>
      <c r="F177" s="7" t="s">
        <v>426</v>
      </c>
      <c r="G177" s="12" t="s">
        <v>154</v>
      </c>
      <c r="H177" s="7" t="s">
        <v>155</v>
      </c>
      <c r="I177" s="7" t="s">
        <v>155</v>
      </c>
      <c r="J177" s="7" t="s">
        <v>154</v>
      </c>
      <c r="K177" s="13">
        <v>0</v>
      </c>
      <c r="L177" s="13">
        <v>0</v>
      </c>
      <c r="M177" s="11">
        <v>0</v>
      </c>
      <c r="N177" s="13">
        <v>0</v>
      </c>
      <c r="O177" s="13">
        <v>0</v>
      </c>
      <c r="P177" s="11">
        <v>0</v>
      </c>
      <c r="Q177" s="13">
        <v>0</v>
      </c>
      <c r="R177" s="13">
        <v>0</v>
      </c>
      <c r="S177" s="11">
        <v>0</v>
      </c>
      <c r="T177" s="13">
        <v>0</v>
      </c>
      <c r="U177" s="13">
        <v>0</v>
      </c>
      <c r="V177" s="11">
        <v>0</v>
      </c>
      <c r="W177" s="13">
        <v>0</v>
      </c>
      <c r="X177" s="13">
        <v>0</v>
      </c>
      <c r="Y177" s="11">
        <v>0</v>
      </c>
    </row>
    <row r="178" spans="1:25" x14ac:dyDescent="0.3">
      <c r="A178" s="10" t="s">
        <v>151</v>
      </c>
      <c r="B178" s="7">
        <v>2022</v>
      </c>
      <c r="C178" s="11">
        <v>177</v>
      </c>
      <c r="D178" s="7" t="s">
        <v>427</v>
      </c>
      <c r="E178" s="7" t="s">
        <v>83</v>
      </c>
      <c r="F178" s="7" t="s">
        <v>428</v>
      </c>
      <c r="G178" s="12" t="s">
        <v>154</v>
      </c>
      <c r="H178" s="7" t="s">
        <v>155</v>
      </c>
      <c r="I178" s="7" t="s">
        <v>155</v>
      </c>
      <c r="J178" s="7" t="s">
        <v>154</v>
      </c>
      <c r="K178" s="13">
        <v>0</v>
      </c>
      <c r="L178" s="13">
        <v>0</v>
      </c>
      <c r="M178" s="11">
        <v>0</v>
      </c>
      <c r="N178" s="13">
        <v>0</v>
      </c>
      <c r="O178" s="13">
        <v>0</v>
      </c>
      <c r="P178" s="11">
        <v>0</v>
      </c>
      <c r="Q178" s="13">
        <v>0</v>
      </c>
      <c r="R178" s="13">
        <v>0</v>
      </c>
      <c r="S178" s="11">
        <v>0</v>
      </c>
      <c r="T178" s="13">
        <v>0</v>
      </c>
      <c r="U178" s="13">
        <v>0</v>
      </c>
      <c r="V178" s="11">
        <v>0</v>
      </c>
      <c r="W178" s="13">
        <v>0</v>
      </c>
      <c r="X178" s="13">
        <v>0</v>
      </c>
      <c r="Y178" s="11">
        <v>0</v>
      </c>
    </row>
    <row r="179" spans="1:25" x14ac:dyDescent="0.3">
      <c r="A179" s="10" t="s">
        <v>151</v>
      </c>
      <c r="B179" s="7">
        <v>2022</v>
      </c>
      <c r="C179" s="11">
        <v>178</v>
      </c>
      <c r="D179" s="7" t="s">
        <v>429</v>
      </c>
      <c r="E179" s="7" t="s">
        <v>83</v>
      </c>
      <c r="F179" s="7" t="s">
        <v>430</v>
      </c>
      <c r="G179" s="12" t="s">
        <v>154</v>
      </c>
      <c r="H179" s="7" t="s">
        <v>155</v>
      </c>
      <c r="I179" s="7" t="s">
        <v>155</v>
      </c>
      <c r="J179" s="7" t="s">
        <v>154</v>
      </c>
      <c r="K179" s="13">
        <v>0</v>
      </c>
      <c r="L179" s="13">
        <v>0</v>
      </c>
      <c r="M179" s="11">
        <v>0</v>
      </c>
      <c r="N179" s="13">
        <v>0</v>
      </c>
      <c r="O179" s="13">
        <v>0</v>
      </c>
      <c r="P179" s="11">
        <v>0</v>
      </c>
      <c r="Q179" s="13">
        <v>0</v>
      </c>
      <c r="R179" s="13">
        <v>0</v>
      </c>
      <c r="S179" s="11">
        <v>0</v>
      </c>
      <c r="T179" s="13">
        <v>0</v>
      </c>
      <c r="U179" s="13">
        <v>0</v>
      </c>
      <c r="V179" s="11">
        <v>0</v>
      </c>
      <c r="W179" s="13">
        <v>0</v>
      </c>
      <c r="X179" s="13">
        <v>0</v>
      </c>
      <c r="Y179" s="11">
        <v>0</v>
      </c>
    </row>
    <row r="180" spans="1:25" x14ac:dyDescent="0.3">
      <c r="A180" s="10" t="s">
        <v>151</v>
      </c>
      <c r="B180" s="7">
        <v>2022</v>
      </c>
      <c r="C180" s="11">
        <v>179</v>
      </c>
      <c r="D180" s="7" t="s">
        <v>431</v>
      </c>
      <c r="E180" s="7" t="s">
        <v>83</v>
      </c>
      <c r="F180" s="7" t="s">
        <v>432</v>
      </c>
      <c r="G180" s="12" t="s">
        <v>154</v>
      </c>
      <c r="H180" s="7" t="s">
        <v>155</v>
      </c>
      <c r="I180" s="7" t="s">
        <v>155</v>
      </c>
      <c r="J180" s="7" t="s">
        <v>154</v>
      </c>
      <c r="K180" s="13">
        <v>0</v>
      </c>
      <c r="L180" s="13">
        <v>0</v>
      </c>
      <c r="M180" s="11">
        <v>0</v>
      </c>
      <c r="N180" s="13">
        <v>0</v>
      </c>
      <c r="O180" s="13">
        <v>0</v>
      </c>
      <c r="P180" s="11">
        <v>0</v>
      </c>
      <c r="Q180" s="13">
        <v>0</v>
      </c>
      <c r="R180" s="13">
        <v>0</v>
      </c>
      <c r="S180" s="11">
        <v>0</v>
      </c>
      <c r="T180" s="13">
        <v>0</v>
      </c>
      <c r="U180" s="13">
        <v>0</v>
      </c>
      <c r="V180" s="11">
        <v>0</v>
      </c>
      <c r="W180" s="13">
        <v>0</v>
      </c>
      <c r="X180" s="13">
        <v>0</v>
      </c>
      <c r="Y180" s="11">
        <v>0</v>
      </c>
    </row>
    <row r="181" spans="1:25" x14ac:dyDescent="0.3">
      <c r="A181" s="10" t="s">
        <v>151</v>
      </c>
      <c r="B181" s="7">
        <v>2022</v>
      </c>
      <c r="C181" s="11">
        <v>180</v>
      </c>
      <c r="D181" s="7" t="s">
        <v>433</v>
      </c>
      <c r="E181" s="7" t="s">
        <v>83</v>
      </c>
      <c r="F181" s="7" t="s">
        <v>434</v>
      </c>
      <c r="G181" s="12" t="s">
        <v>154</v>
      </c>
      <c r="H181" s="7" t="s">
        <v>155</v>
      </c>
      <c r="I181" s="7" t="s">
        <v>155</v>
      </c>
      <c r="J181" s="7" t="s">
        <v>154</v>
      </c>
      <c r="K181" s="13">
        <v>0</v>
      </c>
      <c r="L181" s="13">
        <v>0</v>
      </c>
      <c r="M181" s="11">
        <v>0</v>
      </c>
      <c r="N181" s="13">
        <v>0</v>
      </c>
      <c r="O181" s="13">
        <v>0</v>
      </c>
      <c r="P181" s="11">
        <v>0</v>
      </c>
      <c r="Q181" s="13">
        <v>0</v>
      </c>
      <c r="R181" s="13">
        <v>0</v>
      </c>
      <c r="S181" s="11">
        <v>0</v>
      </c>
      <c r="T181" s="13">
        <v>0</v>
      </c>
      <c r="U181" s="13">
        <v>0</v>
      </c>
      <c r="V181" s="11">
        <v>0</v>
      </c>
      <c r="W181" s="13">
        <v>0</v>
      </c>
      <c r="X181" s="13">
        <v>0</v>
      </c>
      <c r="Y181" s="11">
        <v>0</v>
      </c>
    </row>
    <row r="182" spans="1:25" x14ac:dyDescent="0.3">
      <c r="A182" s="10" t="s">
        <v>151</v>
      </c>
      <c r="B182" s="7">
        <v>2022</v>
      </c>
      <c r="C182" s="11">
        <v>181</v>
      </c>
      <c r="D182" s="7" t="s">
        <v>435</v>
      </c>
      <c r="E182" s="7" t="s">
        <v>83</v>
      </c>
      <c r="F182" s="7" t="s">
        <v>436</v>
      </c>
      <c r="G182" s="12" t="s">
        <v>154</v>
      </c>
      <c r="H182" s="7" t="s">
        <v>155</v>
      </c>
      <c r="I182" s="7" t="s">
        <v>155</v>
      </c>
      <c r="J182" s="7" t="s">
        <v>154</v>
      </c>
      <c r="K182" s="13">
        <v>0</v>
      </c>
      <c r="L182" s="13">
        <v>0</v>
      </c>
      <c r="M182" s="11">
        <v>0</v>
      </c>
      <c r="N182" s="13">
        <v>0</v>
      </c>
      <c r="O182" s="13">
        <v>0</v>
      </c>
      <c r="P182" s="11">
        <v>0</v>
      </c>
      <c r="Q182" s="13">
        <v>0</v>
      </c>
      <c r="R182" s="13">
        <v>0</v>
      </c>
      <c r="S182" s="11">
        <v>0</v>
      </c>
      <c r="T182" s="13">
        <v>0</v>
      </c>
      <c r="U182" s="13">
        <v>0</v>
      </c>
      <c r="V182" s="11">
        <v>0</v>
      </c>
      <c r="W182" s="13">
        <v>0</v>
      </c>
      <c r="X182" s="13">
        <v>0</v>
      </c>
      <c r="Y182" s="11">
        <v>0</v>
      </c>
    </row>
    <row r="183" spans="1:25" x14ac:dyDescent="0.3">
      <c r="A183" s="10" t="s">
        <v>151</v>
      </c>
      <c r="B183" s="7">
        <v>2022</v>
      </c>
      <c r="C183" s="11">
        <v>182</v>
      </c>
      <c r="D183" s="7" t="s">
        <v>437</v>
      </c>
      <c r="E183" s="7" t="s">
        <v>83</v>
      </c>
      <c r="F183" s="7" t="s">
        <v>438</v>
      </c>
      <c r="G183" s="12" t="s">
        <v>154</v>
      </c>
      <c r="H183" s="7" t="s">
        <v>155</v>
      </c>
      <c r="I183" s="7" t="s">
        <v>155</v>
      </c>
      <c r="J183" s="7" t="s">
        <v>154</v>
      </c>
      <c r="K183" s="13">
        <v>0</v>
      </c>
      <c r="L183" s="13">
        <v>0</v>
      </c>
      <c r="M183" s="11">
        <v>0</v>
      </c>
      <c r="N183" s="13">
        <v>0</v>
      </c>
      <c r="O183" s="13">
        <v>0</v>
      </c>
      <c r="P183" s="11">
        <v>0</v>
      </c>
      <c r="Q183" s="13">
        <v>0</v>
      </c>
      <c r="R183" s="13">
        <v>0</v>
      </c>
      <c r="S183" s="11">
        <v>0</v>
      </c>
      <c r="T183" s="13">
        <v>0</v>
      </c>
      <c r="U183" s="13">
        <v>0</v>
      </c>
      <c r="V183" s="11">
        <v>0</v>
      </c>
      <c r="W183" s="13">
        <v>0</v>
      </c>
      <c r="X183" s="13">
        <v>0</v>
      </c>
      <c r="Y183" s="11">
        <v>0</v>
      </c>
    </row>
    <row r="184" spans="1:25" x14ac:dyDescent="0.3">
      <c r="A184" s="10" t="s">
        <v>151</v>
      </c>
      <c r="B184" s="7">
        <v>2022</v>
      </c>
      <c r="C184" s="11">
        <v>183</v>
      </c>
      <c r="D184" s="7" t="s">
        <v>439</v>
      </c>
      <c r="E184" s="7" t="s">
        <v>83</v>
      </c>
      <c r="F184" s="7" t="s">
        <v>440</v>
      </c>
      <c r="G184" s="12" t="s">
        <v>154</v>
      </c>
      <c r="H184" s="7" t="s">
        <v>155</v>
      </c>
      <c r="I184" s="7" t="s">
        <v>155</v>
      </c>
      <c r="J184" s="7" t="s">
        <v>154</v>
      </c>
      <c r="K184" s="13">
        <v>0</v>
      </c>
      <c r="L184" s="13">
        <v>0</v>
      </c>
      <c r="M184" s="11">
        <v>0</v>
      </c>
      <c r="N184" s="13">
        <v>0</v>
      </c>
      <c r="O184" s="13">
        <v>0</v>
      </c>
      <c r="P184" s="11">
        <v>0</v>
      </c>
      <c r="Q184" s="13">
        <v>0</v>
      </c>
      <c r="R184" s="13">
        <v>0</v>
      </c>
      <c r="S184" s="11">
        <v>0</v>
      </c>
      <c r="T184" s="13">
        <v>0</v>
      </c>
      <c r="U184" s="13">
        <v>0</v>
      </c>
      <c r="V184" s="11">
        <v>0</v>
      </c>
      <c r="W184" s="13">
        <v>0</v>
      </c>
      <c r="X184" s="13">
        <v>0</v>
      </c>
      <c r="Y184" s="11">
        <v>0</v>
      </c>
    </row>
    <row r="185" spans="1:25" x14ac:dyDescent="0.3">
      <c r="A185" s="10" t="s">
        <v>151</v>
      </c>
      <c r="B185" s="7">
        <v>2022</v>
      </c>
      <c r="C185" s="11">
        <v>184</v>
      </c>
      <c r="D185" s="7" t="s">
        <v>441</v>
      </c>
      <c r="E185" s="7" t="s">
        <v>83</v>
      </c>
      <c r="F185" s="7" t="s">
        <v>442</v>
      </c>
      <c r="G185" s="12" t="s">
        <v>154</v>
      </c>
      <c r="H185" s="7" t="s">
        <v>155</v>
      </c>
      <c r="I185" s="7" t="s">
        <v>155</v>
      </c>
      <c r="J185" s="7" t="s">
        <v>154</v>
      </c>
      <c r="K185" s="13">
        <v>0</v>
      </c>
      <c r="L185" s="13">
        <v>0</v>
      </c>
      <c r="M185" s="11">
        <v>0</v>
      </c>
      <c r="N185" s="13">
        <v>0</v>
      </c>
      <c r="O185" s="13">
        <v>0</v>
      </c>
      <c r="P185" s="11">
        <v>0</v>
      </c>
      <c r="Q185" s="13">
        <v>0</v>
      </c>
      <c r="R185" s="13">
        <v>0</v>
      </c>
      <c r="S185" s="11">
        <v>0</v>
      </c>
      <c r="T185" s="13">
        <v>0</v>
      </c>
      <c r="U185" s="13">
        <v>0</v>
      </c>
      <c r="V185" s="11">
        <v>0</v>
      </c>
      <c r="W185" s="13">
        <v>0</v>
      </c>
      <c r="X185" s="13">
        <v>0</v>
      </c>
      <c r="Y185" s="11">
        <v>0</v>
      </c>
    </row>
    <row r="186" spans="1:25" x14ac:dyDescent="0.3">
      <c r="A186" s="10" t="s">
        <v>151</v>
      </c>
      <c r="B186" s="7">
        <v>2022</v>
      </c>
      <c r="C186" s="11">
        <v>185</v>
      </c>
      <c r="D186" s="7" t="s">
        <v>443</v>
      </c>
      <c r="E186" s="7" t="s">
        <v>83</v>
      </c>
      <c r="F186" s="7" t="s">
        <v>444</v>
      </c>
      <c r="G186" s="12" t="s">
        <v>154</v>
      </c>
      <c r="H186" s="7" t="s">
        <v>155</v>
      </c>
      <c r="I186" s="7" t="s">
        <v>155</v>
      </c>
      <c r="J186" s="7" t="s">
        <v>154</v>
      </c>
      <c r="K186" s="13">
        <v>0</v>
      </c>
      <c r="L186" s="13">
        <v>0</v>
      </c>
      <c r="M186" s="11">
        <v>0</v>
      </c>
      <c r="N186" s="13">
        <v>0</v>
      </c>
      <c r="O186" s="13">
        <v>0</v>
      </c>
      <c r="P186" s="11">
        <v>0</v>
      </c>
      <c r="Q186" s="13">
        <v>0</v>
      </c>
      <c r="R186" s="13">
        <v>0</v>
      </c>
      <c r="S186" s="11">
        <v>0</v>
      </c>
      <c r="T186" s="13">
        <v>0</v>
      </c>
      <c r="U186" s="13">
        <v>0</v>
      </c>
      <c r="V186" s="11">
        <v>0</v>
      </c>
      <c r="W186" s="13">
        <v>0</v>
      </c>
      <c r="X186" s="13">
        <v>0</v>
      </c>
      <c r="Y186" s="11">
        <v>0</v>
      </c>
    </row>
    <row r="187" spans="1:25" x14ac:dyDescent="0.3">
      <c r="A187" s="10" t="s">
        <v>151</v>
      </c>
      <c r="B187" s="7">
        <v>2022</v>
      </c>
      <c r="C187" s="11">
        <v>186</v>
      </c>
      <c r="D187" s="7" t="s">
        <v>445</v>
      </c>
      <c r="E187" s="7" t="s">
        <v>83</v>
      </c>
      <c r="F187" s="7" t="s">
        <v>446</v>
      </c>
      <c r="G187" s="12" t="s">
        <v>154</v>
      </c>
      <c r="H187" s="7" t="s">
        <v>155</v>
      </c>
      <c r="I187" s="7" t="s">
        <v>155</v>
      </c>
      <c r="J187" s="7" t="s">
        <v>154</v>
      </c>
      <c r="K187" s="13">
        <v>0</v>
      </c>
      <c r="L187" s="13">
        <v>0</v>
      </c>
      <c r="M187" s="11">
        <v>0</v>
      </c>
      <c r="N187" s="13">
        <v>0</v>
      </c>
      <c r="O187" s="13">
        <v>0</v>
      </c>
      <c r="P187" s="11">
        <v>0</v>
      </c>
      <c r="Q187" s="13">
        <v>0</v>
      </c>
      <c r="R187" s="13">
        <v>0</v>
      </c>
      <c r="S187" s="11">
        <v>0</v>
      </c>
      <c r="T187" s="13">
        <v>0</v>
      </c>
      <c r="U187" s="13">
        <v>0</v>
      </c>
      <c r="V187" s="11">
        <v>0</v>
      </c>
      <c r="W187" s="13">
        <v>0</v>
      </c>
      <c r="X187" s="13">
        <v>0</v>
      </c>
      <c r="Y187" s="11">
        <v>0</v>
      </c>
    </row>
    <row r="188" spans="1:25" x14ac:dyDescent="0.3">
      <c r="A188" s="10" t="s">
        <v>151</v>
      </c>
      <c r="B188" s="7">
        <v>2022</v>
      </c>
      <c r="C188" s="11">
        <v>187</v>
      </c>
      <c r="D188" s="7" t="s">
        <v>447</v>
      </c>
      <c r="E188" s="7" t="s">
        <v>83</v>
      </c>
      <c r="F188" s="7" t="s">
        <v>154</v>
      </c>
      <c r="G188" s="14" t="s">
        <v>448</v>
      </c>
      <c r="H188" s="7" t="s">
        <v>155</v>
      </c>
      <c r="I188" s="7" t="s">
        <v>155</v>
      </c>
      <c r="J188" s="7" t="s">
        <v>154</v>
      </c>
      <c r="K188" s="13">
        <v>0</v>
      </c>
      <c r="L188" s="13">
        <v>0</v>
      </c>
      <c r="M188" s="11">
        <v>0</v>
      </c>
      <c r="N188" s="13">
        <v>0</v>
      </c>
      <c r="O188" s="13">
        <v>0</v>
      </c>
      <c r="P188" s="11">
        <v>0</v>
      </c>
      <c r="Q188" s="13">
        <v>0</v>
      </c>
      <c r="R188" s="13">
        <v>0</v>
      </c>
      <c r="S188" s="11">
        <v>0</v>
      </c>
      <c r="T188" s="13">
        <v>0</v>
      </c>
      <c r="U188" s="13">
        <v>0</v>
      </c>
      <c r="V188" s="11">
        <v>0</v>
      </c>
      <c r="W188" s="13">
        <v>0</v>
      </c>
      <c r="X188" s="13">
        <v>0</v>
      </c>
      <c r="Y188" s="11">
        <v>0</v>
      </c>
    </row>
    <row r="189" spans="1:25" x14ac:dyDescent="0.3">
      <c r="A189" s="10" t="s">
        <v>151</v>
      </c>
      <c r="B189" s="7">
        <v>2022</v>
      </c>
      <c r="C189" s="11">
        <v>188</v>
      </c>
      <c r="D189" s="7" t="s">
        <v>449</v>
      </c>
      <c r="E189" s="7" t="s">
        <v>83</v>
      </c>
      <c r="F189" s="7" t="s">
        <v>154</v>
      </c>
      <c r="G189" s="14" t="s">
        <v>450</v>
      </c>
      <c r="H189" s="7" t="s">
        <v>155</v>
      </c>
      <c r="I189" s="7" t="s">
        <v>155</v>
      </c>
      <c r="J189" s="7" t="s">
        <v>154</v>
      </c>
      <c r="K189" s="13">
        <v>0</v>
      </c>
      <c r="L189" s="13">
        <v>0</v>
      </c>
      <c r="M189" s="11">
        <v>0</v>
      </c>
      <c r="N189" s="13">
        <v>0</v>
      </c>
      <c r="O189" s="13">
        <v>0</v>
      </c>
      <c r="P189" s="11">
        <v>0</v>
      </c>
      <c r="Q189" s="13">
        <v>0</v>
      </c>
      <c r="R189" s="13">
        <v>0</v>
      </c>
      <c r="S189" s="11">
        <v>0</v>
      </c>
      <c r="T189" s="13">
        <v>0</v>
      </c>
      <c r="U189" s="13">
        <v>0</v>
      </c>
      <c r="V189" s="11">
        <v>0</v>
      </c>
      <c r="W189" s="13">
        <v>0</v>
      </c>
      <c r="X189" s="13">
        <v>0</v>
      </c>
      <c r="Y189" s="11">
        <v>0</v>
      </c>
    </row>
    <row r="190" spans="1:25" x14ac:dyDescent="0.3">
      <c r="A190" s="10" t="s">
        <v>151</v>
      </c>
      <c r="B190" s="7">
        <v>2022</v>
      </c>
      <c r="C190" s="11">
        <v>189</v>
      </c>
      <c r="D190" s="7" t="s">
        <v>451</v>
      </c>
      <c r="E190" s="7" t="s">
        <v>83</v>
      </c>
      <c r="F190" s="7" t="s">
        <v>452</v>
      </c>
      <c r="G190" s="12" t="s">
        <v>154</v>
      </c>
      <c r="H190" s="7" t="s">
        <v>155</v>
      </c>
      <c r="I190" s="7" t="s">
        <v>155</v>
      </c>
      <c r="J190" s="7" t="s">
        <v>154</v>
      </c>
      <c r="K190" s="13">
        <v>100</v>
      </c>
      <c r="L190" s="13">
        <v>27</v>
      </c>
      <c r="M190" s="11">
        <v>200</v>
      </c>
      <c r="N190" s="13">
        <v>0</v>
      </c>
      <c r="O190" s="13">
        <v>0</v>
      </c>
      <c r="P190" s="11">
        <v>0</v>
      </c>
      <c r="Q190" s="13">
        <v>0</v>
      </c>
      <c r="R190" s="13">
        <v>0</v>
      </c>
      <c r="S190" s="11">
        <v>0</v>
      </c>
      <c r="T190" s="13">
        <v>0</v>
      </c>
      <c r="U190" s="13">
        <v>0</v>
      </c>
      <c r="V190" s="11">
        <v>0</v>
      </c>
      <c r="W190" s="13">
        <v>0</v>
      </c>
      <c r="X190" s="13">
        <v>0</v>
      </c>
      <c r="Y190" s="11">
        <v>0</v>
      </c>
    </row>
    <row r="191" spans="1:25" x14ac:dyDescent="0.3">
      <c r="A191" s="10" t="s">
        <v>151</v>
      </c>
      <c r="B191" s="7">
        <v>2022</v>
      </c>
      <c r="C191" s="11">
        <v>190</v>
      </c>
      <c r="D191" s="7" t="s">
        <v>453</v>
      </c>
      <c r="E191" s="7" t="s">
        <v>83</v>
      </c>
      <c r="F191" s="7" t="s">
        <v>154</v>
      </c>
      <c r="G191" s="14" t="s">
        <v>2055</v>
      </c>
      <c r="H191" s="7" t="s">
        <v>155</v>
      </c>
      <c r="I191" s="7" t="s">
        <v>155</v>
      </c>
      <c r="J191" s="7" t="s">
        <v>154</v>
      </c>
      <c r="K191" s="13">
        <v>0</v>
      </c>
      <c r="L191" s="13">
        <v>0</v>
      </c>
      <c r="M191" s="11">
        <v>0</v>
      </c>
      <c r="N191" s="13">
        <v>0</v>
      </c>
      <c r="O191" s="13">
        <v>0</v>
      </c>
      <c r="P191" s="11">
        <v>0</v>
      </c>
      <c r="Q191" s="13">
        <v>0</v>
      </c>
      <c r="R191" s="13">
        <v>0</v>
      </c>
      <c r="S191" s="11">
        <v>0</v>
      </c>
      <c r="T191" s="13">
        <v>0</v>
      </c>
      <c r="U191" s="13">
        <v>0</v>
      </c>
      <c r="V191" s="11">
        <v>0</v>
      </c>
      <c r="W191" s="13">
        <v>0</v>
      </c>
      <c r="X191" s="13">
        <v>0</v>
      </c>
      <c r="Y191" s="11">
        <v>0</v>
      </c>
    </row>
    <row r="192" spans="1:25" x14ac:dyDescent="0.3">
      <c r="A192" s="10" t="s">
        <v>151</v>
      </c>
      <c r="B192" s="7">
        <v>2022</v>
      </c>
      <c r="C192" s="11">
        <v>191</v>
      </c>
      <c r="D192" s="7" t="s">
        <v>454</v>
      </c>
      <c r="E192" s="7" t="s">
        <v>83</v>
      </c>
      <c r="F192" s="7" t="s">
        <v>455</v>
      </c>
      <c r="G192" s="12" t="s">
        <v>154</v>
      </c>
      <c r="H192" s="7" t="s">
        <v>155</v>
      </c>
      <c r="I192" s="7" t="s">
        <v>155</v>
      </c>
      <c r="J192" s="7" t="s">
        <v>154</v>
      </c>
      <c r="K192" s="13">
        <v>100</v>
      </c>
      <c r="L192" s="13">
        <v>27</v>
      </c>
      <c r="M192" s="11">
        <v>200</v>
      </c>
      <c r="N192" s="13">
        <v>0</v>
      </c>
      <c r="O192" s="13">
        <v>0</v>
      </c>
      <c r="P192" s="11">
        <v>0</v>
      </c>
      <c r="Q192" s="13">
        <v>0</v>
      </c>
      <c r="R192" s="13">
        <v>0</v>
      </c>
      <c r="S192" s="11">
        <v>0</v>
      </c>
      <c r="T192" s="13">
        <v>0</v>
      </c>
      <c r="U192" s="13">
        <v>0</v>
      </c>
      <c r="V192" s="11">
        <v>0</v>
      </c>
      <c r="W192" s="13">
        <v>0</v>
      </c>
      <c r="X192" s="13">
        <v>0</v>
      </c>
      <c r="Y192" s="11">
        <v>0</v>
      </c>
    </row>
    <row r="193" spans="1:25" x14ac:dyDescent="0.3">
      <c r="A193" s="10" t="s">
        <v>151</v>
      </c>
      <c r="B193" s="7">
        <v>2022</v>
      </c>
      <c r="C193" s="11">
        <v>192</v>
      </c>
      <c r="D193" s="7" t="s">
        <v>456</v>
      </c>
      <c r="E193" s="7" t="s">
        <v>83</v>
      </c>
      <c r="F193" s="7" t="s">
        <v>457</v>
      </c>
      <c r="G193" s="12" t="s">
        <v>154</v>
      </c>
      <c r="H193" s="7" t="s">
        <v>155</v>
      </c>
      <c r="I193" s="7" t="s">
        <v>155</v>
      </c>
      <c r="J193" s="7" t="s">
        <v>154</v>
      </c>
      <c r="K193" s="13">
        <v>100</v>
      </c>
      <c r="L193" s="13">
        <v>27</v>
      </c>
      <c r="M193" s="11">
        <v>200</v>
      </c>
      <c r="N193" s="13">
        <v>0</v>
      </c>
      <c r="O193" s="13">
        <v>0</v>
      </c>
      <c r="P193" s="11">
        <v>0</v>
      </c>
      <c r="Q193" s="13">
        <v>0</v>
      </c>
      <c r="R193" s="13">
        <v>0</v>
      </c>
      <c r="S193" s="11">
        <v>0</v>
      </c>
      <c r="T193" s="13">
        <v>0</v>
      </c>
      <c r="U193" s="13">
        <v>0</v>
      </c>
      <c r="V193" s="11">
        <v>0</v>
      </c>
      <c r="W193" s="13">
        <v>0</v>
      </c>
      <c r="X193" s="13">
        <v>0</v>
      </c>
      <c r="Y193" s="11">
        <v>0</v>
      </c>
    </row>
    <row r="194" spans="1:25" x14ac:dyDescent="0.3">
      <c r="A194" s="10" t="s">
        <v>151</v>
      </c>
      <c r="B194" s="7">
        <v>2022</v>
      </c>
      <c r="C194" s="11">
        <v>193</v>
      </c>
      <c r="D194" s="7" t="s">
        <v>458</v>
      </c>
      <c r="E194" s="7" t="s">
        <v>83</v>
      </c>
      <c r="F194" s="7" t="s">
        <v>459</v>
      </c>
      <c r="G194" s="12" t="s">
        <v>154</v>
      </c>
      <c r="H194" s="7" t="s">
        <v>155</v>
      </c>
      <c r="I194" s="7" t="s">
        <v>155</v>
      </c>
      <c r="J194" s="7" t="s">
        <v>154</v>
      </c>
      <c r="K194" s="13">
        <v>100</v>
      </c>
      <c r="L194" s="13">
        <v>27</v>
      </c>
      <c r="M194" s="11">
        <v>200</v>
      </c>
      <c r="N194" s="13">
        <v>0</v>
      </c>
      <c r="O194" s="13">
        <v>0</v>
      </c>
      <c r="P194" s="11">
        <v>0</v>
      </c>
      <c r="Q194" s="13">
        <v>0</v>
      </c>
      <c r="R194" s="13">
        <v>0</v>
      </c>
      <c r="S194" s="11">
        <v>0</v>
      </c>
      <c r="T194" s="13">
        <v>0</v>
      </c>
      <c r="U194" s="13">
        <v>0</v>
      </c>
      <c r="V194" s="11">
        <v>0</v>
      </c>
      <c r="W194" s="13">
        <v>0</v>
      </c>
      <c r="X194" s="13">
        <v>0</v>
      </c>
      <c r="Y194" s="11">
        <v>0</v>
      </c>
    </row>
    <row r="195" spans="1:25" x14ac:dyDescent="0.3">
      <c r="A195" s="10" t="s">
        <v>151</v>
      </c>
      <c r="B195" s="7">
        <v>2022</v>
      </c>
      <c r="C195" s="11">
        <v>194</v>
      </c>
      <c r="D195" s="7" t="s">
        <v>460</v>
      </c>
      <c r="E195" s="7" t="s">
        <v>83</v>
      </c>
      <c r="F195" s="7" t="s">
        <v>154</v>
      </c>
      <c r="G195" s="14" t="s">
        <v>461</v>
      </c>
      <c r="H195" s="7" t="s">
        <v>155</v>
      </c>
      <c r="I195" s="7" t="s">
        <v>155</v>
      </c>
      <c r="J195" s="7" t="s">
        <v>154</v>
      </c>
      <c r="K195" s="13">
        <v>0</v>
      </c>
      <c r="L195" s="13">
        <v>0</v>
      </c>
      <c r="M195" s="11">
        <v>0</v>
      </c>
      <c r="N195" s="13">
        <v>0</v>
      </c>
      <c r="O195" s="13">
        <v>0</v>
      </c>
      <c r="P195" s="11">
        <v>0</v>
      </c>
      <c r="Q195" s="13">
        <v>0</v>
      </c>
      <c r="R195" s="13">
        <v>0</v>
      </c>
      <c r="S195" s="11">
        <v>0</v>
      </c>
      <c r="T195" s="13">
        <v>0</v>
      </c>
      <c r="U195" s="13">
        <v>0</v>
      </c>
      <c r="V195" s="11">
        <v>0</v>
      </c>
      <c r="W195" s="13">
        <v>0</v>
      </c>
      <c r="X195" s="13">
        <v>0</v>
      </c>
      <c r="Y195" s="11">
        <v>0</v>
      </c>
    </row>
    <row r="196" spans="1:25" x14ac:dyDescent="0.3">
      <c r="A196" s="10" t="s">
        <v>151</v>
      </c>
      <c r="B196" s="7">
        <v>2022</v>
      </c>
      <c r="C196" s="11">
        <v>195</v>
      </c>
      <c r="D196" s="7" t="s">
        <v>462</v>
      </c>
      <c r="E196" s="7" t="s">
        <v>83</v>
      </c>
      <c r="F196" s="7" t="s">
        <v>463</v>
      </c>
      <c r="G196" s="12" t="s">
        <v>154</v>
      </c>
      <c r="H196" s="7" t="s">
        <v>155</v>
      </c>
      <c r="I196" s="7" t="s">
        <v>155</v>
      </c>
      <c r="J196" s="7" t="s">
        <v>154</v>
      </c>
      <c r="K196" s="13">
        <v>100</v>
      </c>
      <c r="L196" s="13">
        <v>27</v>
      </c>
      <c r="M196" s="11">
        <v>200</v>
      </c>
      <c r="N196" s="13">
        <v>0</v>
      </c>
      <c r="O196" s="13">
        <v>0</v>
      </c>
      <c r="P196" s="11">
        <v>0</v>
      </c>
      <c r="Q196" s="13">
        <v>0</v>
      </c>
      <c r="R196" s="13">
        <v>0</v>
      </c>
      <c r="S196" s="11">
        <v>0</v>
      </c>
      <c r="T196" s="13">
        <v>0</v>
      </c>
      <c r="U196" s="13">
        <v>0</v>
      </c>
      <c r="V196" s="11">
        <v>0</v>
      </c>
      <c r="W196" s="13">
        <v>0</v>
      </c>
      <c r="X196" s="13">
        <v>0</v>
      </c>
      <c r="Y196" s="11">
        <v>0</v>
      </c>
    </row>
    <row r="197" spans="1:25" x14ac:dyDescent="0.3">
      <c r="A197" s="10" t="s">
        <v>151</v>
      </c>
      <c r="B197" s="7">
        <v>2022</v>
      </c>
      <c r="C197" s="11">
        <v>196</v>
      </c>
      <c r="D197" s="7" t="s">
        <v>464</v>
      </c>
      <c r="E197" s="7" t="s">
        <v>83</v>
      </c>
      <c r="F197" s="7" t="s">
        <v>154</v>
      </c>
      <c r="G197" s="14" t="s">
        <v>2079</v>
      </c>
      <c r="H197" s="7" t="s">
        <v>155</v>
      </c>
      <c r="I197" s="7" t="s">
        <v>155</v>
      </c>
      <c r="J197" s="7" t="s">
        <v>154</v>
      </c>
      <c r="K197" s="13">
        <v>0</v>
      </c>
      <c r="L197" s="13">
        <v>0</v>
      </c>
      <c r="M197" s="11">
        <v>0</v>
      </c>
      <c r="N197" s="13">
        <v>0</v>
      </c>
      <c r="O197" s="13">
        <v>0</v>
      </c>
      <c r="P197" s="11">
        <v>0</v>
      </c>
      <c r="Q197" s="13">
        <v>0</v>
      </c>
      <c r="R197" s="13">
        <v>0</v>
      </c>
      <c r="S197" s="11">
        <v>0</v>
      </c>
      <c r="T197" s="13">
        <v>0</v>
      </c>
      <c r="U197" s="13">
        <v>0</v>
      </c>
      <c r="V197" s="11">
        <v>0</v>
      </c>
      <c r="W197" s="13">
        <v>0</v>
      </c>
      <c r="X197" s="13">
        <v>0</v>
      </c>
      <c r="Y197" s="11">
        <v>0</v>
      </c>
    </row>
    <row r="198" spans="1:25" x14ac:dyDescent="0.3">
      <c r="A198" s="10" t="s">
        <v>151</v>
      </c>
      <c r="B198" s="7">
        <v>2022</v>
      </c>
      <c r="C198" s="11">
        <v>197</v>
      </c>
      <c r="D198" s="7" t="s">
        <v>465</v>
      </c>
      <c r="E198" s="7" t="s">
        <v>83</v>
      </c>
      <c r="F198" s="7" t="s">
        <v>466</v>
      </c>
      <c r="G198" s="12" t="s">
        <v>154</v>
      </c>
      <c r="H198" s="7" t="s">
        <v>155</v>
      </c>
      <c r="I198" s="7" t="s">
        <v>155</v>
      </c>
      <c r="J198" s="7" t="s">
        <v>154</v>
      </c>
      <c r="K198" s="13">
        <v>100</v>
      </c>
      <c r="L198" s="13">
        <v>27</v>
      </c>
      <c r="M198" s="11">
        <v>200</v>
      </c>
      <c r="N198" s="13">
        <v>0</v>
      </c>
      <c r="O198" s="13">
        <v>0</v>
      </c>
      <c r="P198" s="11">
        <v>0</v>
      </c>
      <c r="Q198" s="13">
        <v>0</v>
      </c>
      <c r="R198" s="13">
        <v>0</v>
      </c>
      <c r="S198" s="11">
        <v>0</v>
      </c>
      <c r="T198" s="13">
        <v>0</v>
      </c>
      <c r="U198" s="13">
        <v>0</v>
      </c>
      <c r="V198" s="11">
        <v>0</v>
      </c>
      <c r="W198" s="13">
        <v>0</v>
      </c>
      <c r="X198" s="13">
        <v>0</v>
      </c>
      <c r="Y198" s="11">
        <v>0</v>
      </c>
    </row>
    <row r="199" spans="1:25" x14ac:dyDescent="0.3">
      <c r="A199" s="10" t="s">
        <v>151</v>
      </c>
      <c r="B199" s="7">
        <v>2022</v>
      </c>
      <c r="C199" s="11">
        <v>198</v>
      </c>
      <c r="D199" s="7" t="s">
        <v>467</v>
      </c>
      <c r="E199" s="7" t="s">
        <v>83</v>
      </c>
      <c r="F199" s="7" t="s">
        <v>154</v>
      </c>
      <c r="G199" s="14" t="s">
        <v>2087</v>
      </c>
      <c r="H199" s="7" t="s">
        <v>155</v>
      </c>
      <c r="I199" s="7" t="s">
        <v>155</v>
      </c>
      <c r="J199" s="7" t="s">
        <v>154</v>
      </c>
      <c r="K199" s="13">
        <v>0</v>
      </c>
      <c r="L199" s="13">
        <v>0</v>
      </c>
      <c r="M199" s="11">
        <v>0</v>
      </c>
      <c r="N199" s="13">
        <v>0</v>
      </c>
      <c r="O199" s="13">
        <v>0</v>
      </c>
      <c r="P199" s="11">
        <v>0</v>
      </c>
      <c r="Q199" s="13">
        <v>0</v>
      </c>
      <c r="R199" s="13">
        <v>0</v>
      </c>
      <c r="S199" s="11">
        <v>0</v>
      </c>
      <c r="T199" s="13">
        <v>0</v>
      </c>
      <c r="U199" s="13">
        <v>0</v>
      </c>
      <c r="V199" s="11">
        <v>0</v>
      </c>
      <c r="W199" s="13">
        <v>0</v>
      </c>
      <c r="X199" s="13">
        <v>0</v>
      </c>
      <c r="Y199" s="11">
        <v>0</v>
      </c>
    </row>
    <row r="200" spans="1:25" x14ac:dyDescent="0.3">
      <c r="A200" s="10" t="s">
        <v>151</v>
      </c>
      <c r="B200" s="7">
        <v>2022</v>
      </c>
      <c r="C200" s="11">
        <v>199</v>
      </c>
      <c r="D200" s="7" t="s">
        <v>468</v>
      </c>
      <c r="E200" s="7" t="s">
        <v>83</v>
      </c>
      <c r="F200" s="7" t="s">
        <v>469</v>
      </c>
      <c r="G200" s="12" t="s">
        <v>154</v>
      </c>
      <c r="H200" s="7" t="s">
        <v>155</v>
      </c>
      <c r="I200" s="7" t="s">
        <v>155</v>
      </c>
      <c r="J200" s="7" t="s">
        <v>258</v>
      </c>
      <c r="K200" s="13">
        <v>0</v>
      </c>
      <c r="L200" s="13">
        <v>0</v>
      </c>
      <c r="M200" s="11">
        <v>0</v>
      </c>
      <c r="N200" s="13">
        <v>0</v>
      </c>
      <c r="O200" s="13">
        <v>0</v>
      </c>
      <c r="P200" s="11">
        <v>0</v>
      </c>
      <c r="Q200" s="13">
        <v>0</v>
      </c>
      <c r="R200" s="13">
        <v>0</v>
      </c>
      <c r="S200" s="11">
        <v>0</v>
      </c>
      <c r="T200" s="13">
        <v>0</v>
      </c>
      <c r="U200" s="13">
        <v>0</v>
      </c>
      <c r="V200" s="11">
        <v>0</v>
      </c>
      <c r="W200" s="13">
        <v>0</v>
      </c>
      <c r="X200" s="13">
        <v>0</v>
      </c>
      <c r="Y200" s="11">
        <v>0</v>
      </c>
    </row>
    <row r="201" spans="1:25" x14ac:dyDescent="0.3">
      <c r="A201" s="10" t="s">
        <v>151</v>
      </c>
      <c r="B201" s="7">
        <v>2022</v>
      </c>
      <c r="C201" s="11">
        <v>200</v>
      </c>
      <c r="D201" s="7" t="s">
        <v>470</v>
      </c>
      <c r="E201" s="7" t="s">
        <v>83</v>
      </c>
      <c r="F201" s="7" t="s">
        <v>471</v>
      </c>
      <c r="G201" s="12" t="s">
        <v>154</v>
      </c>
      <c r="H201" s="7" t="s">
        <v>155</v>
      </c>
      <c r="I201" s="7" t="s">
        <v>155</v>
      </c>
      <c r="J201" s="7" t="s">
        <v>258</v>
      </c>
      <c r="K201" s="13">
        <v>0</v>
      </c>
      <c r="L201" s="13">
        <v>0</v>
      </c>
      <c r="M201" s="11">
        <v>0</v>
      </c>
      <c r="N201" s="13">
        <v>0</v>
      </c>
      <c r="O201" s="13">
        <v>0</v>
      </c>
      <c r="P201" s="11">
        <v>0</v>
      </c>
      <c r="Q201" s="13">
        <v>0</v>
      </c>
      <c r="R201" s="13">
        <v>0</v>
      </c>
      <c r="S201" s="11">
        <v>0</v>
      </c>
      <c r="T201" s="13">
        <v>0</v>
      </c>
      <c r="U201" s="13">
        <v>0</v>
      </c>
      <c r="V201" s="11">
        <v>0</v>
      </c>
      <c r="W201" s="13">
        <v>0</v>
      </c>
      <c r="X201" s="13">
        <v>0</v>
      </c>
      <c r="Y201" s="11">
        <v>0</v>
      </c>
    </row>
    <row r="202" spans="1:25" x14ac:dyDescent="0.3">
      <c r="A202" s="10" t="s">
        <v>151</v>
      </c>
      <c r="B202" s="7">
        <v>2022</v>
      </c>
      <c r="C202" s="11">
        <v>201</v>
      </c>
      <c r="D202" s="7" t="s">
        <v>472</v>
      </c>
      <c r="E202" s="7" t="s">
        <v>83</v>
      </c>
      <c r="F202" s="7" t="s">
        <v>154</v>
      </c>
      <c r="G202" s="14" t="s">
        <v>473</v>
      </c>
      <c r="H202" s="7" t="s">
        <v>155</v>
      </c>
      <c r="I202" s="7" t="s">
        <v>155</v>
      </c>
      <c r="J202" s="7" t="s">
        <v>154</v>
      </c>
      <c r="K202" s="13">
        <v>0</v>
      </c>
      <c r="L202" s="13">
        <v>0</v>
      </c>
      <c r="M202" s="11">
        <v>0</v>
      </c>
      <c r="N202" s="13">
        <v>0</v>
      </c>
      <c r="O202" s="13">
        <v>0</v>
      </c>
      <c r="P202" s="11">
        <v>0</v>
      </c>
      <c r="Q202" s="13">
        <v>0</v>
      </c>
      <c r="R202" s="13">
        <v>0</v>
      </c>
      <c r="S202" s="11">
        <v>0</v>
      </c>
      <c r="T202" s="13">
        <v>0</v>
      </c>
      <c r="U202" s="13">
        <v>0</v>
      </c>
      <c r="V202" s="11">
        <v>0</v>
      </c>
      <c r="W202" s="13">
        <v>0</v>
      </c>
      <c r="X202" s="13">
        <v>0</v>
      </c>
      <c r="Y202" s="11">
        <v>0</v>
      </c>
    </row>
    <row r="203" spans="1:25" x14ac:dyDescent="0.3">
      <c r="A203" s="10" t="s">
        <v>151</v>
      </c>
      <c r="B203" s="7">
        <v>2022</v>
      </c>
      <c r="C203" s="11">
        <v>202</v>
      </c>
      <c r="D203" s="7" t="s">
        <v>474</v>
      </c>
      <c r="E203" s="7" t="s">
        <v>83</v>
      </c>
      <c r="F203" s="7" t="s">
        <v>154</v>
      </c>
      <c r="G203" s="14" t="s">
        <v>475</v>
      </c>
      <c r="H203" s="7" t="s">
        <v>155</v>
      </c>
      <c r="I203" s="7" t="s">
        <v>155</v>
      </c>
      <c r="J203" s="7" t="s">
        <v>154</v>
      </c>
      <c r="K203" s="13">
        <v>0</v>
      </c>
      <c r="L203" s="13">
        <v>0</v>
      </c>
      <c r="M203" s="11">
        <v>0</v>
      </c>
      <c r="N203" s="13">
        <v>0</v>
      </c>
      <c r="O203" s="13">
        <v>0</v>
      </c>
      <c r="P203" s="11">
        <v>0</v>
      </c>
      <c r="Q203" s="13">
        <v>0</v>
      </c>
      <c r="R203" s="13">
        <v>0</v>
      </c>
      <c r="S203" s="11">
        <v>0</v>
      </c>
      <c r="T203" s="13">
        <v>0</v>
      </c>
      <c r="U203" s="13">
        <v>0</v>
      </c>
      <c r="V203" s="11">
        <v>0</v>
      </c>
      <c r="W203" s="13">
        <v>0</v>
      </c>
      <c r="X203" s="13">
        <v>0</v>
      </c>
      <c r="Y203" s="11">
        <v>0</v>
      </c>
    </row>
    <row r="204" spans="1:25" x14ac:dyDescent="0.3">
      <c r="A204" s="10" t="s">
        <v>151</v>
      </c>
      <c r="B204" s="7">
        <v>2022</v>
      </c>
      <c r="C204" s="11">
        <v>203</v>
      </c>
      <c r="D204" s="7" t="s">
        <v>476</v>
      </c>
      <c r="E204" s="7" t="s">
        <v>83</v>
      </c>
      <c r="F204" s="7" t="s">
        <v>477</v>
      </c>
      <c r="G204" s="12" t="s">
        <v>154</v>
      </c>
      <c r="H204" s="7" t="s">
        <v>155</v>
      </c>
      <c r="I204" s="7" t="s">
        <v>155</v>
      </c>
      <c r="J204" s="7" t="s">
        <v>154</v>
      </c>
      <c r="K204" s="13">
        <v>100</v>
      </c>
      <c r="L204" s="13">
        <v>27</v>
      </c>
      <c r="M204" s="11">
        <v>210</v>
      </c>
      <c r="N204" s="13">
        <v>0</v>
      </c>
      <c r="O204" s="13">
        <v>0</v>
      </c>
      <c r="P204" s="11">
        <v>0</v>
      </c>
      <c r="Q204" s="13">
        <v>0</v>
      </c>
      <c r="R204" s="13">
        <v>0</v>
      </c>
      <c r="S204" s="11">
        <v>0</v>
      </c>
      <c r="T204" s="13">
        <v>0</v>
      </c>
      <c r="U204" s="13">
        <v>0</v>
      </c>
      <c r="V204" s="11">
        <v>0</v>
      </c>
      <c r="W204" s="13">
        <v>0</v>
      </c>
      <c r="X204" s="13">
        <v>0</v>
      </c>
      <c r="Y204" s="11">
        <v>0</v>
      </c>
    </row>
    <row r="205" spans="1:25" x14ac:dyDescent="0.3">
      <c r="A205" s="10" t="s">
        <v>151</v>
      </c>
      <c r="B205" s="7">
        <v>2022</v>
      </c>
      <c r="C205" s="11">
        <v>204</v>
      </c>
      <c r="D205" s="7" t="s">
        <v>478</v>
      </c>
      <c r="E205" s="7" t="s">
        <v>83</v>
      </c>
      <c r="F205" s="7" t="s">
        <v>479</v>
      </c>
      <c r="G205" s="12" t="s">
        <v>154</v>
      </c>
      <c r="H205" s="7" t="s">
        <v>155</v>
      </c>
      <c r="I205" s="7" t="s">
        <v>155</v>
      </c>
      <c r="J205" s="7" t="s">
        <v>154</v>
      </c>
      <c r="K205" s="13">
        <v>100</v>
      </c>
      <c r="L205" s="13">
        <v>27</v>
      </c>
      <c r="M205" s="11">
        <v>210</v>
      </c>
      <c r="N205" s="13">
        <v>0</v>
      </c>
      <c r="O205" s="13">
        <v>0</v>
      </c>
      <c r="P205" s="11">
        <v>0</v>
      </c>
      <c r="Q205" s="13">
        <v>0</v>
      </c>
      <c r="R205" s="13">
        <v>0</v>
      </c>
      <c r="S205" s="11">
        <v>0</v>
      </c>
      <c r="T205" s="13">
        <v>0</v>
      </c>
      <c r="U205" s="13">
        <v>0</v>
      </c>
      <c r="V205" s="11">
        <v>0</v>
      </c>
      <c r="W205" s="13">
        <v>0</v>
      </c>
      <c r="X205" s="13">
        <v>0</v>
      </c>
      <c r="Y205" s="11">
        <v>0</v>
      </c>
    </row>
    <row r="206" spans="1:25" x14ac:dyDescent="0.3">
      <c r="A206" s="10" t="s">
        <v>151</v>
      </c>
      <c r="B206" s="7">
        <v>2022</v>
      </c>
      <c r="C206" s="11">
        <v>205</v>
      </c>
      <c r="D206" s="7" t="s">
        <v>480</v>
      </c>
      <c r="E206" s="7" t="s">
        <v>83</v>
      </c>
      <c r="F206" s="7" t="s">
        <v>154</v>
      </c>
      <c r="G206" s="14" t="s">
        <v>481</v>
      </c>
      <c r="H206" s="7" t="s">
        <v>155</v>
      </c>
      <c r="I206" s="7" t="s">
        <v>155</v>
      </c>
      <c r="J206" s="7" t="s">
        <v>154</v>
      </c>
      <c r="K206" s="13">
        <v>0</v>
      </c>
      <c r="L206" s="13">
        <v>0</v>
      </c>
      <c r="M206" s="11">
        <v>0</v>
      </c>
      <c r="N206" s="13">
        <v>0</v>
      </c>
      <c r="O206" s="13">
        <v>0</v>
      </c>
      <c r="P206" s="11">
        <v>0</v>
      </c>
      <c r="Q206" s="13">
        <v>0</v>
      </c>
      <c r="R206" s="13">
        <v>0</v>
      </c>
      <c r="S206" s="11">
        <v>0</v>
      </c>
      <c r="T206" s="13">
        <v>0</v>
      </c>
      <c r="U206" s="13">
        <v>0</v>
      </c>
      <c r="V206" s="11">
        <v>0</v>
      </c>
      <c r="W206" s="13">
        <v>0</v>
      </c>
      <c r="X206" s="13">
        <v>0</v>
      </c>
      <c r="Y206" s="11">
        <v>0</v>
      </c>
    </row>
    <row r="207" spans="1:25" x14ac:dyDescent="0.3">
      <c r="A207" s="10" t="s">
        <v>151</v>
      </c>
      <c r="B207" s="7">
        <v>2022</v>
      </c>
      <c r="C207" s="11">
        <v>206</v>
      </c>
      <c r="D207" s="7" t="s">
        <v>482</v>
      </c>
      <c r="E207" s="7" t="s">
        <v>83</v>
      </c>
      <c r="F207" s="7" t="s">
        <v>483</v>
      </c>
      <c r="G207" s="12" t="s">
        <v>154</v>
      </c>
      <c r="H207" s="7" t="s">
        <v>155</v>
      </c>
      <c r="I207" s="7" t="s">
        <v>155</v>
      </c>
      <c r="J207" s="7" t="s">
        <v>154</v>
      </c>
      <c r="K207" s="13">
        <v>100</v>
      </c>
      <c r="L207" s="13">
        <v>27</v>
      </c>
      <c r="M207" s="11">
        <v>210</v>
      </c>
      <c r="N207" s="13">
        <v>0</v>
      </c>
      <c r="O207" s="13">
        <v>0</v>
      </c>
      <c r="P207" s="11">
        <v>0</v>
      </c>
      <c r="Q207" s="13">
        <v>0</v>
      </c>
      <c r="R207" s="13">
        <v>0</v>
      </c>
      <c r="S207" s="11">
        <v>0</v>
      </c>
      <c r="T207" s="13">
        <v>0</v>
      </c>
      <c r="U207" s="13">
        <v>0</v>
      </c>
      <c r="V207" s="11">
        <v>0</v>
      </c>
      <c r="W207" s="13">
        <v>0</v>
      </c>
      <c r="X207" s="13">
        <v>0</v>
      </c>
      <c r="Y207" s="11">
        <v>0</v>
      </c>
    </row>
    <row r="208" spans="1:25" x14ac:dyDescent="0.3">
      <c r="A208" s="10" t="s">
        <v>151</v>
      </c>
      <c r="B208" s="7">
        <v>2022</v>
      </c>
      <c r="C208" s="11">
        <v>207</v>
      </c>
      <c r="D208" s="7" t="s">
        <v>484</v>
      </c>
      <c r="E208" s="7" t="s">
        <v>83</v>
      </c>
      <c r="F208" s="7" t="s">
        <v>154</v>
      </c>
      <c r="G208" s="14" t="s">
        <v>2118</v>
      </c>
      <c r="H208" s="7" t="s">
        <v>155</v>
      </c>
      <c r="I208" s="7" t="s">
        <v>155</v>
      </c>
      <c r="J208" s="7" t="s">
        <v>154</v>
      </c>
      <c r="K208" s="13">
        <v>0</v>
      </c>
      <c r="L208" s="13">
        <v>0</v>
      </c>
      <c r="M208" s="11">
        <v>0</v>
      </c>
      <c r="N208" s="13">
        <v>0</v>
      </c>
      <c r="O208" s="13">
        <v>0</v>
      </c>
      <c r="P208" s="11">
        <v>0</v>
      </c>
      <c r="Q208" s="13">
        <v>0</v>
      </c>
      <c r="R208" s="13">
        <v>0</v>
      </c>
      <c r="S208" s="11">
        <v>0</v>
      </c>
      <c r="T208" s="13">
        <v>0</v>
      </c>
      <c r="U208" s="13">
        <v>0</v>
      </c>
      <c r="V208" s="11">
        <v>0</v>
      </c>
      <c r="W208" s="13">
        <v>0</v>
      </c>
      <c r="X208" s="13">
        <v>0</v>
      </c>
      <c r="Y208" s="11">
        <v>0</v>
      </c>
    </row>
    <row r="209" spans="1:25" x14ac:dyDescent="0.3">
      <c r="A209" s="10" t="s">
        <v>151</v>
      </c>
      <c r="B209" s="7">
        <v>2022</v>
      </c>
      <c r="C209" s="11">
        <v>208</v>
      </c>
      <c r="D209" s="7" t="s">
        <v>485</v>
      </c>
      <c r="E209" s="7" t="s">
        <v>83</v>
      </c>
      <c r="F209" s="7" t="s">
        <v>486</v>
      </c>
      <c r="G209" s="12" t="s">
        <v>154</v>
      </c>
      <c r="H209" s="7" t="s">
        <v>155</v>
      </c>
      <c r="I209" s="7" t="s">
        <v>155</v>
      </c>
      <c r="J209" s="7" t="s">
        <v>154</v>
      </c>
      <c r="K209" s="13">
        <v>100</v>
      </c>
      <c r="L209" s="13">
        <v>27</v>
      </c>
      <c r="M209" s="11">
        <v>210</v>
      </c>
      <c r="N209" s="13">
        <v>0</v>
      </c>
      <c r="O209" s="13">
        <v>0</v>
      </c>
      <c r="P209" s="11">
        <v>0</v>
      </c>
      <c r="Q209" s="13">
        <v>0</v>
      </c>
      <c r="R209" s="13">
        <v>0</v>
      </c>
      <c r="S209" s="11">
        <v>0</v>
      </c>
      <c r="T209" s="13">
        <v>0</v>
      </c>
      <c r="U209" s="13">
        <v>0</v>
      </c>
      <c r="V209" s="11">
        <v>0</v>
      </c>
      <c r="W209" s="13">
        <v>0</v>
      </c>
      <c r="X209" s="13">
        <v>0</v>
      </c>
      <c r="Y209" s="11">
        <v>0</v>
      </c>
    </row>
    <row r="210" spans="1:25" x14ac:dyDescent="0.3">
      <c r="A210" s="10" t="s">
        <v>151</v>
      </c>
      <c r="B210" s="7">
        <v>2022</v>
      </c>
      <c r="C210" s="11">
        <v>209</v>
      </c>
      <c r="D210" s="7" t="s">
        <v>487</v>
      </c>
      <c r="E210" s="7" t="s">
        <v>83</v>
      </c>
      <c r="F210" s="7" t="s">
        <v>154</v>
      </c>
      <c r="G210" s="14" t="s">
        <v>2126</v>
      </c>
      <c r="H210" s="7" t="s">
        <v>155</v>
      </c>
      <c r="I210" s="7" t="s">
        <v>155</v>
      </c>
      <c r="J210" s="7" t="s">
        <v>154</v>
      </c>
      <c r="K210" s="13">
        <v>0</v>
      </c>
      <c r="L210" s="13">
        <v>0</v>
      </c>
      <c r="M210" s="11">
        <v>0</v>
      </c>
      <c r="N210" s="13">
        <v>0</v>
      </c>
      <c r="O210" s="13">
        <v>0</v>
      </c>
      <c r="P210" s="11">
        <v>0</v>
      </c>
      <c r="Q210" s="13">
        <v>0</v>
      </c>
      <c r="R210" s="13">
        <v>0</v>
      </c>
      <c r="S210" s="11">
        <v>0</v>
      </c>
      <c r="T210" s="13">
        <v>0</v>
      </c>
      <c r="U210" s="13">
        <v>0</v>
      </c>
      <c r="V210" s="11">
        <v>0</v>
      </c>
      <c r="W210" s="13">
        <v>0</v>
      </c>
      <c r="X210" s="13">
        <v>0</v>
      </c>
      <c r="Y210" s="11">
        <v>0</v>
      </c>
    </row>
    <row r="211" spans="1:25" x14ac:dyDescent="0.3">
      <c r="A211" s="10" t="s">
        <v>151</v>
      </c>
      <c r="B211" s="7">
        <v>2022</v>
      </c>
      <c r="C211" s="11">
        <v>210</v>
      </c>
      <c r="D211" s="7" t="s">
        <v>488</v>
      </c>
      <c r="E211" s="7" t="s">
        <v>83</v>
      </c>
      <c r="F211" s="7" t="s">
        <v>489</v>
      </c>
      <c r="G211" s="12" t="s">
        <v>154</v>
      </c>
      <c r="H211" s="7" t="s">
        <v>155</v>
      </c>
      <c r="I211" s="7" t="s">
        <v>155</v>
      </c>
      <c r="J211" s="7" t="s">
        <v>258</v>
      </c>
      <c r="K211" s="13">
        <v>0</v>
      </c>
      <c r="L211" s="13">
        <v>0</v>
      </c>
      <c r="M211" s="11">
        <v>0</v>
      </c>
      <c r="N211" s="13">
        <v>0</v>
      </c>
      <c r="O211" s="13">
        <v>0</v>
      </c>
      <c r="P211" s="11">
        <v>0</v>
      </c>
      <c r="Q211" s="13">
        <v>0</v>
      </c>
      <c r="R211" s="13">
        <v>0</v>
      </c>
      <c r="S211" s="11">
        <v>0</v>
      </c>
      <c r="T211" s="13">
        <v>0</v>
      </c>
      <c r="U211" s="13">
        <v>0</v>
      </c>
      <c r="V211" s="11">
        <v>0</v>
      </c>
      <c r="W211" s="13">
        <v>0</v>
      </c>
      <c r="X211" s="13">
        <v>0</v>
      </c>
      <c r="Y211" s="11">
        <v>0</v>
      </c>
    </row>
    <row r="212" spans="1:25" x14ac:dyDescent="0.3">
      <c r="A212" s="10" t="s">
        <v>151</v>
      </c>
      <c r="B212" s="7">
        <v>2022</v>
      </c>
      <c r="C212" s="11">
        <v>211</v>
      </c>
      <c r="D212" s="7" t="s">
        <v>490</v>
      </c>
      <c r="E212" s="7" t="s">
        <v>83</v>
      </c>
      <c r="F212" s="7" t="s">
        <v>154</v>
      </c>
      <c r="G212" s="14" t="s">
        <v>2133</v>
      </c>
      <c r="H212" s="7" t="s">
        <v>155</v>
      </c>
      <c r="I212" s="7" t="s">
        <v>155</v>
      </c>
      <c r="J212" s="7" t="s">
        <v>258</v>
      </c>
      <c r="K212" s="13">
        <v>0</v>
      </c>
      <c r="L212" s="13">
        <v>0</v>
      </c>
      <c r="M212" s="11">
        <v>0</v>
      </c>
      <c r="N212" s="13">
        <v>0</v>
      </c>
      <c r="O212" s="13">
        <v>0</v>
      </c>
      <c r="P212" s="11">
        <v>0</v>
      </c>
      <c r="Q212" s="13">
        <v>0</v>
      </c>
      <c r="R212" s="13">
        <v>0</v>
      </c>
      <c r="S212" s="11">
        <v>0</v>
      </c>
      <c r="T212" s="13">
        <v>0</v>
      </c>
      <c r="U212" s="13">
        <v>0</v>
      </c>
      <c r="V212" s="11">
        <v>0</v>
      </c>
      <c r="W212" s="13">
        <v>0</v>
      </c>
      <c r="X212" s="13">
        <v>0</v>
      </c>
      <c r="Y212" s="11">
        <v>0</v>
      </c>
    </row>
    <row r="213" spans="1:25" x14ac:dyDescent="0.3">
      <c r="A213" s="10" t="s">
        <v>151</v>
      </c>
      <c r="B213" s="7">
        <v>2022</v>
      </c>
      <c r="C213" s="11">
        <v>212</v>
      </c>
      <c r="D213" s="7" t="s">
        <v>491</v>
      </c>
      <c r="E213" s="7" t="s">
        <v>83</v>
      </c>
      <c r="F213" s="7" t="s">
        <v>154</v>
      </c>
      <c r="G213" s="14" t="s">
        <v>492</v>
      </c>
      <c r="H213" s="7" t="s">
        <v>155</v>
      </c>
      <c r="I213" s="7" t="s">
        <v>155</v>
      </c>
      <c r="J213" s="7" t="s">
        <v>154</v>
      </c>
      <c r="K213" s="13">
        <v>0</v>
      </c>
      <c r="L213" s="13">
        <v>0</v>
      </c>
      <c r="M213" s="11">
        <v>0</v>
      </c>
      <c r="N213" s="13">
        <v>0</v>
      </c>
      <c r="O213" s="13">
        <v>0</v>
      </c>
      <c r="P213" s="11">
        <v>0</v>
      </c>
      <c r="Q213" s="13">
        <v>0</v>
      </c>
      <c r="R213" s="13">
        <v>0</v>
      </c>
      <c r="S213" s="11">
        <v>0</v>
      </c>
      <c r="T213" s="13">
        <v>0</v>
      </c>
      <c r="U213" s="13">
        <v>0</v>
      </c>
      <c r="V213" s="11">
        <v>0</v>
      </c>
      <c r="W213" s="13">
        <v>0</v>
      </c>
      <c r="X213" s="13">
        <v>0</v>
      </c>
      <c r="Y213" s="11">
        <v>0</v>
      </c>
    </row>
    <row r="214" spans="1:25" x14ac:dyDescent="0.3">
      <c r="A214" s="10" t="s">
        <v>151</v>
      </c>
      <c r="B214" s="7">
        <v>2022</v>
      </c>
      <c r="C214" s="11">
        <v>213</v>
      </c>
      <c r="D214" s="7" t="s">
        <v>493</v>
      </c>
      <c r="E214" s="7" t="s">
        <v>83</v>
      </c>
      <c r="F214" s="7" t="s">
        <v>494</v>
      </c>
      <c r="G214" s="12" t="s">
        <v>154</v>
      </c>
      <c r="H214" s="7" t="s">
        <v>155</v>
      </c>
      <c r="I214" s="7" t="s">
        <v>155</v>
      </c>
      <c r="J214" s="7" t="s">
        <v>154</v>
      </c>
      <c r="K214" s="13">
        <v>0</v>
      </c>
      <c r="L214" s="13">
        <v>0</v>
      </c>
      <c r="M214" s="11">
        <v>0</v>
      </c>
      <c r="N214" s="13">
        <v>0</v>
      </c>
      <c r="O214" s="13">
        <v>0</v>
      </c>
      <c r="P214" s="11">
        <v>0</v>
      </c>
      <c r="Q214" s="13">
        <v>0</v>
      </c>
      <c r="R214" s="13">
        <v>0</v>
      </c>
      <c r="S214" s="11">
        <v>0</v>
      </c>
      <c r="T214" s="13">
        <v>0</v>
      </c>
      <c r="U214" s="13">
        <v>0</v>
      </c>
      <c r="V214" s="11">
        <v>0</v>
      </c>
      <c r="W214" s="13">
        <v>0</v>
      </c>
      <c r="X214" s="13">
        <v>0</v>
      </c>
      <c r="Y214" s="11">
        <v>0</v>
      </c>
    </row>
    <row r="215" spans="1:25" x14ac:dyDescent="0.3">
      <c r="A215" s="10" t="s">
        <v>151</v>
      </c>
      <c r="B215" s="7">
        <v>2022</v>
      </c>
      <c r="C215" s="11">
        <v>214</v>
      </c>
      <c r="D215" s="7" t="s">
        <v>495</v>
      </c>
      <c r="E215" s="7" t="s">
        <v>83</v>
      </c>
      <c r="F215" s="7" t="s">
        <v>496</v>
      </c>
      <c r="G215" s="12" t="s">
        <v>154</v>
      </c>
      <c r="H215" s="7" t="s">
        <v>155</v>
      </c>
      <c r="I215" s="7" t="s">
        <v>155</v>
      </c>
      <c r="J215" s="7" t="s">
        <v>154</v>
      </c>
      <c r="K215" s="13">
        <v>0</v>
      </c>
      <c r="L215" s="13">
        <v>0</v>
      </c>
      <c r="M215" s="11">
        <v>0</v>
      </c>
      <c r="N215" s="13">
        <v>0</v>
      </c>
      <c r="O215" s="13">
        <v>0</v>
      </c>
      <c r="P215" s="11">
        <v>0</v>
      </c>
      <c r="Q215" s="13">
        <v>0</v>
      </c>
      <c r="R215" s="13">
        <v>0</v>
      </c>
      <c r="S215" s="11">
        <v>0</v>
      </c>
      <c r="T215" s="13">
        <v>0</v>
      </c>
      <c r="U215" s="13">
        <v>0</v>
      </c>
      <c r="V215" s="11">
        <v>0</v>
      </c>
      <c r="W215" s="13">
        <v>0</v>
      </c>
      <c r="X215" s="13">
        <v>0</v>
      </c>
      <c r="Y215" s="11">
        <v>0</v>
      </c>
    </row>
    <row r="216" spans="1:25" x14ac:dyDescent="0.3">
      <c r="A216" s="10" t="s">
        <v>151</v>
      </c>
      <c r="B216" s="7">
        <v>2022</v>
      </c>
      <c r="C216" s="11">
        <v>215</v>
      </c>
      <c r="D216" s="7" t="s">
        <v>497</v>
      </c>
      <c r="E216" s="7" t="s">
        <v>83</v>
      </c>
      <c r="F216" s="7" t="s">
        <v>498</v>
      </c>
      <c r="G216" s="12" t="s">
        <v>154</v>
      </c>
      <c r="H216" s="7" t="s">
        <v>155</v>
      </c>
      <c r="I216" s="7" t="s">
        <v>155</v>
      </c>
      <c r="J216" s="7" t="s">
        <v>154</v>
      </c>
      <c r="K216" s="13">
        <v>0</v>
      </c>
      <c r="L216" s="13">
        <v>0</v>
      </c>
      <c r="M216" s="11">
        <v>0</v>
      </c>
      <c r="N216" s="13">
        <v>0</v>
      </c>
      <c r="O216" s="13">
        <v>0</v>
      </c>
      <c r="P216" s="11">
        <v>0</v>
      </c>
      <c r="Q216" s="13">
        <v>0</v>
      </c>
      <c r="R216" s="13">
        <v>0</v>
      </c>
      <c r="S216" s="11">
        <v>0</v>
      </c>
      <c r="T216" s="13">
        <v>0</v>
      </c>
      <c r="U216" s="13">
        <v>0</v>
      </c>
      <c r="V216" s="11">
        <v>0</v>
      </c>
      <c r="W216" s="13">
        <v>0</v>
      </c>
      <c r="X216" s="13">
        <v>0</v>
      </c>
      <c r="Y216" s="11">
        <v>0</v>
      </c>
    </row>
    <row r="217" spans="1:25" x14ac:dyDescent="0.3">
      <c r="A217" s="10" t="s">
        <v>151</v>
      </c>
      <c r="B217" s="7">
        <v>2022</v>
      </c>
      <c r="C217" s="11">
        <v>216</v>
      </c>
      <c r="D217" s="7" t="s">
        <v>499</v>
      </c>
      <c r="E217" s="7" t="s">
        <v>83</v>
      </c>
      <c r="F217" s="7" t="s">
        <v>500</v>
      </c>
      <c r="G217" s="12" t="s">
        <v>154</v>
      </c>
      <c r="H217" s="7" t="s">
        <v>155</v>
      </c>
      <c r="I217" s="7" t="s">
        <v>155</v>
      </c>
      <c r="J217" s="7" t="s">
        <v>154</v>
      </c>
      <c r="K217" s="13">
        <v>0</v>
      </c>
      <c r="L217" s="13">
        <v>0</v>
      </c>
      <c r="M217" s="11">
        <v>0</v>
      </c>
      <c r="N217" s="13">
        <v>0</v>
      </c>
      <c r="O217" s="13">
        <v>0</v>
      </c>
      <c r="P217" s="11">
        <v>0</v>
      </c>
      <c r="Q217" s="13">
        <v>0</v>
      </c>
      <c r="R217" s="13">
        <v>0</v>
      </c>
      <c r="S217" s="11">
        <v>0</v>
      </c>
      <c r="T217" s="13">
        <v>0</v>
      </c>
      <c r="U217" s="13">
        <v>0</v>
      </c>
      <c r="V217" s="11">
        <v>0</v>
      </c>
      <c r="W217" s="13">
        <v>0</v>
      </c>
      <c r="X217" s="13">
        <v>0</v>
      </c>
      <c r="Y217" s="11">
        <v>0</v>
      </c>
    </row>
    <row r="218" spans="1:25" x14ac:dyDescent="0.3">
      <c r="A218" s="10" t="s">
        <v>151</v>
      </c>
      <c r="B218" s="7">
        <v>2022</v>
      </c>
      <c r="C218" s="11">
        <v>217</v>
      </c>
      <c r="D218" s="7" t="s">
        <v>501</v>
      </c>
      <c r="E218" s="7" t="s">
        <v>83</v>
      </c>
      <c r="F218" s="7" t="s">
        <v>154</v>
      </c>
      <c r="G218" s="14" t="s">
        <v>502</v>
      </c>
      <c r="H218" s="7" t="s">
        <v>155</v>
      </c>
      <c r="I218" s="7" t="s">
        <v>155</v>
      </c>
      <c r="J218" s="7" t="s">
        <v>154</v>
      </c>
      <c r="K218" s="13">
        <v>0</v>
      </c>
      <c r="L218" s="13">
        <v>0</v>
      </c>
      <c r="M218" s="11">
        <v>0</v>
      </c>
      <c r="N218" s="13">
        <v>0</v>
      </c>
      <c r="O218" s="13">
        <v>0</v>
      </c>
      <c r="P218" s="11">
        <v>0</v>
      </c>
      <c r="Q218" s="13">
        <v>0</v>
      </c>
      <c r="R218" s="13">
        <v>0</v>
      </c>
      <c r="S218" s="11">
        <v>0</v>
      </c>
      <c r="T218" s="13">
        <v>0</v>
      </c>
      <c r="U218" s="13">
        <v>0</v>
      </c>
      <c r="V218" s="11">
        <v>0</v>
      </c>
      <c r="W218" s="13">
        <v>0</v>
      </c>
      <c r="X218" s="13">
        <v>0</v>
      </c>
      <c r="Y218" s="11">
        <v>0</v>
      </c>
    </row>
    <row r="219" spans="1:25" x14ac:dyDescent="0.3">
      <c r="A219" s="10" t="s">
        <v>151</v>
      </c>
      <c r="B219" s="7">
        <v>2022</v>
      </c>
      <c r="C219" s="11">
        <v>218</v>
      </c>
      <c r="D219" s="7" t="s">
        <v>503</v>
      </c>
      <c r="E219" s="7" t="s">
        <v>83</v>
      </c>
      <c r="F219" s="7" t="s">
        <v>154</v>
      </c>
      <c r="G219" s="14" t="s">
        <v>504</v>
      </c>
      <c r="H219" s="7" t="s">
        <v>155</v>
      </c>
      <c r="I219" s="7" t="s">
        <v>155</v>
      </c>
      <c r="J219" s="7" t="s">
        <v>154</v>
      </c>
      <c r="K219" s="13">
        <v>0</v>
      </c>
      <c r="L219" s="13">
        <v>0</v>
      </c>
      <c r="M219" s="11">
        <v>0</v>
      </c>
      <c r="N219" s="13">
        <v>0</v>
      </c>
      <c r="O219" s="13">
        <v>0</v>
      </c>
      <c r="P219" s="11">
        <v>0</v>
      </c>
      <c r="Q219" s="13">
        <v>0</v>
      </c>
      <c r="R219" s="13">
        <v>0</v>
      </c>
      <c r="S219" s="11">
        <v>0</v>
      </c>
      <c r="T219" s="13">
        <v>0</v>
      </c>
      <c r="U219" s="13">
        <v>0</v>
      </c>
      <c r="V219" s="11">
        <v>0</v>
      </c>
      <c r="W219" s="13">
        <v>0</v>
      </c>
      <c r="X219" s="13">
        <v>0</v>
      </c>
      <c r="Y219" s="11">
        <v>0</v>
      </c>
    </row>
    <row r="220" spans="1:25" x14ac:dyDescent="0.3">
      <c r="A220" s="10" t="s">
        <v>151</v>
      </c>
      <c r="B220" s="7">
        <v>2022</v>
      </c>
      <c r="C220" s="11">
        <v>219</v>
      </c>
      <c r="D220" s="7" t="s">
        <v>505</v>
      </c>
      <c r="E220" s="7" t="s">
        <v>83</v>
      </c>
      <c r="F220" s="7" t="s">
        <v>154</v>
      </c>
      <c r="G220" s="14" t="s">
        <v>506</v>
      </c>
      <c r="H220" s="7" t="s">
        <v>155</v>
      </c>
      <c r="I220" s="7" t="s">
        <v>155</v>
      </c>
      <c r="J220" s="7" t="s">
        <v>154</v>
      </c>
      <c r="K220" s="13">
        <v>0</v>
      </c>
      <c r="L220" s="13">
        <v>0</v>
      </c>
      <c r="M220" s="11">
        <v>0</v>
      </c>
      <c r="N220" s="13">
        <v>0</v>
      </c>
      <c r="O220" s="13">
        <v>0</v>
      </c>
      <c r="P220" s="11">
        <v>0</v>
      </c>
      <c r="Q220" s="13">
        <v>0</v>
      </c>
      <c r="R220" s="13">
        <v>0</v>
      </c>
      <c r="S220" s="11">
        <v>0</v>
      </c>
      <c r="T220" s="13">
        <v>0</v>
      </c>
      <c r="U220" s="13">
        <v>0</v>
      </c>
      <c r="V220" s="11">
        <v>0</v>
      </c>
      <c r="W220" s="13">
        <v>0</v>
      </c>
      <c r="X220" s="13">
        <v>0</v>
      </c>
      <c r="Y220" s="11">
        <v>0</v>
      </c>
    </row>
    <row r="221" spans="1:25" x14ac:dyDescent="0.3">
      <c r="A221" s="10" t="s">
        <v>151</v>
      </c>
      <c r="B221" s="7">
        <v>2022</v>
      </c>
      <c r="C221" s="11">
        <v>220</v>
      </c>
      <c r="D221" s="7" t="s">
        <v>507</v>
      </c>
      <c r="E221" s="7" t="s">
        <v>82</v>
      </c>
      <c r="F221" s="7" t="s">
        <v>508</v>
      </c>
      <c r="G221" s="12" t="s">
        <v>154</v>
      </c>
      <c r="H221" s="7" t="s">
        <v>155</v>
      </c>
      <c r="I221" s="7" t="s">
        <v>155</v>
      </c>
      <c r="J221" s="7" t="s">
        <v>154</v>
      </c>
      <c r="K221" s="13">
        <v>0</v>
      </c>
      <c r="L221" s="13">
        <v>0</v>
      </c>
      <c r="M221" s="11">
        <v>0</v>
      </c>
      <c r="N221" s="13">
        <v>0</v>
      </c>
      <c r="O221" s="13">
        <v>0</v>
      </c>
      <c r="P221" s="11">
        <v>0</v>
      </c>
      <c r="Q221" s="13">
        <v>0</v>
      </c>
      <c r="R221" s="13">
        <v>0</v>
      </c>
      <c r="S221" s="11">
        <v>0</v>
      </c>
      <c r="T221" s="13">
        <v>0</v>
      </c>
      <c r="U221" s="13">
        <v>0</v>
      </c>
      <c r="V221" s="11">
        <v>0</v>
      </c>
      <c r="W221" s="13">
        <v>0</v>
      </c>
      <c r="X221" s="13">
        <v>0</v>
      </c>
      <c r="Y221" s="11">
        <v>0</v>
      </c>
    </row>
    <row r="222" spans="1:25" ht="15.6" x14ac:dyDescent="0.3">
      <c r="A222" s="10" t="s">
        <v>151</v>
      </c>
      <c r="B222" s="7">
        <v>2022</v>
      </c>
      <c r="C222" s="406">
        <v>221</v>
      </c>
      <c r="D222" s="407" t="s">
        <v>3445</v>
      </c>
      <c r="E222" s="66" t="s">
        <v>82</v>
      </c>
      <c r="F222" s="66" t="s">
        <v>508</v>
      </c>
      <c r="G222" s="12" t="s">
        <v>154</v>
      </c>
      <c r="H222" s="7" t="s">
        <v>155</v>
      </c>
      <c r="I222" s="7" t="s">
        <v>155</v>
      </c>
      <c r="J222" s="7" t="s">
        <v>154</v>
      </c>
      <c r="K222" s="13">
        <v>0</v>
      </c>
      <c r="L222" s="13">
        <v>0</v>
      </c>
      <c r="M222" s="11">
        <v>0</v>
      </c>
      <c r="N222" s="13">
        <v>0</v>
      </c>
      <c r="O222" s="13">
        <v>0</v>
      </c>
      <c r="P222" s="11">
        <v>0</v>
      </c>
      <c r="Q222" s="13">
        <v>0</v>
      </c>
      <c r="R222" s="13">
        <v>0</v>
      </c>
      <c r="S222" s="11">
        <v>0</v>
      </c>
      <c r="T222" s="13">
        <v>0</v>
      </c>
      <c r="U222" s="13">
        <v>0</v>
      </c>
      <c r="V222" s="11">
        <v>0</v>
      </c>
      <c r="W222" s="13">
        <v>0</v>
      </c>
      <c r="X222" s="13">
        <v>0</v>
      </c>
      <c r="Y222" s="11">
        <v>0</v>
      </c>
    </row>
    <row r="223" spans="1:25" ht="15.6" x14ac:dyDescent="0.3">
      <c r="A223" s="10" t="s">
        <v>151</v>
      </c>
      <c r="B223" s="7">
        <v>2022</v>
      </c>
      <c r="C223" s="406">
        <v>222</v>
      </c>
      <c r="D223" s="66" t="s">
        <v>509</v>
      </c>
      <c r="E223" s="66" t="s">
        <v>82</v>
      </c>
      <c r="F223" s="66" t="s">
        <v>510</v>
      </c>
      <c r="G223" s="12" t="s">
        <v>154</v>
      </c>
      <c r="H223" s="7" t="s">
        <v>155</v>
      </c>
      <c r="I223" s="7" t="s">
        <v>155</v>
      </c>
      <c r="J223" s="7" t="s">
        <v>154</v>
      </c>
      <c r="K223" s="13">
        <v>0</v>
      </c>
      <c r="L223" s="13">
        <v>0</v>
      </c>
      <c r="M223" s="11">
        <v>0</v>
      </c>
      <c r="N223" s="13">
        <v>0</v>
      </c>
      <c r="O223" s="13">
        <v>0</v>
      </c>
      <c r="P223" s="11">
        <v>0</v>
      </c>
      <c r="Q223" s="13">
        <v>0</v>
      </c>
      <c r="R223" s="13">
        <v>0</v>
      </c>
      <c r="S223" s="11">
        <v>0</v>
      </c>
      <c r="T223" s="13">
        <v>0</v>
      </c>
      <c r="U223" s="13">
        <v>0</v>
      </c>
      <c r="V223" s="11">
        <v>0</v>
      </c>
      <c r="W223" s="13">
        <v>0</v>
      </c>
      <c r="X223" s="13">
        <v>0</v>
      </c>
      <c r="Y223" s="11">
        <v>0</v>
      </c>
    </row>
    <row r="224" spans="1:25" ht="15.6" x14ac:dyDescent="0.3">
      <c r="A224" s="10" t="s">
        <v>151</v>
      </c>
      <c r="B224" s="7">
        <v>2022</v>
      </c>
      <c r="C224" s="406">
        <v>223</v>
      </c>
      <c r="D224" s="66" t="s">
        <v>511</v>
      </c>
      <c r="E224" s="66" t="s">
        <v>82</v>
      </c>
      <c r="F224" s="66" t="s">
        <v>512</v>
      </c>
      <c r="G224" s="12" t="s">
        <v>154</v>
      </c>
      <c r="H224" s="7" t="s">
        <v>155</v>
      </c>
      <c r="I224" s="7" t="s">
        <v>155</v>
      </c>
      <c r="J224" s="7" t="s">
        <v>154</v>
      </c>
      <c r="K224" s="13">
        <v>0</v>
      </c>
      <c r="L224" s="13">
        <v>0</v>
      </c>
      <c r="M224" s="11">
        <v>0</v>
      </c>
      <c r="N224" s="13">
        <v>0</v>
      </c>
      <c r="O224" s="13">
        <v>0</v>
      </c>
      <c r="P224" s="11">
        <v>0</v>
      </c>
      <c r="Q224" s="13">
        <v>0</v>
      </c>
      <c r="R224" s="13">
        <v>0</v>
      </c>
      <c r="S224" s="11">
        <v>0</v>
      </c>
      <c r="T224" s="13">
        <v>0</v>
      </c>
      <c r="U224" s="13">
        <v>0</v>
      </c>
      <c r="V224" s="11">
        <v>0</v>
      </c>
      <c r="W224" s="13">
        <v>0</v>
      </c>
      <c r="X224" s="13">
        <v>0</v>
      </c>
      <c r="Y224" s="11">
        <v>0</v>
      </c>
    </row>
    <row r="225" spans="1:25" ht="15.6" x14ac:dyDescent="0.3">
      <c r="A225" s="10" t="s">
        <v>151</v>
      </c>
      <c r="B225" s="7">
        <v>2022</v>
      </c>
      <c r="C225" s="406">
        <v>224</v>
      </c>
      <c r="D225" s="66" t="s">
        <v>513</v>
      </c>
      <c r="E225" s="66" t="s">
        <v>82</v>
      </c>
      <c r="F225" s="66" t="s">
        <v>514</v>
      </c>
      <c r="G225" s="12" t="s">
        <v>154</v>
      </c>
      <c r="H225" s="7" t="s">
        <v>155</v>
      </c>
      <c r="I225" s="7" t="s">
        <v>155</v>
      </c>
      <c r="J225" s="7" t="s">
        <v>154</v>
      </c>
      <c r="K225" s="13">
        <v>0</v>
      </c>
      <c r="L225" s="13">
        <v>0</v>
      </c>
      <c r="M225" s="11">
        <v>0</v>
      </c>
      <c r="N225" s="13">
        <v>0</v>
      </c>
      <c r="O225" s="13">
        <v>0</v>
      </c>
      <c r="P225" s="11">
        <v>0</v>
      </c>
      <c r="Q225" s="13">
        <v>0</v>
      </c>
      <c r="R225" s="13">
        <v>0</v>
      </c>
      <c r="S225" s="11">
        <v>0</v>
      </c>
      <c r="T225" s="13">
        <v>0</v>
      </c>
      <c r="U225" s="13">
        <v>0</v>
      </c>
      <c r="V225" s="11">
        <v>0</v>
      </c>
      <c r="W225" s="13">
        <v>0</v>
      </c>
      <c r="X225" s="13">
        <v>0</v>
      </c>
      <c r="Y225" s="11">
        <v>0</v>
      </c>
    </row>
    <row r="226" spans="1:25" ht="15.6" x14ac:dyDescent="0.3">
      <c r="A226" s="10" t="s">
        <v>151</v>
      </c>
      <c r="B226" s="7">
        <v>2022</v>
      </c>
      <c r="C226" s="406">
        <v>225</v>
      </c>
      <c r="D226" s="66" t="s">
        <v>515</v>
      </c>
      <c r="E226" s="66" t="s">
        <v>82</v>
      </c>
      <c r="F226" s="66" t="s">
        <v>516</v>
      </c>
      <c r="G226" s="12" t="s">
        <v>154</v>
      </c>
      <c r="H226" s="7" t="s">
        <v>155</v>
      </c>
      <c r="I226" s="7" t="s">
        <v>155</v>
      </c>
      <c r="J226" s="7" t="s">
        <v>154</v>
      </c>
      <c r="K226" s="13">
        <v>0</v>
      </c>
      <c r="L226" s="13">
        <v>0</v>
      </c>
      <c r="M226" s="11">
        <v>0</v>
      </c>
      <c r="N226" s="13">
        <v>0</v>
      </c>
      <c r="O226" s="13">
        <v>0</v>
      </c>
      <c r="P226" s="11">
        <v>0</v>
      </c>
      <c r="Q226" s="13">
        <v>0</v>
      </c>
      <c r="R226" s="13">
        <v>0</v>
      </c>
      <c r="S226" s="11">
        <v>0</v>
      </c>
      <c r="T226" s="13">
        <v>0</v>
      </c>
      <c r="U226" s="13">
        <v>0</v>
      </c>
      <c r="V226" s="11">
        <v>0</v>
      </c>
      <c r="W226" s="13">
        <v>0</v>
      </c>
      <c r="X226" s="13">
        <v>0</v>
      </c>
      <c r="Y226" s="11">
        <v>0</v>
      </c>
    </row>
    <row r="227" spans="1:25" ht="15.6" x14ac:dyDescent="0.3">
      <c r="A227" s="10" t="s">
        <v>151</v>
      </c>
      <c r="B227" s="7">
        <v>2022</v>
      </c>
      <c r="C227" s="406">
        <v>226</v>
      </c>
      <c r="D227" s="66" t="s">
        <v>517</v>
      </c>
      <c r="E227" s="66" t="s">
        <v>82</v>
      </c>
      <c r="F227" s="66" t="s">
        <v>518</v>
      </c>
      <c r="G227" s="12" t="s">
        <v>154</v>
      </c>
      <c r="H227" s="7" t="s">
        <v>155</v>
      </c>
      <c r="I227" s="7" t="s">
        <v>155</v>
      </c>
      <c r="J227" s="7" t="s">
        <v>154</v>
      </c>
      <c r="K227" s="13">
        <v>0</v>
      </c>
      <c r="L227" s="13">
        <v>0</v>
      </c>
      <c r="M227" s="11">
        <v>0</v>
      </c>
      <c r="N227" s="13">
        <v>0</v>
      </c>
      <c r="O227" s="13">
        <v>0</v>
      </c>
      <c r="P227" s="11">
        <v>0</v>
      </c>
      <c r="Q227" s="13">
        <v>0</v>
      </c>
      <c r="R227" s="13">
        <v>0</v>
      </c>
      <c r="S227" s="11">
        <v>0</v>
      </c>
      <c r="T227" s="13">
        <v>0</v>
      </c>
      <c r="U227" s="13">
        <v>0</v>
      </c>
      <c r="V227" s="11">
        <v>0</v>
      </c>
      <c r="W227" s="13">
        <v>0</v>
      </c>
      <c r="X227" s="13">
        <v>0</v>
      </c>
      <c r="Y227" s="11">
        <v>0</v>
      </c>
    </row>
    <row r="228" spans="1:25" ht="15.6" x14ac:dyDescent="0.3">
      <c r="A228" s="10" t="s">
        <v>151</v>
      </c>
      <c r="B228" s="7">
        <v>2022</v>
      </c>
      <c r="C228" s="406">
        <v>227</v>
      </c>
      <c r="D228" s="66" t="s">
        <v>519</v>
      </c>
      <c r="E228" s="66" t="s">
        <v>82</v>
      </c>
      <c r="F228" s="66" t="s">
        <v>154</v>
      </c>
      <c r="G228" s="14" t="s">
        <v>520</v>
      </c>
      <c r="H228" s="7" t="s">
        <v>155</v>
      </c>
      <c r="I228" s="7" t="s">
        <v>155</v>
      </c>
      <c r="J228" s="7" t="s">
        <v>154</v>
      </c>
      <c r="K228" s="13">
        <v>0</v>
      </c>
      <c r="L228" s="13">
        <v>0</v>
      </c>
      <c r="M228" s="11">
        <v>0</v>
      </c>
      <c r="N228" s="13">
        <v>0</v>
      </c>
      <c r="O228" s="13">
        <v>0</v>
      </c>
      <c r="P228" s="11">
        <v>0</v>
      </c>
      <c r="Q228" s="13">
        <v>0</v>
      </c>
      <c r="R228" s="13">
        <v>0</v>
      </c>
      <c r="S228" s="11">
        <v>0</v>
      </c>
      <c r="T228" s="13">
        <v>0</v>
      </c>
      <c r="U228" s="13">
        <v>0</v>
      </c>
      <c r="V228" s="11">
        <v>0</v>
      </c>
      <c r="W228" s="13">
        <v>0</v>
      </c>
      <c r="X228" s="13">
        <v>0</v>
      </c>
      <c r="Y228" s="11">
        <v>0</v>
      </c>
    </row>
    <row r="229" spans="1:25" ht="15.6" x14ac:dyDescent="0.3">
      <c r="A229" s="10" t="s">
        <v>151</v>
      </c>
      <c r="B229" s="7">
        <v>2022</v>
      </c>
      <c r="C229" s="406">
        <v>228</v>
      </c>
      <c r="D229" s="66" t="s">
        <v>521</v>
      </c>
      <c r="E229" s="66" t="s">
        <v>82</v>
      </c>
      <c r="F229" s="66" t="s">
        <v>522</v>
      </c>
      <c r="G229" s="12" t="s">
        <v>154</v>
      </c>
      <c r="H229" s="7" t="s">
        <v>155</v>
      </c>
      <c r="I229" s="7" t="s">
        <v>155</v>
      </c>
      <c r="J229" s="7" t="s">
        <v>154</v>
      </c>
      <c r="K229" s="13">
        <v>0</v>
      </c>
      <c r="L229" s="13">
        <v>0</v>
      </c>
      <c r="M229" s="11">
        <v>0</v>
      </c>
      <c r="N229" s="13">
        <v>0</v>
      </c>
      <c r="O229" s="13">
        <v>0</v>
      </c>
      <c r="P229" s="11">
        <v>0</v>
      </c>
      <c r="Q229" s="13">
        <v>0</v>
      </c>
      <c r="R229" s="13">
        <v>0</v>
      </c>
      <c r="S229" s="11">
        <v>0</v>
      </c>
      <c r="T229" s="13">
        <v>0</v>
      </c>
      <c r="U229" s="13">
        <v>0</v>
      </c>
      <c r="V229" s="11">
        <v>0</v>
      </c>
      <c r="W229" s="13">
        <v>0</v>
      </c>
      <c r="X229" s="13">
        <v>0</v>
      </c>
      <c r="Y229" s="11">
        <v>0</v>
      </c>
    </row>
    <row r="230" spans="1:25" ht="15.6" x14ac:dyDescent="0.3">
      <c r="A230" s="10" t="s">
        <v>151</v>
      </c>
      <c r="B230" s="7">
        <v>2022</v>
      </c>
      <c r="C230" s="406">
        <v>229</v>
      </c>
      <c r="D230" s="66" t="s">
        <v>523</v>
      </c>
      <c r="E230" s="66" t="s">
        <v>82</v>
      </c>
      <c r="F230" s="66" t="s">
        <v>524</v>
      </c>
      <c r="G230" s="12" t="s">
        <v>154</v>
      </c>
      <c r="H230" s="7" t="s">
        <v>155</v>
      </c>
      <c r="I230" s="7" t="s">
        <v>155</v>
      </c>
      <c r="J230" s="7" t="s">
        <v>154</v>
      </c>
      <c r="K230" s="13">
        <v>0</v>
      </c>
      <c r="L230" s="13">
        <v>0</v>
      </c>
      <c r="M230" s="11">
        <v>0</v>
      </c>
      <c r="N230" s="13">
        <v>0</v>
      </c>
      <c r="O230" s="13">
        <v>0</v>
      </c>
      <c r="P230" s="11">
        <v>0</v>
      </c>
      <c r="Q230" s="13">
        <v>0</v>
      </c>
      <c r="R230" s="13">
        <v>0</v>
      </c>
      <c r="S230" s="11">
        <v>0</v>
      </c>
      <c r="T230" s="13">
        <v>0</v>
      </c>
      <c r="U230" s="13">
        <v>0</v>
      </c>
      <c r="V230" s="11">
        <v>0</v>
      </c>
      <c r="W230" s="13">
        <v>0</v>
      </c>
      <c r="X230" s="13">
        <v>0</v>
      </c>
      <c r="Y230" s="11">
        <v>0</v>
      </c>
    </row>
    <row r="231" spans="1:25" ht="15.6" x14ac:dyDescent="0.3">
      <c r="A231" s="10" t="s">
        <v>151</v>
      </c>
      <c r="B231" s="7">
        <v>2022</v>
      </c>
      <c r="C231" s="406">
        <v>230</v>
      </c>
      <c r="D231" s="407" t="s">
        <v>3446</v>
      </c>
      <c r="E231" s="66" t="s">
        <v>82</v>
      </c>
      <c r="F231" s="66" t="s">
        <v>525</v>
      </c>
      <c r="G231" s="12" t="s">
        <v>154</v>
      </c>
      <c r="H231" s="7" t="s">
        <v>155</v>
      </c>
      <c r="I231" s="7" t="s">
        <v>155</v>
      </c>
      <c r="J231" s="7" t="s">
        <v>154</v>
      </c>
      <c r="K231" s="13">
        <v>0</v>
      </c>
      <c r="L231" s="13">
        <v>0</v>
      </c>
      <c r="M231" s="11">
        <v>0</v>
      </c>
      <c r="N231" s="13">
        <v>0</v>
      </c>
      <c r="O231" s="13">
        <v>0</v>
      </c>
      <c r="P231" s="11">
        <v>0</v>
      </c>
      <c r="Q231" s="13">
        <v>0</v>
      </c>
      <c r="R231" s="13">
        <v>0</v>
      </c>
      <c r="S231" s="11">
        <v>0</v>
      </c>
      <c r="T231" s="13">
        <v>0</v>
      </c>
      <c r="U231" s="13">
        <v>0</v>
      </c>
      <c r="V231" s="11">
        <v>0</v>
      </c>
      <c r="W231" s="13">
        <v>0</v>
      </c>
      <c r="X231" s="13">
        <v>0</v>
      </c>
      <c r="Y231" s="11">
        <v>0</v>
      </c>
    </row>
    <row r="232" spans="1:25" x14ac:dyDescent="0.3">
      <c r="A232" s="10" t="s">
        <v>151</v>
      </c>
      <c r="B232" s="7">
        <v>2022</v>
      </c>
      <c r="C232" s="11">
        <v>231</v>
      </c>
      <c r="D232" s="7" t="s">
        <v>526</v>
      </c>
      <c r="E232" s="7" t="s">
        <v>82</v>
      </c>
      <c r="F232" s="7" t="s">
        <v>527</v>
      </c>
      <c r="G232" s="12" t="s">
        <v>154</v>
      </c>
      <c r="H232" s="7" t="s">
        <v>155</v>
      </c>
      <c r="I232" s="7" t="s">
        <v>155</v>
      </c>
      <c r="J232" s="7" t="s">
        <v>154</v>
      </c>
      <c r="K232" s="13">
        <v>0</v>
      </c>
      <c r="L232" s="13">
        <v>0</v>
      </c>
      <c r="M232" s="11">
        <v>0</v>
      </c>
      <c r="N232" s="13">
        <v>0</v>
      </c>
      <c r="O232" s="13">
        <v>0</v>
      </c>
      <c r="P232" s="11">
        <v>0</v>
      </c>
      <c r="Q232" s="13">
        <v>0</v>
      </c>
      <c r="R232" s="13">
        <v>0</v>
      </c>
      <c r="S232" s="11">
        <v>0</v>
      </c>
      <c r="T232" s="13">
        <v>0</v>
      </c>
      <c r="U232" s="13">
        <v>0</v>
      </c>
      <c r="V232" s="11">
        <v>0</v>
      </c>
      <c r="W232" s="13">
        <v>0</v>
      </c>
      <c r="X232" s="13">
        <v>0</v>
      </c>
      <c r="Y232" s="11">
        <v>0</v>
      </c>
    </row>
    <row r="233" spans="1:25" x14ac:dyDescent="0.3">
      <c r="A233" s="10" t="s">
        <v>151</v>
      </c>
      <c r="B233" s="7">
        <v>2022</v>
      </c>
      <c r="C233" s="11">
        <v>232</v>
      </c>
      <c r="D233" s="7" t="s">
        <v>528</v>
      </c>
      <c r="E233" s="7" t="s">
        <v>82</v>
      </c>
      <c r="F233" s="7" t="s">
        <v>154</v>
      </c>
      <c r="G233" s="14" t="s">
        <v>529</v>
      </c>
      <c r="H233" s="7" t="s">
        <v>155</v>
      </c>
      <c r="I233" s="7" t="s">
        <v>155</v>
      </c>
      <c r="J233" s="7" t="s">
        <v>154</v>
      </c>
      <c r="K233" s="13">
        <v>0</v>
      </c>
      <c r="L233" s="13">
        <v>0</v>
      </c>
      <c r="M233" s="11">
        <v>0</v>
      </c>
      <c r="N233" s="13">
        <v>0</v>
      </c>
      <c r="O233" s="13">
        <v>0</v>
      </c>
      <c r="P233" s="11">
        <v>0</v>
      </c>
      <c r="Q233" s="13">
        <v>0</v>
      </c>
      <c r="R233" s="13">
        <v>0</v>
      </c>
      <c r="S233" s="11">
        <v>0</v>
      </c>
      <c r="T233" s="13">
        <v>0</v>
      </c>
      <c r="U233" s="13">
        <v>0</v>
      </c>
      <c r="V233" s="11">
        <v>0</v>
      </c>
      <c r="W233" s="13">
        <v>0</v>
      </c>
      <c r="X233" s="13">
        <v>0</v>
      </c>
      <c r="Y233" s="11">
        <v>0</v>
      </c>
    </row>
    <row r="234" spans="1:25" x14ac:dyDescent="0.3">
      <c r="A234" s="10" t="s">
        <v>151</v>
      </c>
      <c r="B234" s="7">
        <v>2022</v>
      </c>
      <c r="C234" s="11">
        <v>233</v>
      </c>
      <c r="D234" s="7" t="s">
        <v>530</v>
      </c>
      <c r="E234" s="7" t="s">
        <v>82</v>
      </c>
      <c r="F234" s="7" t="s">
        <v>531</v>
      </c>
      <c r="G234" s="12" t="s">
        <v>154</v>
      </c>
      <c r="H234" s="7" t="s">
        <v>155</v>
      </c>
      <c r="I234" s="7" t="s">
        <v>155</v>
      </c>
      <c r="J234" s="7" t="s">
        <v>154</v>
      </c>
      <c r="K234" s="13">
        <v>100</v>
      </c>
      <c r="L234" s="13">
        <v>5</v>
      </c>
      <c r="M234" s="11">
        <v>272</v>
      </c>
      <c r="N234" s="13">
        <v>100</v>
      </c>
      <c r="O234" s="13">
        <v>5</v>
      </c>
      <c r="P234" s="11">
        <v>142</v>
      </c>
      <c r="Q234" s="13">
        <v>0</v>
      </c>
      <c r="R234" s="13">
        <v>0</v>
      </c>
      <c r="S234" s="11">
        <v>0</v>
      </c>
      <c r="T234" s="13">
        <v>0</v>
      </c>
      <c r="U234" s="13">
        <v>0</v>
      </c>
      <c r="V234" s="11">
        <v>0</v>
      </c>
      <c r="W234" s="13">
        <v>0</v>
      </c>
      <c r="X234" s="13">
        <v>0</v>
      </c>
      <c r="Y234" s="11">
        <v>0</v>
      </c>
    </row>
    <row r="235" spans="1:25" x14ac:dyDescent="0.3">
      <c r="A235" s="10" t="s">
        <v>151</v>
      </c>
      <c r="B235" s="7">
        <v>2022</v>
      </c>
      <c r="C235" s="11">
        <v>234</v>
      </c>
      <c r="D235" s="7" t="s">
        <v>532</v>
      </c>
      <c r="E235" s="7" t="s">
        <v>82</v>
      </c>
      <c r="F235" s="7" t="s">
        <v>531</v>
      </c>
      <c r="G235" s="12" t="s">
        <v>154</v>
      </c>
      <c r="H235" s="7" t="s">
        <v>155</v>
      </c>
      <c r="I235" s="7" t="s">
        <v>155</v>
      </c>
      <c r="J235" s="7" t="s">
        <v>154</v>
      </c>
      <c r="K235" s="13">
        <v>100</v>
      </c>
      <c r="L235" s="13">
        <v>27</v>
      </c>
      <c r="M235" s="11">
        <v>272</v>
      </c>
      <c r="N235" s="13">
        <v>100</v>
      </c>
      <c r="O235" s="13">
        <v>27</v>
      </c>
      <c r="P235" s="11">
        <v>142</v>
      </c>
      <c r="Q235" s="13">
        <v>0</v>
      </c>
      <c r="R235" s="13">
        <v>0</v>
      </c>
      <c r="S235" s="11">
        <v>0</v>
      </c>
      <c r="T235" s="13">
        <v>0</v>
      </c>
      <c r="U235" s="13">
        <v>0</v>
      </c>
      <c r="V235" s="11">
        <v>0</v>
      </c>
      <c r="W235" s="13">
        <v>0</v>
      </c>
      <c r="X235" s="13">
        <v>0</v>
      </c>
      <c r="Y235" s="11">
        <v>0</v>
      </c>
    </row>
    <row r="236" spans="1:25" x14ac:dyDescent="0.3">
      <c r="A236" s="10" t="s">
        <v>151</v>
      </c>
      <c r="B236" s="7">
        <v>2022</v>
      </c>
      <c r="C236" s="11">
        <v>235</v>
      </c>
      <c r="D236" s="7" t="s">
        <v>533</v>
      </c>
      <c r="E236" s="7" t="s">
        <v>82</v>
      </c>
      <c r="F236" s="7" t="s">
        <v>531</v>
      </c>
      <c r="G236" s="12" t="s">
        <v>154</v>
      </c>
      <c r="H236" s="7" t="s">
        <v>155</v>
      </c>
      <c r="I236" s="7" t="s">
        <v>155</v>
      </c>
      <c r="J236" s="7" t="s">
        <v>154</v>
      </c>
      <c r="K236" s="13">
        <v>100</v>
      </c>
      <c r="L236" s="13">
        <v>27</v>
      </c>
      <c r="M236" s="11">
        <v>272</v>
      </c>
      <c r="N236" s="13">
        <v>100</v>
      </c>
      <c r="O236" s="13">
        <v>27</v>
      </c>
      <c r="P236" s="11">
        <v>142</v>
      </c>
      <c r="Q236" s="13">
        <v>0</v>
      </c>
      <c r="R236" s="13">
        <v>0</v>
      </c>
      <c r="S236" s="11">
        <v>0</v>
      </c>
      <c r="T236" s="13">
        <v>0</v>
      </c>
      <c r="U236" s="13">
        <v>0</v>
      </c>
      <c r="V236" s="11">
        <v>0</v>
      </c>
      <c r="W236" s="13">
        <v>0</v>
      </c>
      <c r="X236" s="13">
        <v>0</v>
      </c>
      <c r="Y236" s="11">
        <v>0</v>
      </c>
    </row>
    <row r="237" spans="1:25" x14ac:dyDescent="0.3">
      <c r="A237" s="10" t="s">
        <v>151</v>
      </c>
      <c r="B237" s="7">
        <v>2022</v>
      </c>
      <c r="C237" s="11">
        <v>236</v>
      </c>
      <c r="D237" s="7" t="s">
        <v>534</v>
      </c>
      <c r="E237" s="7" t="s">
        <v>82</v>
      </c>
      <c r="F237" s="7" t="s">
        <v>154</v>
      </c>
      <c r="G237" s="14" t="s">
        <v>535</v>
      </c>
      <c r="H237" s="7" t="s">
        <v>155</v>
      </c>
      <c r="I237" s="7" t="s">
        <v>155</v>
      </c>
      <c r="J237" s="7" t="s">
        <v>154</v>
      </c>
      <c r="K237" s="13">
        <v>0</v>
      </c>
      <c r="L237" s="13">
        <v>0</v>
      </c>
      <c r="M237" s="11">
        <v>0</v>
      </c>
      <c r="N237" s="13">
        <v>0</v>
      </c>
      <c r="O237" s="13">
        <v>0</v>
      </c>
      <c r="P237" s="11">
        <v>0</v>
      </c>
      <c r="Q237" s="13">
        <v>0</v>
      </c>
      <c r="R237" s="13">
        <v>0</v>
      </c>
      <c r="S237" s="11">
        <v>0</v>
      </c>
      <c r="T237" s="13">
        <v>0</v>
      </c>
      <c r="U237" s="13">
        <v>0</v>
      </c>
      <c r="V237" s="11">
        <v>0</v>
      </c>
      <c r="W237" s="13">
        <v>0</v>
      </c>
      <c r="X237" s="13">
        <v>0</v>
      </c>
      <c r="Y237" s="11">
        <v>0</v>
      </c>
    </row>
    <row r="238" spans="1:25" x14ac:dyDescent="0.3">
      <c r="A238" s="10" t="s">
        <v>151</v>
      </c>
      <c r="B238" s="7">
        <v>2022</v>
      </c>
      <c r="C238" s="11">
        <v>237</v>
      </c>
      <c r="D238" s="7" t="s">
        <v>536</v>
      </c>
      <c r="E238" s="7" t="s">
        <v>82</v>
      </c>
      <c r="F238" s="7" t="s">
        <v>537</v>
      </c>
      <c r="G238" s="12" t="s">
        <v>154</v>
      </c>
      <c r="H238" s="7" t="s">
        <v>155</v>
      </c>
      <c r="I238" s="7" t="s">
        <v>155</v>
      </c>
      <c r="J238" s="7" t="s">
        <v>154</v>
      </c>
      <c r="K238" s="13">
        <v>0</v>
      </c>
      <c r="L238" s="13">
        <v>0</v>
      </c>
      <c r="M238" s="11">
        <v>0</v>
      </c>
      <c r="N238" s="13">
        <v>0</v>
      </c>
      <c r="O238" s="13">
        <v>0</v>
      </c>
      <c r="P238" s="11">
        <v>0</v>
      </c>
      <c r="Q238" s="13">
        <v>0</v>
      </c>
      <c r="R238" s="13">
        <v>0</v>
      </c>
      <c r="S238" s="11">
        <v>0</v>
      </c>
      <c r="T238" s="13">
        <v>0</v>
      </c>
      <c r="U238" s="13">
        <v>0</v>
      </c>
      <c r="V238" s="11">
        <v>0</v>
      </c>
      <c r="W238" s="13">
        <v>0</v>
      </c>
      <c r="X238" s="13">
        <v>0</v>
      </c>
      <c r="Y238" s="11">
        <v>0</v>
      </c>
    </row>
    <row r="239" spans="1:25" x14ac:dyDescent="0.3">
      <c r="A239" s="10" t="s">
        <v>151</v>
      </c>
      <c r="B239" s="7">
        <v>2022</v>
      </c>
      <c r="C239" s="11">
        <v>238</v>
      </c>
      <c r="D239" s="7" t="s">
        <v>538</v>
      </c>
      <c r="E239" s="7" t="s">
        <v>82</v>
      </c>
      <c r="F239" s="7" t="s">
        <v>539</v>
      </c>
      <c r="G239" s="12" t="s">
        <v>154</v>
      </c>
      <c r="H239" s="7" t="s">
        <v>155</v>
      </c>
      <c r="I239" s="7" t="s">
        <v>155</v>
      </c>
      <c r="J239" s="7" t="s">
        <v>154</v>
      </c>
      <c r="K239" s="13">
        <v>0</v>
      </c>
      <c r="L239" s="13">
        <v>0</v>
      </c>
      <c r="M239" s="11">
        <v>0</v>
      </c>
      <c r="N239" s="13">
        <v>0</v>
      </c>
      <c r="O239" s="13">
        <v>0</v>
      </c>
      <c r="P239" s="11">
        <v>0</v>
      </c>
      <c r="Q239" s="13">
        <v>0</v>
      </c>
      <c r="R239" s="13">
        <v>0</v>
      </c>
      <c r="S239" s="11">
        <v>0</v>
      </c>
      <c r="T239" s="13">
        <v>0</v>
      </c>
      <c r="U239" s="13">
        <v>0</v>
      </c>
      <c r="V239" s="11">
        <v>0</v>
      </c>
      <c r="W239" s="13">
        <v>0</v>
      </c>
      <c r="X239" s="13">
        <v>0</v>
      </c>
      <c r="Y239" s="11">
        <v>0</v>
      </c>
    </row>
    <row r="240" spans="1:25" x14ac:dyDescent="0.3">
      <c r="A240" s="10" t="s">
        <v>151</v>
      </c>
      <c r="B240" s="7">
        <v>2022</v>
      </c>
      <c r="C240" s="11">
        <v>239</v>
      </c>
      <c r="D240" s="7" t="s">
        <v>540</v>
      </c>
      <c r="E240" s="7" t="s">
        <v>82</v>
      </c>
      <c r="F240" s="7" t="s">
        <v>541</v>
      </c>
      <c r="G240" s="12" t="s">
        <v>154</v>
      </c>
      <c r="H240" s="7" t="s">
        <v>155</v>
      </c>
      <c r="I240" s="7" t="s">
        <v>155</v>
      </c>
      <c r="J240" s="7" t="s">
        <v>154</v>
      </c>
      <c r="K240" s="13">
        <v>0</v>
      </c>
      <c r="L240" s="13">
        <v>0</v>
      </c>
      <c r="M240" s="11">
        <v>0</v>
      </c>
      <c r="N240" s="13">
        <v>0</v>
      </c>
      <c r="O240" s="13">
        <v>0</v>
      </c>
      <c r="P240" s="11">
        <v>0</v>
      </c>
      <c r="Q240" s="13">
        <v>0</v>
      </c>
      <c r="R240" s="13">
        <v>0</v>
      </c>
      <c r="S240" s="11">
        <v>0</v>
      </c>
      <c r="T240" s="13">
        <v>0</v>
      </c>
      <c r="U240" s="13">
        <v>0</v>
      </c>
      <c r="V240" s="11">
        <v>0</v>
      </c>
      <c r="W240" s="13">
        <v>0</v>
      </c>
      <c r="X240" s="13">
        <v>0</v>
      </c>
      <c r="Y240" s="11">
        <v>0</v>
      </c>
    </row>
    <row r="241" spans="1:25" x14ac:dyDescent="0.3">
      <c r="A241" s="10" t="s">
        <v>151</v>
      </c>
      <c r="B241" s="7">
        <v>2022</v>
      </c>
      <c r="C241" s="11">
        <v>240</v>
      </c>
      <c r="D241" s="7" t="s">
        <v>542</v>
      </c>
      <c r="E241" s="7" t="s">
        <v>82</v>
      </c>
      <c r="F241" s="7" t="s">
        <v>541</v>
      </c>
      <c r="G241" s="12" t="s">
        <v>154</v>
      </c>
      <c r="H241" s="7" t="s">
        <v>155</v>
      </c>
      <c r="I241" s="7" t="s">
        <v>155</v>
      </c>
      <c r="J241" s="7" t="s">
        <v>154</v>
      </c>
      <c r="K241" s="13">
        <v>100</v>
      </c>
      <c r="L241" s="13">
        <v>27</v>
      </c>
      <c r="M241" s="11">
        <v>273</v>
      </c>
      <c r="N241" s="13">
        <v>100</v>
      </c>
      <c r="O241" s="13">
        <v>27</v>
      </c>
      <c r="P241" s="11">
        <v>142</v>
      </c>
      <c r="Q241" s="13">
        <v>0</v>
      </c>
      <c r="R241" s="13">
        <v>0</v>
      </c>
      <c r="S241" s="11">
        <v>0</v>
      </c>
      <c r="T241" s="13">
        <v>0</v>
      </c>
      <c r="U241" s="13">
        <v>0</v>
      </c>
      <c r="V241" s="11">
        <v>0</v>
      </c>
      <c r="W241" s="13">
        <v>0</v>
      </c>
      <c r="X241" s="13">
        <v>0</v>
      </c>
      <c r="Y241" s="11">
        <v>0</v>
      </c>
    </row>
    <row r="242" spans="1:25" x14ac:dyDescent="0.3">
      <c r="A242" s="10" t="s">
        <v>151</v>
      </c>
      <c r="B242" s="7">
        <v>2022</v>
      </c>
      <c r="C242" s="11">
        <v>241</v>
      </c>
      <c r="D242" s="7" t="s">
        <v>543</v>
      </c>
      <c r="E242" s="7" t="s">
        <v>82</v>
      </c>
      <c r="F242" s="7" t="s">
        <v>541</v>
      </c>
      <c r="G242" s="12" t="s">
        <v>154</v>
      </c>
      <c r="H242" s="7" t="s">
        <v>155</v>
      </c>
      <c r="I242" s="7" t="s">
        <v>155</v>
      </c>
      <c r="J242" s="7" t="s">
        <v>154</v>
      </c>
      <c r="K242" s="13">
        <v>100</v>
      </c>
      <c r="L242" s="13">
        <v>27</v>
      </c>
      <c r="M242" s="11">
        <v>273</v>
      </c>
      <c r="N242" s="13">
        <v>100</v>
      </c>
      <c r="O242" s="13">
        <v>27</v>
      </c>
      <c r="P242" s="11">
        <v>142</v>
      </c>
      <c r="Q242" s="13">
        <v>0</v>
      </c>
      <c r="R242" s="13">
        <v>0</v>
      </c>
      <c r="S242" s="11">
        <v>0</v>
      </c>
      <c r="T242" s="13">
        <v>0</v>
      </c>
      <c r="U242" s="13">
        <v>0</v>
      </c>
      <c r="V242" s="11">
        <v>0</v>
      </c>
      <c r="W242" s="13">
        <v>0</v>
      </c>
      <c r="X242" s="13">
        <v>0</v>
      </c>
      <c r="Y242" s="11">
        <v>0</v>
      </c>
    </row>
    <row r="243" spans="1:25" x14ac:dyDescent="0.3">
      <c r="A243" s="10" t="s">
        <v>151</v>
      </c>
      <c r="B243" s="7">
        <v>2022</v>
      </c>
      <c r="C243" s="11">
        <v>242</v>
      </c>
      <c r="D243" s="7" t="s">
        <v>544</v>
      </c>
      <c r="E243" s="7" t="s">
        <v>82</v>
      </c>
      <c r="F243" s="7" t="s">
        <v>541</v>
      </c>
      <c r="G243" s="12" t="s">
        <v>154</v>
      </c>
      <c r="H243" s="7" t="s">
        <v>155</v>
      </c>
      <c r="I243" s="7" t="s">
        <v>155</v>
      </c>
      <c r="J243" s="7" t="s">
        <v>154</v>
      </c>
      <c r="K243" s="13">
        <v>100</v>
      </c>
      <c r="L243" s="13">
        <v>27</v>
      </c>
      <c r="M243" s="11">
        <v>273</v>
      </c>
      <c r="N243" s="13">
        <v>0</v>
      </c>
      <c r="O243" s="13">
        <v>0</v>
      </c>
      <c r="P243" s="11">
        <v>0</v>
      </c>
      <c r="Q243" s="13">
        <v>0</v>
      </c>
      <c r="R243" s="13">
        <v>0</v>
      </c>
      <c r="S243" s="11">
        <v>0</v>
      </c>
      <c r="T243" s="13">
        <v>0</v>
      </c>
      <c r="U243" s="13">
        <v>0</v>
      </c>
      <c r="V243" s="11">
        <v>0</v>
      </c>
      <c r="W243" s="13">
        <v>0</v>
      </c>
      <c r="X243" s="13">
        <v>0</v>
      </c>
      <c r="Y243" s="11">
        <v>0</v>
      </c>
    </row>
    <row r="244" spans="1:25" x14ac:dyDescent="0.3">
      <c r="A244" s="10" t="s">
        <v>151</v>
      </c>
      <c r="B244" s="7">
        <v>2022</v>
      </c>
      <c r="C244" s="11">
        <v>243</v>
      </c>
      <c r="D244" s="7" t="s">
        <v>545</v>
      </c>
      <c r="E244" s="7" t="s">
        <v>82</v>
      </c>
      <c r="F244" s="7" t="s">
        <v>546</v>
      </c>
      <c r="G244" s="12" t="s">
        <v>154</v>
      </c>
      <c r="H244" s="7" t="s">
        <v>155</v>
      </c>
      <c r="I244" s="7" t="s">
        <v>155</v>
      </c>
      <c r="J244" s="7" t="s">
        <v>154</v>
      </c>
      <c r="K244" s="13">
        <v>100</v>
      </c>
      <c r="L244" s="13">
        <v>5</v>
      </c>
      <c r="M244" s="11">
        <v>273</v>
      </c>
      <c r="N244" s="13">
        <v>100</v>
      </c>
      <c r="O244" s="13">
        <v>5</v>
      </c>
      <c r="P244" s="11">
        <v>142</v>
      </c>
      <c r="Q244" s="13">
        <v>0</v>
      </c>
      <c r="R244" s="13">
        <v>0</v>
      </c>
      <c r="S244" s="11">
        <v>0</v>
      </c>
      <c r="T244" s="13">
        <v>0</v>
      </c>
      <c r="U244" s="13">
        <v>0</v>
      </c>
      <c r="V244" s="11">
        <v>0</v>
      </c>
      <c r="W244" s="13">
        <v>0</v>
      </c>
      <c r="X244" s="13">
        <v>0</v>
      </c>
      <c r="Y244" s="11">
        <v>0</v>
      </c>
    </row>
    <row r="245" spans="1:25" x14ac:dyDescent="0.3">
      <c r="A245" s="10" t="s">
        <v>151</v>
      </c>
      <c r="B245" s="7">
        <v>2022</v>
      </c>
      <c r="C245" s="11">
        <v>244</v>
      </c>
      <c r="D245" s="7" t="s">
        <v>547</v>
      </c>
      <c r="E245" s="7" t="s">
        <v>82</v>
      </c>
      <c r="F245" s="7" t="s">
        <v>546</v>
      </c>
      <c r="G245" s="12" t="s">
        <v>154</v>
      </c>
      <c r="H245" s="7" t="s">
        <v>155</v>
      </c>
      <c r="I245" s="7" t="s">
        <v>155</v>
      </c>
      <c r="J245" s="7" t="s">
        <v>154</v>
      </c>
      <c r="K245" s="13">
        <v>100</v>
      </c>
      <c r="L245" s="13">
        <v>27</v>
      </c>
      <c r="M245" s="11">
        <v>273</v>
      </c>
      <c r="N245" s="13">
        <v>100</v>
      </c>
      <c r="O245" s="13">
        <v>27</v>
      </c>
      <c r="P245" s="11">
        <v>142</v>
      </c>
      <c r="Q245" s="13">
        <v>0</v>
      </c>
      <c r="R245" s="13">
        <v>0</v>
      </c>
      <c r="S245" s="11">
        <v>0</v>
      </c>
      <c r="T245" s="13">
        <v>0</v>
      </c>
      <c r="U245" s="13">
        <v>0</v>
      </c>
      <c r="V245" s="11">
        <v>0</v>
      </c>
      <c r="W245" s="13">
        <v>0</v>
      </c>
      <c r="X245" s="13">
        <v>0</v>
      </c>
      <c r="Y245" s="11">
        <v>0</v>
      </c>
    </row>
    <row r="246" spans="1:25" x14ac:dyDescent="0.3">
      <c r="A246" s="10" t="s">
        <v>151</v>
      </c>
      <c r="B246" s="7">
        <v>2022</v>
      </c>
      <c r="C246" s="11">
        <v>245</v>
      </c>
      <c r="D246" s="7" t="s">
        <v>548</v>
      </c>
      <c r="E246" s="7" t="s">
        <v>82</v>
      </c>
      <c r="F246" s="7" t="s">
        <v>546</v>
      </c>
      <c r="G246" s="12" t="s">
        <v>154</v>
      </c>
      <c r="H246" s="7" t="s">
        <v>155</v>
      </c>
      <c r="I246" s="7" t="s">
        <v>155</v>
      </c>
      <c r="J246" s="7" t="s">
        <v>154</v>
      </c>
      <c r="K246" s="13">
        <v>100</v>
      </c>
      <c r="L246" s="13">
        <v>5</v>
      </c>
      <c r="M246" s="11">
        <v>273</v>
      </c>
      <c r="N246" s="13">
        <v>100</v>
      </c>
      <c r="O246" s="13">
        <v>5</v>
      </c>
      <c r="P246" s="11">
        <v>142</v>
      </c>
      <c r="Q246" s="13">
        <v>0</v>
      </c>
      <c r="R246" s="13">
        <v>0</v>
      </c>
      <c r="S246" s="11">
        <v>0</v>
      </c>
      <c r="T246" s="13">
        <v>0</v>
      </c>
      <c r="U246" s="13">
        <v>0</v>
      </c>
      <c r="V246" s="11">
        <v>0</v>
      </c>
      <c r="W246" s="13">
        <v>0</v>
      </c>
      <c r="X246" s="13">
        <v>0</v>
      </c>
      <c r="Y246" s="11">
        <v>0</v>
      </c>
    </row>
    <row r="247" spans="1:25" x14ac:dyDescent="0.3">
      <c r="A247" s="10" t="s">
        <v>151</v>
      </c>
      <c r="B247" s="7">
        <v>2022</v>
      </c>
      <c r="C247" s="11">
        <v>246</v>
      </c>
      <c r="D247" s="7" t="s">
        <v>549</v>
      </c>
      <c r="E247" s="7" t="s">
        <v>82</v>
      </c>
      <c r="F247" s="7" t="s">
        <v>546</v>
      </c>
      <c r="G247" s="12" t="s">
        <v>154</v>
      </c>
      <c r="H247" s="7" t="s">
        <v>155</v>
      </c>
      <c r="I247" s="7" t="s">
        <v>155</v>
      </c>
      <c r="J247" s="7" t="s">
        <v>154</v>
      </c>
      <c r="K247" s="13">
        <v>100</v>
      </c>
      <c r="L247" s="13">
        <v>27</v>
      </c>
      <c r="M247" s="11">
        <v>273</v>
      </c>
      <c r="N247" s="13">
        <v>100</v>
      </c>
      <c r="O247" s="13">
        <v>27</v>
      </c>
      <c r="P247" s="11">
        <v>142</v>
      </c>
      <c r="Q247" s="13">
        <v>0</v>
      </c>
      <c r="R247" s="13">
        <v>0</v>
      </c>
      <c r="S247" s="11">
        <v>0</v>
      </c>
      <c r="T247" s="13">
        <v>0</v>
      </c>
      <c r="U247" s="13">
        <v>0</v>
      </c>
      <c r="V247" s="11">
        <v>0</v>
      </c>
      <c r="W247" s="13">
        <v>0</v>
      </c>
      <c r="X247" s="13">
        <v>0</v>
      </c>
      <c r="Y247" s="11">
        <v>0</v>
      </c>
    </row>
    <row r="248" spans="1:25" x14ac:dyDescent="0.3">
      <c r="A248" s="10" t="s">
        <v>151</v>
      </c>
      <c r="B248" s="7">
        <v>2022</v>
      </c>
      <c r="C248" s="11">
        <v>247</v>
      </c>
      <c r="D248" s="7" t="s">
        <v>550</v>
      </c>
      <c r="E248" s="7" t="s">
        <v>82</v>
      </c>
      <c r="F248" s="7" t="s">
        <v>546</v>
      </c>
      <c r="G248" s="12" t="s">
        <v>154</v>
      </c>
      <c r="H248" s="7" t="s">
        <v>155</v>
      </c>
      <c r="I248" s="7" t="s">
        <v>155</v>
      </c>
      <c r="J248" s="7" t="s">
        <v>154</v>
      </c>
      <c r="K248" s="13">
        <v>100</v>
      </c>
      <c r="L248" s="13">
        <v>27</v>
      </c>
      <c r="M248" s="11">
        <v>273</v>
      </c>
      <c r="N248" s="13">
        <v>100</v>
      </c>
      <c r="O248" s="13">
        <v>27</v>
      </c>
      <c r="P248" s="11">
        <v>142</v>
      </c>
      <c r="Q248" s="13">
        <v>0</v>
      </c>
      <c r="R248" s="13">
        <v>0</v>
      </c>
      <c r="S248" s="11">
        <v>0</v>
      </c>
      <c r="T248" s="13">
        <v>0</v>
      </c>
      <c r="U248" s="13">
        <v>0</v>
      </c>
      <c r="V248" s="11">
        <v>0</v>
      </c>
      <c r="W248" s="13">
        <v>0</v>
      </c>
      <c r="X248" s="13">
        <v>0</v>
      </c>
      <c r="Y248" s="11">
        <v>0</v>
      </c>
    </row>
    <row r="249" spans="1:25" x14ac:dyDescent="0.3">
      <c r="A249" s="10" t="s">
        <v>151</v>
      </c>
      <c r="B249" s="7">
        <v>2022</v>
      </c>
      <c r="C249" s="11">
        <v>248</v>
      </c>
      <c r="D249" s="7" t="s">
        <v>551</v>
      </c>
      <c r="E249" s="7" t="s">
        <v>82</v>
      </c>
      <c r="F249" s="7" t="s">
        <v>154</v>
      </c>
      <c r="G249" s="14" t="s">
        <v>552</v>
      </c>
      <c r="H249" s="7" t="s">
        <v>155</v>
      </c>
      <c r="I249" s="7" t="s">
        <v>155</v>
      </c>
      <c r="J249" s="7" t="s">
        <v>154</v>
      </c>
      <c r="K249" s="13">
        <v>0</v>
      </c>
      <c r="L249" s="13">
        <v>0</v>
      </c>
      <c r="M249" s="11">
        <v>0</v>
      </c>
      <c r="N249" s="13">
        <v>0</v>
      </c>
      <c r="O249" s="13">
        <v>0</v>
      </c>
      <c r="P249" s="11">
        <v>0</v>
      </c>
      <c r="Q249" s="13">
        <v>0</v>
      </c>
      <c r="R249" s="13">
        <v>0</v>
      </c>
      <c r="S249" s="11">
        <v>0</v>
      </c>
      <c r="T249" s="13">
        <v>0</v>
      </c>
      <c r="U249" s="13">
        <v>0</v>
      </c>
      <c r="V249" s="11">
        <v>0</v>
      </c>
      <c r="W249" s="13">
        <v>0</v>
      </c>
      <c r="X249" s="13">
        <v>0</v>
      </c>
      <c r="Y249" s="11">
        <v>0</v>
      </c>
    </row>
    <row r="250" spans="1:25" x14ac:dyDescent="0.3">
      <c r="A250" s="10" t="s">
        <v>151</v>
      </c>
      <c r="B250" s="7">
        <v>2022</v>
      </c>
      <c r="C250" s="11">
        <v>249</v>
      </c>
      <c r="D250" s="7" t="s">
        <v>553</v>
      </c>
      <c r="E250" s="7" t="s">
        <v>82</v>
      </c>
      <c r="F250" s="7" t="s">
        <v>554</v>
      </c>
      <c r="G250" s="12" t="s">
        <v>154</v>
      </c>
      <c r="H250" s="7" t="s">
        <v>155</v>
      </c>
      <c r="I250" s="7" t="s">
        <v>155</v>
      </c>
      <c r="J250" s="7" t="s">
        <v>154</v>
      </c>
      <c r="K250" s="13">
        <v>100</v>
      </c>
      <c r="L250" s="13">
        <v>27</v>
      </c>
      <c r="M250" s="11">
        <v>273</v>
      </c>
      <c r="N250" s="13">
        <v>0</v>
      </c>
      <c r="O250" s="13">
        <v>0</v>
      </c>
      <c r="P250" s="11">
        <v>0</v>
      </c>
      <c r="Q250" s="13">
        <v>0</v>
      </c>
      <c r="R250" s="13">
        <v>0</v>
      </c>
      <c r="S250" s="11">
        <v>0</v>
      </c>
      <c r="T250" s="13">
        <v>0</v>
      </c>
      <c r="U250" s="13">
        <v>0</v>
      </c>
      <c r="V250" s="11">
        <v>0</v>
      </c>
      <c r="W250" s="13">
        <v>0</v>
      </c>
      <c r="X250" s="13">
        <v>0</v>
      </c>
      <c r="Y250" s="11">
        <v>0</v>
      </c>
    </row>
    <row r="251" spans="1:25" x14ac:dyDescent="0.3">
      <c r="A251" s="10" t="s">
        <v>151</v>
      </c>
      <c r="B251" s="7">
        <v>2022</v>
      </c>
      <c r="C251" s="11">
        <v>250</v>
      </c>
      <c r="D251" s="7" t="s">
        <v>555</v>
      </c>
      <c r="E251" s="7" t="s">
        <v>82</v>
      </c>
      <c r="F251" s="7" t="s">
        <v>556</v>
      </c>
      <c r="G251" s="12" t="s">
        <v>154</v>
      </c>
      <c r="H251" s="7" t="s">
        <v>155</v>
      </c>
      <c r="I251" s="7" t="s">
        <v>155</v>
      </c>
      <c r="J251" s="7" t="s">
        <v>154</v>
      </c>
      <c r="K251" s="13">
        <v>0</v>
      </c>
      <c r="L251" s="13">
        <v>0</v>
      </c>
      <c r="M251" s="11">
        <v>0</v>
      </c>
      <c r="N251" s="13">
        <v>0</v>
      </c>
      <c r="O251" s="13">
        <v>0</v>
      </c>
      <c r="P251" s="11">
        <v>0</v>
      </c>
      <c r="Q251" s="13">
        <v>0</v>
      </c>
      <c r="R251" s="13">
        <v>0</v>
      </c>
      <c r="S251" s="11">
        <v>0</v>
      </c>
      <c r="T251" s="13">
        <v>0</v>
      </c>
      <c r="U251" s="13">
        <v>0</v>
      </c>
      <c r="V251" s="11">
        <v>0</v>
      </c>
      <c r="W251" s="13">
        <v>0</v>
      </c>
      <c r="X251" s="13">
        <v>0</v>
      </c>
      <c r="Y251" s="11">
        <v>0</v>
      </c>
    </row>
    <row r="252" spans="1:25" x14ac:dyDescent="0.3">
      <c r="A252" s="10" t="s">
        <v>151</v>
      </c>
      <c r="B252" s="7">
        <v>2022</v>
      </c>
      <c r="C252" s="11">
        <v>251</v>
      </c>
      <c r="D252" s="7" t="s">
        <v>557</v>
      </c>
      <c r="E252" s="7" t="s">
        <v>82</v>
      </c>
      <c r="F252" s="7" t="s">
        <v>154</v>
      </c>
      <c r="G252" s="14" t="s">
        <v>558</v>
      </c>
      <c r="H252" s="7" t="s">
        <v>155</v>
      </c>
      <c r="I252" s="7" t="s">
        <v>155</v>
      </c>
      <c r="J252" s="7" t="s">
        <v>154</v>
      </c>
      <c r="K252" s="13">
        <v>0</v>
      </c>
      <c r="L252" s="13">
        <v>0</v>
      </c>
      <c r="M252" s="11">
        <v>0</v>
      </c>
      <c r="N252" s="13">
        <v>0</v>
      </c>
      <c r="O252" s="13">
        <v>0</v>
      </c>
      <c r="P252" s="11">
        <v>0</v>
      </c>
      <c r="Q252" s="13">
        <v>0</v>
      </c>
      <c r="R252" s="13">
        <v>0</v>
      </c>
      <c r="S252" s="11">
        <v>0</v>
      </c>
      <c r="T252" s="13">
        <v>0</v>
      </c>
      <c r="U252" s="13">
        <v>0</v>
      </c>
      <c r="V252" s="11">
        <v>0</v>
      </c>
      <c r="W252" s="13">
        <v>0</v>
      </c>
      <c r="X252" s="13">
        <v>0</v>
      </c>
      <c r="Y252" s="11">
        <v>0</v>
      </c>
    </row>
    <row r="253" spans="1:25" x14ac:dyDescent="0.3">
      <c r="A253" s="10" t="s">
        <v>151</v>
      </c>
      <c r="B253" s="7">
        <v>2022</v>
      </c>
      <c r="C253" s="11">
        <v>252</v>
      </c>
      <c r="D253" s="7" t="s">
        <v>559</v>
      </c>
      <c r="E253" s="7" t="s">
        <v>82</v>
      </c>
      <c r="F253" s="7" t="s">
        <v>560</v>
      </c>
      <c r="G253" s="12" t="s">
        <v>154</v>
      </c>
      <c r="H253" s="7" t="s">
        <v>155</v>
      </c>
      <c r="I253" s="7" t="s">
        <v>155</v>
      </c>
      <c r="J253" s="7" t="s">
        <v>154</v>
      </c>
      <c r="K253" s="13">
        <v>100</v>
      </c>
      <c r="L253" s="13">
        <v>27</v>
      </c>
      <c r="M253" s="11">
        <v>273</v>
      </c>
      <c r="N253" s="13">
        <v>100</v>
      </c>
      <c r="O253" s="13">
        <v>27</v>
      </c>
      <c r="P253" s="11">
        <v>142</v>
      </c>
      <c r="Q253" s="13">
        <v>0</v>
      </c>
      <c r="R253" s="13">
        <v>0</v>
      </c>
      <c r="S253" s="11">
        <v>0</v>
      </c>
      <c r="T253" s="13">
        <v>0</v>
      </c>
      <c r="U253" s="13">
        <v>0</v>
      </c>
      <c r="V253" s="11">
        <v>0</v>
      </c>
      <c r="W253" s="13">
        <v>0</v>
      </c>
      <c r="X253" s="13">
        <v>0</v>
      </c>
      <c r="Y253" s="11">
        <v>0</v>
      </c>
    </row>
    <row r="254" spans="1:25" x14ac:dyDescent="0.3">
      <c r="A254" s="10" t="s">
        <v>151</v>
      </c>
      <c r="B254" s="7">
        <v>2022</v>
      </c>
      <c r="C254" s="11">
        <v>253</v>
      </c>
      <c r="D254" s="7" t="s">
        <v>561</v>
      </c>
      <c r="E254" s="7" t="s">
        <v>82</v>
      </c>
      <c r="F254" s="7" t="s">
        <v>560</v>
      </c>
      <c r="G254" s="12" t="s">
        <v>154</v>
      </c>
      <c r="H254" s="7" t="s">
        <v>155</v>
      </c>
      <c r="I254" s="7" t="s">
        <v>155</v>
      </c>
      <c r="J254" s="7" t="s">
        <v>154</v>
      </c>
      <c r="K254" s="13">
        <v>100</v>
      </c>
      <c r="L254" s="13">
        <v>27</v>
      </c>
      <c r="M254" s="11">
        <v>273</v>
      </c>
      <c r="N254" s="13">
        <v>100</v>
      </c>
      <c r="O254" s="13">
        <v>27</v>
      </c>
      <c r="P254" s="11">
        <v>142</v>
      </c>
      <c r="Q254" s="13">
        <v>0</v>
      </c>
      <c r="R254" s="13">
        <v>0</v>
      </c>
      <c r="S254" s="11">
        <v>0</v>
      </c>
      <c r="T254" s="13">
        <v>0</v>
      </c>
      <c r="U254" s="13">
        <v>0</v>
      </c>
      <c r="V254" s="11">
        <v>0</v>
      </c>
      <c r="W254" s="13">
        <v>0</v>
      </c>
      <c r="X254" s="13">
        <v>0</v>
      </c>
      <c r="Y254" s="11">
        <v>0</v>
      </c>
    </row>
    <row r="255" spans="1:25" x14ac:dyDescent="0.3">
      <c r="A255" s="10" t="s">
        <v>151</v>
      </c>
      <c r="B255" s="7">
        <v>2022</v>
      </c>
      <c r="C255" s="11">
        <v>254</v>
      </c>
      <c r="D255" s="7" t="s">
        <v>562</v>
      </c>
      <c r="E255" s="7" t="s">
        <v>82</v>
      </c>
      <c r="F255" s="7" t="s">
        <v>560</v>
      </c>
      <c r="G255" s="12" t="s">
        <v>154</v>
      </c>
      <c r="H255" s="7" t="s">
        <v>155</v>
      </c>
      <c r="I255" s="7" t="s">
        <v>155</v>
      </c>
      <c r="J255" s="7" t="s">
        <v>154</v>
      </c>
      <c r="K255" s="13">
        <v>100</v>
      </c>
      <c r="L255" s="13">
        <v>27</v>
      </c>
      <c r="M255" s="11">
        <v>273</v>
      </c>
      <c r="N255" s="13">
        <v>100</v>
      </c>
      <c r="O255" s="13">
        <v>27</v>
      </c>
      <c r="P255" s="11">
        <v>142</v>
      </c>
      <c r="Q255" s="13">
        <v>0</v>
      </c>
      <c r="R255" s="13">
        <v>0</v>
      </c>
      <c r="S255" s="11">
        <v>0</v>
      </c>
      <c r="T255" s="13">
        <v>0</v>
      </c>
      <c r="U255" s="13">
        <v>0</v>
      </c>
      <c r="V255" s="11">
        <v>0</v>
      </c>
      <c r="W255" s="13">
        <v>0</v>
      </c>
      <c r="X255" s="13">
        <v>0</v>
      </c>
      <c r="Y255" s="11">
        <v>0</v>
      </c>
    </row>
    <row r="256" spans="1:25" x14ac:dyDescent="0.3">
      <c r="A256" s="10" t="s">
        <v>151</v>
      </c>
      <c r="B256" s="7">
        <v>2022</v>
      </c>
      <c r="C256" s="11">
        <v>255</v>
      </c>
      <c r="D256" s="7" t="s">
        <v>563</v>
      </c>
      <c r="E256" s="7" t="s">
        <v>82</v>
      </c>
      <c r="F256" s="7" t="s">
        <v>564</v>
      </c>
      <c r="G256" s="12" t="s">
        <v>154</v>
      </c>
      <c r="H256" s="7" t="s">
        <v>155</v>
      </c>
      <c r="I256" s="7" t="s">
        <v>155</v>
      </c>
      <c r="J256" s="7" t="s">
        <v>154</v>
      </c>
      <c r="K256" s="13">
        <v>0</v>
      </c>
      <c r="L256" s="13">
        <v>0</v>
      </c>
      <c r="M256" s="11">
        <v>0</v>
      </c>
      <c r="N256" s="13">
        <v>0</v>
      </c>
      <c r="O256" s="13">
        <v>0</v>
      </c>
      <c r="P256" s="11">
        <v>0</v>
      </c>
      <c r="Q256" s="13">
        <v>0</v>
      </c>
      <c r="R256" s="13">
        <v>0</v>
      </c>
      <c r="S256" s="11">
        <v>0</v>
      </c>
      <c r="T256" s="13">
        <v>0</v>
      </c>
      <c r="U256" s="13">
        <v>0</v>
      </c>
      <c r="V256" s="11">
        <v>0</v>
      </c>
      <c r="W256" s="13">
        <v>0</v>
      </c>
      <c r="X256" s="13">
        <v>0</v>
      </c>
      <c r="Y256" s="11">
        <v>0</v>
      </c>
    </row>
    <row r="257" spans="1:25" x14ac:dyDescent="0.3">
      <c r="A257" s="10" t="s">
        <v>151</v>
      </c>
      <c r="B257" s="7">
        <v>2022</v>
      </c>
      <c r="C257" s="11">
        <v>256</v>
      </c>
      <c r="D257" s="7" t="s">
        <v>565</v>
      </c>
      <c r="E257" s="7" t="s">
        <v>82</v>
      </c>
      <c r="F257" s="7" t="s">
        <v>566</v>
      </c>
      <c r="G257" s="12" t="s">
        <v>154</v>
      </c>
      <c r="H257" s="7" t="s">
        <v>155</v>
      </c>
      <c r="I257" s="7" t="s">
        <v>155</v>
      </c>
      <c r="J257" s="7" t="s">
        <v>154</v>
      </c>
      <c r="K257" s="13">
        <v>0</v>
      </c>
      <c r="L257" s="13">
        <v>0</v>
      </c>
      <c r="M257" s="11">
        <v>0</v>
      </c>
      <c r="N257" s="13">
        <v>0</v>
      </c>
      <c r="O257" s="13">
        <v>0</v>
      </c>
      <c r="P257" s="11">
        <v>0</v>
      </c>
      <c r="Q257" s="13">
        <v>0</v>
      </c>
      <c r="R257" s="13">
        <v>0</v>
      </c>
      <c r="S257" s="11">
        <v>0</v>
      </c>
      <c r="T257" s="13">
        <v>0</v>
      </c>
      <c r="U257" s="13">
        <v>0</v>
      </c>
      <c r="V257" s="11">
        <v>0</v>
      </c>
      <c r="W257" s="13">
        <v>0</v>
      </c>
      <c r="X257" s="13">
        <v>0</v>
      </c>
      <c r="Y257" s="11">
        <v>0</v>
      </c>
    </row>
    <row r="258" spans="1:25" x14ac:dyDescent="0.3">
      <c r="A258" s="10" t="s">
        <v>151</v>
      </c>
      <c r="B258" s="7">
        <v>2022</v>
      </c>
      <c r="C258" s="11">
        <v>257</v>
      </c>
      <c r="D258" s="7" t="s">
        <v>567</v>
      </c>
      <c r="E258" s="7" t="s">
        <v>82</v>
      </c>
      <c r="F258" s="7" t="s">
        <v>566</v>
      </c>
      <c r="G258" s="12" t="s">
        <v>154</v>
      </c>
      <c r="H258" s="7" t="s">
        <v>155</v>
      </c>
      <c r="I258" s="7" t="s">
        <v>155</v>
      </c>
      <c r="J258" s="7" t="s">
        <v>154</v>
      </c>
      <c r="K258" s="13">
        <v>0</v>
      </c>
      <c r="L258" s="13">
        <v>0</v>
      </c>
      <c r="M258" s="11">
        <v>0</v>
      </c>
      <c r="N258" s="13">
        <v>0</v>
      </c>
      <c r="O258" s="13">
        <v>0</v>
      </c>
      <c r="P258" s="11">
        <v>0</v>
      </c>
      <c r="Q258" s="13">
        <v>0</v>
      </c>
      <c r="R258" s="13">
        <v>0</v>
      </c>
      <c r="S258" s="11">
        <v>0</v>
      </c>
      <c r="T258" s="13">
        <v>0</v>
      </c>
      <c r="U258" s="13">
        <v>0</v>
      </c>
      <c r="V258" s="11">
        <v>0</v>
      </c>
      <c r="W258" s="13">
        <v>0</v>
      </c>
      <c r="X258" s="13">
        <v>0</v>
      </c>
      <c r="Y258" s="11">
        <v>0</v>
      </c>
    </row>
    <row r="259" spans="1:25" x14ac:dyDescent="0.3">
      <c r="A259" s="10" t="s">
        <v>151</v>
      </c>
      <c r="B259" s="7">
        <v>2022</v>
      </c>
      <c r="C259" s="11">
        <v>258</v>
      </c>
      <c r="D259" s="7" t="s">
        <v>568</v>
      </c>
      <c r="E259" s="7" t="s">
        <v>82</v>
      </c>
      <c r="F259" s="7" t="s">
        <v>566</v>
      </c>
      <c r="G259" s="12" t="s">
        <v>154</v>
      </c>
      <c r="H259" s="7" t="s">
        <v>155</v>
      </c>
      <c r="I259" s="7" t="s">
        <v>155</v>
      </c>
      <c r="J259" s="7" t="s">
        <v>154</v>
      </c>
      <c r="K259" s="13">
        <v>0</v>
      </c>
      <c r="L259" s="13">
        <v>0</v>
      </c>
      <c r="M259" s="11">
        <v>0</v>
      </c>
      <c r="N259" s="13">
        <v>0</v>
      </c>
      <c r="O259" s="13">
        <v>0</v>
      </c>
      <c r="P259" s="11">
        <v>0</v>
      </c>
      <c r="Q259" s="13">
        <v>0</v>
      </c>
      <c r="R259" s="13">
        <v>0</v>
      </c>
      <c r="S259" s="11">
        <v>0</v>
      </c>
      <c r="T259" s="13">
        <v>0</v>
      </c>
      <c r="U259" s="13">
        <v>0</v>
      </c>
      <c r="V259" s="11">
        <v>0</v>
      </c>
      <c r="W259" s="13">
        <v>0</v>
      </c>
      <c r="X259" s="13">
        <v>0</v>
      </c>
      <c r="Y259" s="11">
        <v>0</v>
      </c>
    </row>
    <row r="260" spans="1:25" x14ac:dyDescent="0.3">
      <c r="A260" s="10" t="s">
        <v>151</v>
      </c>
      <c r="B260" s="7">
        <v>2022</v>
      </c>
      <c r="C260" s="11">
        <v>259</v>
      </c>
      <c r="D260" s="7" t="s">
        <v>569</v>
      </c>
      <c r="E260" s="7" t="s">
        <v>82</v>
      </c>
      <c r="F260" s="7" t="s">
        <v>566</v>
      </c>
      <c r="G260" s="12" t="s">
        <v>154</v>
      </c>
      <c r="H260" s="7" t="s">
        <v>155</v>
      </c>
      <c r="I260" s="7" t="s">
        <v>155</v>
      </c>
      <c r="J260" s="7" t="s">
        <v>154</v>
      </c>
      <c r="K260" s="13">
        <v>0</v>
      </c>
      <c r="L260" s="13">
        <v>0</v>
      </c>
      <c r="M260" s="11">
        <v>0</v>
      </c>
      <c r="N260" s="13">
        <v>0</v>
      </c>
      <c r="O260" s="13">
        <v>0</v>
      </c>
      <c r="P260" s="11">
        <v>0</v>
      </c>
      <c r="Q260" s="13">
        <v>0</v>
      </c>
      <c r="R260" s="13">
        <v>0</v>
      </c>
      <c r="S260" s="11">
        <v>0</v>
      </c>
      <c r="T260" s="13">
        <v>0</v>
      </c>
      <c r="U260" s="13">
        <v>0</v>
      </c>
      <c r="V260" s="11">
        <v>0</v>
      </c>
      <c r="W260" s="13">
        <v>0</v>
      </c>
      <c r="X260" s="13">
        <v>0</v>
      </c>
      <c r="Y260" s="11">
        <v>0</v>
      </c>
    </row>
    <row r="261" spans="1:25" x14ac:dyDescent="0.3">
      <c r="A261" s="10" t="s">
        <v>151</v>
      </c>
      <c r="B261" s="7">
        <v>2022</v>
      </c>
      <c r="C261" s="11">
        <v>260</v>
      </c>
      <c r="D261" s="7" t="s">
        <v>570</v>
      </c>
      <c r="E261" s="7" t="s">
        <v>82</v>
      </c>
      <c r="F261" s="7" t="s">
        <v>566</v>
      </c>
      <c r="G261" s="12" t="s">
        <v>154</v>
      </c>
      <c r="H261" s="7" t="s">
        <v>155</v>
      </c>
      <c r="I261" s="7" t="s">
        <v>155</v>
      </c>
      <c r="J261" s="7" t="s">
        <v>154</v>
      </c>
      <c r="K261" s="13">
        <v>0</v>
      </c>
      <c r="L261" s="13">
        <v>0</v>
      </c>
      <c r="M261" s="11">
        <v>0</v>
      </c>
      <c r="N261" s="13">
        <v>0</v>
      </c>
      <c r="O261" s="13">
        <v>0</v>
      </c>
      <c r="P261" s="11">
        <v>0</v>
      </c>
      <c r="Q261" s="13">
        <v>0</v>
      </c>
      <c r="R261" s="13">
        <v>0</v>
      </c>
      <c r="S261" s="11">
        <v>0</v>
      </c>
      <c r="T261" s="13">
        <v>0</v>
      </c>
      <c r="U261" s="13">
        <v>0</v>
      </c>
      <c r="V261" s="11">
        <v>0</v>
      </c>
      <c r="W261" s="13">
        <v>0</v>
      </c>
      <c r="X261" s="13">
        <v>0</v>
      </c>
      <c r="Y261" s="11">
        <v>0</v>
      </c>
    </row>
    <row r="262" spans="1:25" x14ac:dyDescent="0.3">
      <c r="A262" s="10" t="s">
        <v>151</v>
      </c>
      <c r="B262" s="7">
        <v>2022</v>
      </c>
      <c r="C262" s="11">
        <v>261</v>
      </c>
      <c r="D262" s="7" t="s">
        <v>571</v>
      </c>
      <c r="E262" s="7" t="s">
        <v>82</v>
      </c>
      <c r="F262" s="7" t="s">
        <v>566</v>
      </c>
      <c r="G262" s="12" t="s">
        <v>154</v>
      </c>
      <c r="H262" s="7" t="s">
        <v>155</v>
      </c>
      <c r="I262" s="7" t="s">
        <v>155</v>
      </c>
      <c r="J262" s="7" t="s">
        <v>154</v>
      </c>
      <c r="K262" s="13">
        <v>0</v>
      </c>
      <c r="L262" s="13">
        <v>0</v>
      </c>
      <c r="M262" s="11">
        <v>0</v>
      </c>
      <c r="N262" s="13">
        <v>0</v>
      </c>
      <c r="O262" s="13">
        <v>0</v>
      </c>
      <c r="P262" s="11">
        <v>0</v>
      </c>
      <c r="Q262" s="13">
        <v>0</v>
      </c>
      <c r="R262" s="13">
        <v>0</v>
      </c>
      <c r="S262" s="11">
        <v>0</v>
      </c>
      <c r="T262" s="13">
        <v>0</v>
      </c>
      <c r="U262" s="13">
        <v>0</v>
      </c>
      <c r="V262" s="11">
        <v>0</v>
      </c>
      <c r="W262" s="13">
        <v>0</v>
      </c>
      <c r="X262" s="13">
        <v>0</v>
      </c>
      <c r="Y262" s="11">
        <v>0</v>
      </c>
    </row>
    <row r="263" spans="1:25" x14ac:dyDescent="0.3">
      <c r="A263" s="10" t="s">
        <v>151</v>
      </c>
      <c r="B263" s="7">
        <v>2022</v>
      </c>
      <c r="C263" s="11">
        <v>262</v>
      </c>
      <c r="D263" s="7" t="s">
        <v>572</v>
      </c>
      <c r="E263" s="7" t="s">
        <v>82</v>
      </c>
      <c r="F263" s="7" t="s">
        <v>566</v>
      </c>
      <c r="G263" s="12" t="s">
        <v>154</v>
      </c>
      <c r="H263" s="7" t="s">
        <v>155</v>
      </c>
      <c r="I263" s="7" t="s">
        <v>155</v>
      </c>
      <c r="J263" s="7" t="s">
        <v>154</v>
      </c>
      <c r="K263" s="13">
        <v>0</v>
      </c>
      <c r="L263" s="13">
        <v>0</v>
      </c>
      <c r="M263" s="11">
        <v>0</v>
      </c>
      <c r="N263" s="13">
        <v>0</v>
      </c>
      <c r="O263" s="13">
        <v>0</v>
      </c>
      <c r="P263" s="11">
        <v>0</v>
      </c>
      <c r="Q263" s="13">
        <v>0</v>
      </c>
      <c r="R263" s="13">
        <v>0</v>
      </c>
      <c r="S263" s="11">
        <v>0</v>
      </c>
      <c r="T263" s="13">
        <v>0</v>
      </c>
      <c r="U263" s="13">
        <v>0</v>
      </c>
      <c r="V263" s="11">
        <v>0</v>
      </c>
      <c r="W263" s="13">
        <v>0</v>
      </c>
      <c r="X263" s="13">
        <v>0</v>
      </c>
      <c r="Y263" s="11">
        <v>0</v>
      </c>
    </row>
    <row r="264" spans="1:25" x14ac:dyDescent="0.3">
      <c r="A264" s="10" t="s">
        <v>151</v>
      </c>
      <c r="B264" s="7">
        <v>2022</v>
      </c>
      <c r="C264" s="11">
        <v>263</v>
      </c>
      <c r="D264" s="7" t="s">
        <v>573</v>
      </c>
      <c r="E264" s="7" t="s">
        <v>82</v>
      </c>
      <c r="F264" s="7" t="s">
        <v>566</v>
      </c>
      <c r="G264" s="12" t="s">
        <v>154</v>
      </c>
      <c r="H264" s="7" t="s">
        <v>155</v>
      </c>
      <c r="I264" s="7" t="s">
        <v>155</v>
      </c>
      <c r="J264" s="7" t="s">
        <v>154</v>
      </c>
      <c r="K264" s="13">
        <v>0</v>
      </c>
      <c r="L264" s="13">
        <v>0</v>
      </c>
      <c r="M264" s="11">
        <v>0</v>
      </c>
      <c r="N264" s="13">
        <v>0</v>
      </c>
      <c r="O264" s="13">
        <v>0</v>
      </c>
      <c r="P264" s="11">
        <v>0</v>
      </c>
      <c r="Q264" s="13">
        <v>0</v>
      </c>
      <c r="R264" s="13">
        <v>0</v>
      </c>
      <c r="S264" s="11">
        <v>0</v>
      </c>
      <c r="T264" s="13">
        <v>0</v>
      </c>
      <c r="U264" s="13">
        <v>0</v>
      </c>
      <c r="V264" s="11">
        <v>0</v>
      </c>
      <c r="W264" s="13">
        <v>0</v>
      </c>
      <c r="X264" s="13">
        <v>0</v>
      </c>
      <c r="Y264" s="11">
        <v>0</v>
      </c>
    </row>
    <row r="265" spans="1:25" x14ac:dyDescent="0.3">
      <c r="A265" s="10" t="s">
        <v>151</v>
      </c>
      <c r="B265" s="7">
        <v>2022</v>
      </c>
      <c r="C265" s="11">
        <v>264</v>
      </c>
      <c r="D265" s="7" t="s">
        <v>574</v>
      </c>
      <c r="E265" s="7" t="s">
        <v>82</v>
      </c>
      <c r="F265" s="7" t="s">
        <v>566</v>
      </c>
      <c r="G265" s="12" t="s">
        <v>154</v>
      </c>
      <c r="H265" s="7" t="s">
        <v>155</v>
      </c>
      <c r="I265" s="7" t="s">
        <v>155</v>
      </c>
      <c r="J265" s="7" t="s">
        <v>154</v>
      </c>
      <c r="K265" s="13">
        <v>0</v>
      </c>
      <c r="L265" s="13">
        <v>0</v>
      </c>
      <c r="M265" s="11">
        <v>0</v>
      </c>
      <c r="N265" s="13">
        <v>0</v>
      </c>
      <c r="O265" s="13">
        <v>0</v>
      </c>
      <c r="P265" s="11">
        <v>0</v>
      </c>
      <c r="Q265" s="13">
        <v>0</v>
      </c>
      <c r="R265" s="13">
        <v>0</v>
      </c>
      <c r="S265" s="11">
        <v>0</v>
      </c>
      <c r="T265" s="13">
        <v>0</v>
      </c>
      <c r="U265" s="13">
        <v>0</v>
      </c>
      <c r="V265" s="11">
        <v>0</v>
      </c>
      <c r="W265" s="13">
        <v>0</v>
      </c>
      <c r="X265" s="13">
        <v>0</v>
      </c>
      <c r="Y265" s="11">
        <v>0</v>
      </c>
    </row>
    <row r="266" spans="1:25" x14ac:dyDescent="0.3">
      <c r="A266" s="10" t="s">
        <v>151</v>
      </c>
      <c r="B266" s="7">
        <v>2022</v>
      </c>
      <c r="C266" s="11">
        <v>265</v>
      </c>
      <c r="D266" s="7" t="s">
        <v>575</v>
      </c>
      <c r="E266" s="7" t="s">
        <v>82</v>
      </c>
      <c r="F266" s="7" t="s">
        <v>566</v>
      </c>
      <c r="G266" s="12" t="s">
        <v>154</v>
      </c>
      <c r="H266" s="7" t="s">
        <v>155</v>
      </c>
      <c r="I266" s="7" t="s">
        <v>155</v>
      </c>
      <c r="J266" s="7" t="s">
        <v>154</v>
      </c>
      <c r="K266" s="13">
        <v>0</v>
      </c>
      <c r="L266" s="13">
        <v>0</v>
      </c>
      <c r="M266" s="11">
        <v>0</v>
      </c>
      <c r="N266" s="13">
        <v>0</v>
      </c>
      <c r="O266" s="13">
        <v>0</v>
      </c>
      <c r="P266" s="11">
        <v>0</v>
      </c>
      <c r="Q266" s="13">
        <v>0</v>
      </c>
      <c r="R266" s="13">
        <v>0</v>
      </c>
      <c r="S266" s="11">
        <v>0</v>
      </c>
      <c r="T266" s="13">
        <v>0</v>
      </c>
      <c r="U266" s="13">
        <v>0</v>
      </c>
      <c r="V266" s="11">
        <v>0</v>
      </c>
      <c r="W266" s="13">
        <v>0</v>
      </c>
      <c r="X266" s="13">
        <v>0</v>
      </c>
      <c r="Y266" s="11">
        <v>0</v>
      </c>
    </row>
    <row r="267" spans="1:25" x14ac:dyDescent="0.3">
      <c r="A267" s="10" t="s">
        <v>151</v>
      </c>
      <c r="B267" s="7">
        <v>2022</v>
      </c>
      <c r="C267" s="11">
        <v>266</v>
      </c>
      <c r="D267" s="7" t="s">
        <v>576</v>
      </c>
      <c r="E267" s="7" t="s">
        <v>82</v>
      </c>
      <c r="F267" s="7" t="s">
        <v>566</v>
      </c>
      <c r="G267" s="12" t="s">
        <v>154</v>
      </c>
      <c r="H267" s="7" t="s">
        <v>155</v>
      </c>
      <c r="I267" s="7" t="s">
        <v>155</v>
      </c>
      <c r="J267" s="7" t="s">
        <v>154</v>
      </c>
      <c r="K267" s="13">
        <v>0</v>
      </c>
      <c r="L267" s="13">
        <v>0</v>
      </c>
      <c r="M267" s="11">
        <v>0</v>
      </c>
      <c r="N267" s="13">
        <v>0</v>
      </c>
      <c r="O267" s="13">
        <v>0</v>
      </c>
      <c r="P267" s="11">
        <v>0</v>
      </c>
      <c r="Q267" s="13">
        <v>0</v>
      </c>
      <c r="R267" s="13">
        <v>0</v>
      </c>
      <c r="S267" s="11">
        <v>0</v>
      </c>
      <c r="T267" s="13">
        <v>0</v>
      </c>
      <c r="U267" s="13">
        <v>0</v>
      </c>
      <c r="V267" s="11">
        <v>0</v>
      </c>
      <c r="W267" s="13">
        <v>0</v>
      </c>
      <c r="X267" s="13">
        <v>0</v>
      </c>
      <c r="Y267" s="11">
        <v>0</v>
      </c>
    </row>
    <row r="268" spans="1:25" x14ac:dyDescent="0.3">
      <c r="A268" s="10" t="s">
        <v>151</v>
      </c>
      <c r="B268" s="7">
        <v>2022</v>
      </c>
      <c r="C268" s="11">
        <v>267</v>
      </c>
      <c r="D268" s="7" t="s">
        <v>577</v>
      </c>
      <c r="E268" s="7" t="s">
        <v>82</v>
      </c>
      <c r="F268" s="7" t="s">
        <v>566</v>
      </c>
      <c r="G268" s="12" t="s">
        <v>154</v>
      </c>
      <c r="H268" s="7" t="s">
        <v>155</v>
      </c>
      <c r="I268" s="7" t="s">
        <v>155</v>
      </c>
      <c r="J268" s="7" t="s">
        <v>154</v>
      </c>
      <c r="K268" s="13">
        <v>0</v>
      </c>
      <c r="L268" s="13">
        <v>0</v>
      </c>
      <c r="M268" s="11">
        <v>0</v>
      </c>
      <c r="N268" s="13">
        <v>0</v>
      </c>
      <c r="O268" s="13">
        <v>0</v>
      </c>
      <c r="P268" s="11">
        <v>0</v>
      </c>
      <c r="Q268" s="13">
        <v>0</v>
      </c>
      <c r="R268" s="13">
        <v>0</v>
      </c>
      <c r="S268" s="11">
        <v>0</v>
      </c>
      <c r="T268" s="13">
        <v>0</v>
      </c>
      <c r="U268" s="13">
        <v>0</v>
      </c>
      <c r="V268" s="11">
        <v>0</v>
      </c>
      <c r="W268" s="13">
        <v>0</v>
      </c>
      <c r="X268" s="13">
        <v>0</v>
      </c>
      <c r="Y268" s="11">
        <v>0</v>
      </c>
    </row>
    <row r="269" spans="1:25" x14ac:dyDescent="0.3">
      <c r="A269" s="10" t="s">
        <v>151</v>
      </c>
      <c r="B269" s="7">
        <v>2022</v>
      </c>
      <c r="C269" s="11">
        <v>268</v>
      </c>
      <c r="D269" s="7" t="s">
        <v>578</v>
      </c>
      <c r="E269" s="7" t="s">
        <v>82</v>
      </c>
      <c r="F269" s="7" t="s">
        <v>579</v>
      </c>
      <c r="G269" s="12" t="s">
        <v>154</v>
      </c>
      <c r="H269" s="7" t="s">
        <v>155</v>
      </c>
      <c r="I269" s="7" t="s">
        <v>155</v>
      </c>
      <c r="J269" s="7" t="s">
        <v>154</v>
      </c>
      <c r="K269" s="13">
        <v>0</v>
      </c>
      <c r="L269" s="13">
        <v>0</v>
      </c>
      <c r="M269" s="11">
        <v>0</v>
      </c>
      <c r="N269" s="13">
        <v>0</v>
      </c>
      <c r="O269" s="13">
        <v>0</v>
      </c>
      <c r="P269" s="11">
        <v>0</v>
      </c>
      <c r="Q269" s="13">
        <v>0</v>
      </c>
      <c r="R269" s="13">
        <v>0</v>
      </c>
      <c r="S269" s="11">
        <v>0</v>
      </c>
      <c r="T269" s="13">
        <v>0</v>
      </c>
      <c r="U269" s="13">
        <v>0</v>
      </c>
      <c r="V269" s="11">
        <v>0</v>
      </c>
      <c r="W269" s="13">
        <v>0</v>
      </c>
      <c r="X269" s="13">
        <v>0</v>
      </c>
      <c r="Y269" s="11">
        <v>0</v>
      </c>
    </row>
    <row r="270" spans="1:25" x14ac:dyDescent="0.3">
      <c r="A270" s="10" t="s">
        <v>151</v>
      </c>
      <c r="B270" s="7">
        <v>2022</v>
      </c>
      <c r="C270" s="11">
        <v>269</v>
      </c>
      <c r="D270" s="7" t="s">
        <v>580</v>
      </c>
      <c r="E270" s="7" t="s">
        <v>82</v>
      </c>
      <c r="F270" s="7" t="s">
        <v>581</v>
      </c>
      <c r="G270" s="12" t="s">
        <v>154</v>
      </c>
      <c r="H270" s="7" t="s">
        <v>155</v>
      </c>
      <c r="I270" s="7" t="s">
        <v>155</v>
      </c>
      <c r="J270" s="7" t="s">
        <v>154</v>
      </c>
      <c r="K270" s="13">
        <v>0</v>
      </c>
      <c r="L270" s="13">
        <v>0</v>
      </c>
      <c r="M270" s="11">
        <v>0</v>
      </c>
      <c r="N270" s="13">
        <v>0</v>
      </c>
      <c r="O270" s="13">
        <v>0</v>
      </c>
      <c r="P270" s="11">
        <v>0</v>
      </c>
      <c r="Q270" s="13">
        <v>0</v>
      </c>
      <c r="R270" s="13">
        <v>0</v>
      </c>
      <c r="S270" s="11">
        <v>0</v>
      </c>
      <c r="T270" s="13">
        <v>0</v>
      </c>
      <c r="U270" s="13">
        <v>0</v>
      </c>
      <c r="V270" s="11">
        <v>0</v>
      </c>
      <c r="W270" s="13">
        <v>0</v>
      </c>
      <c r="X270" s="13">
        <v>0</v>
      </c>
      <c r="Y270" s="11">
        <v>0</v>
      </c>
    </row>
    <row r="271" spans="1:25" x14ac:dyDescent="0.3">
      <c r="A271" s="10" t="s">
        <v>151</v>
      </c>
      <c r="B271" s="7">
        <v>2022</v>
      </c>
      <c r="C271" s="11">
        <v>270</v>
      </c>
      <c r="D271" s="7" t="s">
        <v>582</v>
      </c>
      <c r="E271" s="7" t="s">
        <v>82</v>
      </c>
      <c r="F271" s="7" t="s">
        <v>581</v>
      </c>
      <c r="G271" s="12" t="s">
        <v>154</v>
      </c>
      <c r="H271" s="7" t="s">
        <v>155</v>
      </c>
      <c r="I271" s="7" t="s">
        <v>155</v>
      </c>
      <c r="J271" s="7" t="s">
        <v>154</v>
      </c>
      <c r="K271" s="13">
        <v>0</v>
      </c>
      <c r="L271" s="13">
        <v>0</v>
      </c>
      <c r="M271" s="11">
        <v>0</v>
      </c>
      <c r="N271" s="13">
        <v>0</v>
      </c>
      <c r="O271" s="13">
        <v>0</v>
      </c>
      <c r="P271" s="11">
        <v>0</v>
      </c>
      <c r="Q271" s="13">
        <v>0</v>
      </c>
      <c r="R271" s="13">
        <v>0</v>
      </c>
      <c r="S271" s="11">
        <v>0</v>
      </c>
      <c r="T271" s="13">
        <v>0</v>
      </c>
      <c r="U271" s="13">
        <v>0</v>
      </c>
      <c r="V271" s="11">
        <v>0</v>
      </c>
      <c r="W271" s="13">
        <v>0</v>
      </c>
      <c r="X271" s="13">
        <v>0</v>
      </c>
      <c r="Y271" s="11">
        <v>0</v>
      </c>
    </row>
    <row r="272" spans="1:25" x14ac:dyDescent="0.3">
      <c r="A272" s="10" t="s">
        <v>151</v>
      </c>
      <c r="B272" s="7">
        <v>2022</v>
      </c>
      <c r="C272" s="11">
        <v>271</v>
      </c>
      <c r="D272" s="7" t="s">
        <v>583</v>
      </c>
      <c r="E272" s="7" t="s">
        <v>82</v>
      </c>
      <c r="F272" s="7" t="s">
        <v>154</v>
      </c>
      <c r="G272" s="14" t="s">
        <v>584</v>
      </c>
      <c r="H272" s="7" t="s">
        <v>155</v>
      </c>
      <c r="I272" s="7" t="s">
        <v>155</v>
      </c>
      <c r="J272" s="7" t="s">
        <v>154</v>
      </c>
      <c r="K272" s="13">
        <v>0</v>
      </c>
      <c r="L272" s="13">
        <v>0</v>
      </c>
      <c r="M272" s="11">
        <v>0</v>
      </c>
      <c r="N272" s="13">
        <v>0</v>
      </c>
      <c r="O272" s="13">
        <v>0</v>
      </c>
      <c r="P272" s="11">
        <v>0</v>
      </c>
      <c r="Q272" s="13">
        <v>0</v>
      </c>
      <c r="R272" s="13">
        <v>0</v>
      </c>
      <c r="S272" s="11">
        <v>0</v>
      </c>
      <c r="T272" s="13">
        <v>0</v>
      </c>
      <c r="U272" s="13">
        <v>0</v>
      </c>
      <c r="V272" s="11">
        <v>0</v>
      </c>
      <c r="W272" s="13">
        <v>0</v>
      </c>
      <c r="X272" s="13">
        <v>0</v>
      </c>
      <c r="Y272" s="11">
        <v>0</v>
      </c>
    </row>
    <row r="273" spans="1:25" x14ac:dyDescent="0.3">
      <c r="A273" s="10" t="s">
        <v>151</v>
      </c>
      <c r="B273" s="7">
        <v>2022</v>
      </c>
      <c r="C273" s="11">
        <v>272</v>
      </c>
      <c r="D273" s="7" t="s">
        <v>585</v>
      </c>
      <c r="E273" s="7" t="s">
        <v>82</v>
      </c>
      <c r="F273" s="7" t="s">
        <v>586</v>
      </c>
      <c r="G273" s="12" t="s">
        <v>154</v>
      </c>
      <c r="H273" s="7" t="s">
        <v>155</v>
      </c>
      <c r="I273" s="7" t="s">
        <v>155</v>
      </c>
      <c r="J273" s="7" t="s">
        <v>258</v>
      </c>
      <c r="K273" s="13">
        <v>0</v>
      </c>
      <c r="L273" s="13">
        <v>0</v>
      </c>
      <c r="M273" s="11">
        <v>0</v>
      </c>
      <c r="N273" s="13">
        <v>0</v>
      </c>
      <c r="O273" s="13">
        <v>0</v>
      </c>
      <c r="P273" s="11">
        <v>0</v>
      </c>
      <c r="Q273" s="13">
        <v>0</v>
      </c>
      <c r="R273" s="13">
        <v>0</v>
      </c>
      <c r="S273" s="11">
        <v>0</v>
      </c>
      <c r="T273" s="13">
        <v>0</v>
      </c>
      <c r="U273" s="13">
        <v>0</v>
      </c>
      <c r="V273" s="11">
        <v>0</v>
      </c>
      <c r="W273" s="13">
        <v>0</v>
      </c>
      <c r="X273" s="13">
        <v>0</v>
      </c>
      <c r="Y273" s="11">
        <v>0</v>
      </c>
    </row>
    <row r="274" spans="1:25" x14ac:dyDescent="0.3">
      <c r="A274" s="10" t="s">
        <v>151</v>
      </c>
      <c r="B274" s="7">
        <v>2022</v>
      </c>
      <c r="C274" s="11">
        <v>273</v>
      </c>
      <c r="D274" s="7" t="s">
        <v>587</v>
      </c>
      <c r="E274" s="7" t="s">
        <v>82</v>
      </c>
      <c r="F274" s="7" t="s">
        <v>588</v>
      </c>
      <c r="G274" s="12" t="s">
        <v>154</v>
      </c>
      <c r="H274" s="7" t="s">
        <v>155</v>
      </c>
      <c r="I274" s="7" t="s">
        <v>155</v>
      </c>
      <c r="J274" s="7" t="s">
        <v>258</v>
      </c>
      <c r="K274" s="13">
        <v>0</v>
      </c>
      <c r="L274" s="13">
        <v>0</v>
      </c>
      <c r="M274" s="11">
        <v>0</v>
      </c>
      <c r="N274" s="13">
        <v>0</v>
      </c>
      <c r="O274" s="13">
        <v>0</v>
      </c>
      <c r="P274" s="11">
        <v>0</v>
      </c>
      <c r="Q274" s="13">
        <v>0</v>
      </c>
      <c r="R274" s="13">
        <v>0</v>
      </c>
      <c r="S274" s="11">
        <v>0</v>
      </c>
      <c r="T274" s="13">
        <v>0</v>
      </c>
      <c r="U274" s="13">
        <v>0</v>
      </c>
      <c r="V274" s="11">
        <v>0</v>
      </c>
      <c r="W274" s="13">
        <v>0</v>
      </c>
      <c r="X274" s="13">
        <v>0</v>
      </c>
      <c r="Y274" s="11">
        <v>0</v>
      </c>
    </row>
    <row r="275" spans="1:25" x14ac:dyDescent="0.3">
      <c r="A275" s="10" t="s">
        <v>151</v>
      </c>
      <c r="B275" s="7">
        <v>2022</v>
      </c>
      <c r="C275" s="11">
        <v>274</v>
      </c>
      <c r="D275" s="7" t="s">
        <v>589</v>
      </c>
      <c r="E275" s="7" t="s">
        <v>82</v>
      </c>
      <c r="F275" s="7" t="s">
        <v>590</v>
      </c>
      <c r="G275" s="12" t="s">
        <v>154</v>
      </c>
      <c r="H275" s="7" t="s">
        <v>155</v>
      </c>
      <c r="I275" s="7" t="s">
        <v>155</v>
      </c>
      <c r="J275" s="7" t="s">
        <v>258</v>
      </c>
      <c r="K275" s="13">
        <v>0</v>
      </c>
      <c r="L275" s="13">
        <v>0</v>
      </c>
      <c r="M275" s="11">
        <v>0</v>
      </c>
      <c r="N275" s="13">
        <v>0</v>
      </c>
      <c r="O275" s="13">
        <v>0</v>
      </c>
      <c r="P275" s="11">
        <v>0</v>
      </c>
      <c r="Q275" s="13">
        <v>0</v>
      </c>
      <c r="R275" s="13">
        <v>0</v>
      </c>
      <c r="S275" s="11">
        <v>0</v>
      </c>
      <c r="T275" s="13">
        <v>0</v>
      </c>
      <c r="U275" s="13">
        <v>0</v>
      </c>
      <c r="V275" s="11">
        <v>0</v>
      </c>
      <c r="W275" s="13">
        <v>0</v>
      </c>
      <c r="X275" s="13">
        <v>0</v>
      </c>
      <c r="Y275" s="11">
        <v>0</v>
      </c>
    </row>
    <row r="276" spans="1:25" x14ac:dyDescent="0.3">
      <c r="A276" s="10" t="s">
        <v>151</v>
      </c>
      <c r="B276" s="7">
        <v>2022</v>
      </c>
      <c r="C276" s="11">
        <v>275</v>
      </c>
      <c r="D276" s="7" t="s">
        <v>591</v>
      </c>
      <c r="E276" s="7" t="s">
        <v>82</v>
      </c>
      <c r="F276" s="7" t="s">
        <v>154</v>
      </c>
      <c r="G276" s="14" t="s">
        <v>592</v>
      </c>
      <c r="H276" s="7" t="s">
        <v>155</v>
      </c>
      <c r="I276" s="7" t="s">
        <v>155</v>
      </c>
      <c r="J276" s="7" t="s">
        <v>154</v>
      </c>
      <c r="K276" s="13">
        <v>0</v>
      </c>
      <c r="L276" s="13">
        <v>0</v>
      </c>
      <c r="M276" s="11">
        <v>0</v>
      </c>
      <c r="N276" s="13">
        <v>0</v>
      </c>
      <c r="O276" s="13">
        <v>0</v>
      </c>
      <c r="P276" s="11">
        <v>0</v>
      </c>
      <c r="Q276" s="13">
        <v>0</v>
      </c>
      <c r="R276" s="13">
        <v>0</v>
      </c>
      <c r="S276" s="11">
        <v>0</v>
      </c>
      <c r="T276" s="13">
        <v>0</v>
      </c>
      <c r="U276" s="13">
        <v>0</v>
      </c>
      <c r="V276" s="11">
        <v>0</v>
      </c>
      <c r="W276" s="13">
        <v>0</v>
      </c>
      <c r="X276" s="13">
        <v>0</v>
      </c>
      <c r="Y276" s="11">
        <v>0</v>
      </c>
    </row>
    <row r="277" spans="1:25" x14ac:dyDescent="0.3">
      <c r="A277" s="10" t="s">
        <v>151</v>
      </c>
      <c r="B277" s="7">
        <v>2022</v>
      </c>
      <c r="C277" s="11">
        <v>276</v>
      </c>
      <c r="D277" s="7" t="s">
        <v>593</v>
      </c>
      <c r="E277" s="7" t="s">
        <v>82</v>
      </c>
      <c r="F277" s="7" t="s">
        <v>594</v>
      </c>
      <c r="G277" s="12" t="s">
        <v>154</v>
      </c>
      <c r="H277" s="7" t="s">
        <v>155</v>
      </c>
      <c r="I277" s="7" t="s">
        <v>155</v>
      </c>
      <c r="J277" s="7" t="s">
        <v>258</v>
      </c>
      <c r="K277" s="13">
        <v>0</v>
      </c>
      <c r="L277" s="13">
        <v>0</v>
      </c>
      <c r="M277" s="11">
        <v>0</v>
      </c>
      <c r="N277" s="13">
        <v>0</v>
      </c>
      <c r="O277" s="13">
        <v>0</v>
      </c>
      <c r="P277" s="11">
        <v>0</v>
      </c>
      <c r="Q277" s="13">
        <v>0</v>
      </c>
      <c r="R277" s="13">
        <v>0</v>
      </c>
      <c r="S277" s="11">
        <v>0</v>
      </c>
      <c r="T277" s="13">
        <v>0</v>
      </c>
      <c r="U277" s="13">
        <v>0</v>
      </c>
      <c r="V277" s="11">
        <v>0</v>
      </c>
      <c r="W277" s="13">
        <v>0</v>
      </c>
      <c r="X277" s="13">
        <v>0</v>
      </c>
      <c r="Y277" s="11">
        <v>0</v>
      </c>
    </row>
    <row r="278" spans="1:25" x14ac:dyDescent="0.3">
      <c r="A278" s="10" t="s">
        <v>151</v>
      </c>
      <c r="B278" s="7">
        <v>2022</v>
      </c>
      <c r="C278" s="11">
        <v>277</v>
      </c>
      <c r="D278" s="7" t="s">
        <v>595</v>
      </c>
      <c r="E278" s="7" t="s">
        <v>82</v>
      </c>
      <c r="F278" s="7" t="s">
        <v>154</v>
      </c>
      <c r="G278" s="14" t="s">
        <v>2360</v>
      </c>
      <c r="H278" s="7" t="s">
        <v>155</v>
      </c>
      <c r="I278" s="7" t="s">
        <v>155</v>
      </c>
      <c r="J278" s="7" t="s">
        <v>154</v>
      </c>
      <c r="K278" s="13">
        <v>0</v>
      </c>
      <c r="L278" s="13">
        <v>0</v>
      </c>
      <c r="M278" s="11">
        <v>0</v>
      </c>
      <c r="N278" s="13">
        <v>0</v>
      </c>
      <c r="O278" s="13">
        <v>0</v>
      </c>
      <c r="P278" s="11">
        <v>0</v>
      </c>
      <c r="Q278" s="13">
        <v>0</v>
      </c>
      <c r="R278" s="13">
        <v>0</v>
      </c>
      <c r="S278" s="11">
        <v>0</v>
      </c>
      <c r="T278" s="13">
        <v>0</v>
      </c>
      <c r="U278" s="13">
        <v>0</v>
      </c>
      <c r="V278" s="11">
        <v>0</v>
      </c>
      <c r="W278" s="13">
        <v>0</v>
      </c>
      <c r="X278" s="13">
        <v>0</v>
      </c>
      <c r="Y278" s="11">
        <v>0</v>
      </c>
    </row>
    <row r="279" spans="1:25" x14ac:dyDescent="0.3">
      <c r="A279" s="10" t="s">
        <v>151</v>
      </c>
      <c r="B279" s="7">
        <v>2022</v>
      </c>
      <c r="C279" s="11">
        <v>278</v>
      </c>
      <c r="D279" s="7" t="s">
        <v>596</v>
      </c>
      <c r="E279" s="7" t="s">
        <v>82</v>
      </c>
      <c r="F279" s="7" t="s">
        <v>597</v>
      </c>
      <c r="G279" s="12" t="s">
        <v>154</v>
      </c>
      <c r="H279" s="7" t="s">
        <v>155</v>
      </c>
      <c r="I279" s="7" t="s">
        <v>155</v>
      </c>
      <c r="J279" s="7" t="s">
        <v>154</v>
      </c>
      <c r="K279" s="13">
        <v>0</v>
      </c>
      <c r="L279" s="13">
        <v>0</v>
      </c>
      <c r="M279" s="11">
        <v>0</v>
      </c>
      <c r="N279" s="13">
        <v>0</v>
      </c>
      <c r="O279" s="13">
        <v>0</v>
      </c>
      <c r="P279" s="11">
        <v>0</v>
      </c>
      <c r="Q279" s="13">
        <v>0</v>
      </c>
      <c r="R279" s="13">
        <v>0</v>
      </c>
      <c r="S279" s="11">
        <v>0</v>
      </c>
      <c r="T279" s="13">
        <v>0</v>
      </c>
      <c r="U279" s="13">
        <v>0</v>
      </c>
      <c r="V279" s="11">
        <v>0</v>
      </c>
      <c r="W279" s="13">
        <v>0</v>
      </c>
      <c r="X279" s="13">
        <v>0</v>
      </c>
      <c r="Y279" s="11">
        <v>0</v>
      </c>
    </row>
    <row r="280" spans="1:25" x14ac:dyDescent="0.3">
      <c r="A280" s="10" t="s">
        <v>151</v>
      </c>
      <c r="B280" s="7">
        <v>2022</v>
      </c>
      <c r="C280" s="11">
        <v>279</v>
      </c>
      <c r="D280" s="7" t="s">
        <v>598</v>
      </c>
      <c r="E280" s="7" t="s">
        <v>82</v>
      </c>
      <c r="F280" s="7" t="s">
        <v>154</v>
      </c>
      <c r="G280" s="14" t="s">
        <v>2365</v>
      </c>
      <c r="H280" s="7" t="s">
        <v>155</v>
      </c>
      <c r="I280" s="7" t="s">
        <v>155</v>
      </c>
      <c r="J280" s="7" t="s">
        <v>154</v>
      </c>
      <c r="K280" s="13">
        <v>0</v>
      </c>
      <c r="L280" s="13">
        <v>0</v>
      </c>
      <c r="M280" s="11">
        <v>0</v>
      </c>
      <c r="N280" s="13">
        <v>0</v>
      </c>
      <c r="O280" s="13">
        <v>0</v>
      </c>
      <c r="P280" s="11">
        <v>0</v>
      </c>
      <c r="Q280" s="13">
        <v>0</v>
      </c>
      <c r="R280" s="13">
        <v>0</v>
      </c>
      <c r="S280" s="11">
        <v>0</v>
      </c>
      <c r="T280" s="13">
        <v>0</v>
      </c>
      <c r="U280" s="13">
        <v>0</v>
      </c>
      <c r="V280" s="11">
        <v>0</v>
      </c>
      <c r="W280" s="13">
        <v>0</v>
      </c>
      <c r="X280" s="13">
        <v>0</v>
      </c>
      <c r="Y280" s="11">
        <v>0</v>
      </c>
    </row>
    <row r="281" spans="1:25" x14ac:dyDescent="0.3">
      <c r="A281" s="10" t="s">
        <v>151</v>
      </c>
      <c r="B281" s="7">
        <v>2022</v>
      </c>
      <c r="C281" s="11">
        <v>280</v>
      </c>
      <c r="D281" s="7" t="s">
        <v>599</v>
      </c>
      <c r="E281" s="7" t="s">
        <v>82</v>
      </c>
      <c r="F281" s="7" t="s">
        <v>600</v>
      </c>
      <c r="G281" s="12" t="s">
        <v>154</v>
      </c>
      <c r="H281" s="7" t="s">
        <v>155</v>
      </c>
      <c r="I281" s="7" t="s">
        <v>155</v>
      </c>
      <c r="J281" s="7" t="s">
        <v>154</v>
      </c>
      <c r="K281" s="13">
        <v>0</v>
      </c>
      <c r="L281" s="13">
        <v>0</v>
      </c>
      <c r="M281" s="11">
        <v>0</v>
      </c>
      <c r="N281" s="13">
        <v>0</v>
      </c>
      <c r="O281" s="13">
        <v>0</v>
      </c>
      <c r="P281" s="11">
        <v>0</v>
      </c>
      <c r="Q281" s="13">
        <v>0</v>
      </c>
      <c r="R281" s="13">
        <v>0</v>
      </c>
      <c r="S281" s="11">
        <v>0</v>
      </c>
      <c r="T281" s="13">
        <v>0</v>
      </c>
      <c r="U281" s="13">
        <v>0</v>
      </c>
      <c r="V281" s="11">
        <v>0</v>
      </c>
      <c r="W281" s="13">
        <v>0</v>
      </c>
      <c r="X281" s="13">
        <v>0</v>
      </c>
      <c r="Y281" s="11">
        <v>0</v>
      </c>
    </row>
    <row r="282" spans="1:25" x14ac:dyDescent="0.3">
      <c r="A282" s="10" t="s">
        <v>151</v>
      </c>
      <c r="B282" s="7">
        <v>2022</v>
      </c>
      <c r="C282" s="11">
        <v>281</v>
      </c>
      <c r="D282" s="7" t="s">
        <v>601</v>
      </c>
      <c r="E282" s="7" t="s">
        <v>82</v>
      </c>
      <c r="F282" s="7" t="s">
        <v>602</v>
      </c>
      <c r="G282" s="12" t="s">
        <v>154</v>
      </c>
      <c r="H282" s="7" t="s">
        <v>155</v>
      </c>
      <c r="I282" s="7" t="s">
        <v>155</v>
      </c>
      <c r="J282" s="7" t="s">
        <v>154</v>
      </c>
      <c r="K282" s="13">
        <v>0</v>
      </c>
      <c r="L282" s="13">
        <v>0</v>
      </c>
      <c r="M282" s="11">
        <v>0</v>
      </c>
      <c r="N282" s="13">
        <v>0</v>
      </c>
      <c r="O282" s="13">
        <v>0</v>
      </c>
      <c r="P282" s="11">
        <v>0</v>
      </c>
      <c r="Q282" s="13">
        <v>0</v>
      </c>
      <c r="R282" s="13">
        <v>0</v>
      </c>
      <c r="S282" s="11">
        <v>0</v>
      </c>
      <c r="T282" s="13">
        <v>0</v>
      </c>
      <c r="U282" s="13">
        <v>0</v>
      </c>
      <c r="V282" s="11">
        <v>0</v>
      </c>
      <c r="W282" s="13">
        <v>0</v>
      </c>
      <c r="X282" s="13">
        <v>0</v>
      </c>
      <c r="Y282" s="11">
        <v>0</v>
      </c>
    </row>
    <row r="283" spans="1:25" x14ac:dyDescent="0.3">
      <c r="A283" s="10" t="s">
        <v>151</v>
      </c>
      <c r="B283" s="7">
        <v>2022</v>
      </c>
      <c r="C283" s="11">
        <v>282</v>
      </c>
      <c r="D283" s="7" t="s">
        <v>603</v>
      </c>
      <c r="E283" s="7" t="s">
        <v>82</v>
      </c>
      <c r="F283" s="7" t="s">
        <v>604</v>
      </c>
      <c r="G283" s="12" t="s">
        <v>154</v>
      </c>
      <c r="H283" s="7" t="s">
        <v>155</v>
      </c>
      <c r="I283" s="7" t="s">
        <v>155</v>
      </c>
      <c r="J283" s="7" t="s">
        <v>154</v>
      </c>
      <c r="K283" s="13">
        <v>0</v>
      </c>
      <c r="L283" s="13">
        <v>0</v>
      </c>
      <c r="M283" s="11">
        <v>0</v>
      </c>
      <c r="N283" s="13">
        <v>0</v>
      </c>
      <c r="O283" s="13">
        <v>0</v>
      </c>
      <c r="P283" s="11">
        <v>0</v>
      </c>
      <c r="Q283" s="13">
        <v>0</v>
      </c>
      <c r="R283" s="13">
        <v>0</v>
      </c>
      <c r="S283" s="11">
        <v>0</v>
      </c>
      <c r="T283" s="13">
        <v>0</v>
      </c>
      <c r="U283" s="13">
        <v>0</v>
      </c>
      <c r="V283" s="11">
        <v>0</v>
      </c>
      <c r="W283" s="13">
        <v>0</v>
      </c>
      <c r="X283" s="13">
        <v>0</v>
      </c>
      <c r="Y283" s="11">
        <v>0</v>
      </c>
    </row>
    <row r="284" spans="1:25" x14ac:dyDescent="0.3">
      <c r="A284" s="10" t="s">
        <v>151</v>
      </c>
      <c r="B284" s="7">
        <v>2022</v>
      </c>
      <c r="C284" s="11">
        <v>283</v>
      </c>
      <c r="D284" s="7" t="s">
        <v>605</v>
      </c>
      <c r="E284" s="7" t="s">
        <v>82</v>
      </c>
      <c r="F284" s="7" t="s">
        <v>154</v>
      </c>
      <c r="G284" s="14" t="s">
        <v>606</v>
      </c>
      <c r="H284" s="7" t="s">
        <v>155</v>
      </c>
      <c r="I284" s="7" t="s">
        <v>155</v>
      </c>
      <c r="J284" s="7" t="s">
        <v>154</v>
      </c>
      <c r="K284" s="13">
        <v>0</v>
      </c>
      <c r="L284" s="13">
        <v>0</v>
      </c>
      <c r="M284" s="11">
        <v>0</v>
      </c>
      <c r="N284" s="13">
        <v>0</v>
      </c>
      <c r="O284" s="13">
        <v>0</v>
      </c>
      <c r="P284" s="11">
        <v>0</v>
      </c>
      <c r="Q284" s="13">
        <v>0</v>
      </c>
      <c r="R284" s="13">
        <v>0</v>
      </c>
      <c r="S284" s="11">
        <v>0</v>
      </c>
      <c r="T284" s="13">
        <v>0</v>
      </c>
      <c r="U284" s="13">
        <v>0</v>
      </c>
      <c r="V284" s="11">
        <v>0</v>
      </c>
      <c r="W284" s="13">
        <v>0</v>
      </c>
      <c r="X284" s="13">
        <v>0</v>
      </c>
      <c r="Y284" s="11">
        <v>0</v>
      </c>
    </row>
    <row r="285" spans="1:25" x14ac:dyDescent="0.3">
      <c r="A285" s="10" t="s">
        <v>151</v>
      </c>
      <c r="B285" s="7">
        <v>2022</v>
      </c>
      <c r="C285" s="11">
        <v>284</v>
      </c>
      <c r="D285" s="7" t="s">
        <v>607</v>
      </c>
      <c r="E285" s="7" t="s">
        <v>82</v>
      </c>
      <c r="F285" s="7" t="s">
        <v>608</v>
      </c>
      <c r="G285" s="12" t="s">
        <v>154</v>
      </c>
      <c r="H285" s="7" t="s">
        <v>155</v>
      </c>
      <c r="I285" s="7" t="s">
        <v>155</v>
      </c>
      <c r="J285" s="7" t="s">
        <v>154</v>
      </c>
      <c r="K285" s="13">
        <v>0</v>
      </c>
      <c r="L285" s="13">
        <v>0</v>
      </c>
      <c r="M285" s="11">
        <v>0</v>
      </c>
      <c r="N285" s="13">
        <v>0</v>
      </c>
      <c r="O285" s="13">
        <v>0</v>
      </c>
      <c r="P285" s="11">
        <v>0</v>
      </c>
      <c r="Q285" s="13">
        <v>0</v>
      </c>
      <c r="R285" s="13">
        <v>0</v>
      </c>
      <c r="S285" s="11">
        <v>0</v>
      </c>
      <c r="T285" s="13">
        <v>0</v>
      </c>
      <c r="U285" s="13">
        <v>0</v>
      </c>
      <c r="V285" s="11">
        <v>0</v>
      </c>
      <c r="W285" s="13">
        <v>0</v>
      </c>
      <c r="X285" s="13">
        <v>0</v>
      </c>
      <c r="Y285" s="11">
        <v>0</v>
      </c>
    </row>
    <row r="286" spans="1:25" x14ac:dyDescent="0.3">
      <c r="A286" s="10" t="s">
        <v>151</v>
      </c>
      <c r="B286" s="7">
        <v>2022</v>
      </c>
      <c r="C286" s="11">
        <v>285</v>
      </c>
      <c r="D286" s="7" t="s">
        <v>609</v>
      </c>
      <c r="E286" s="7" t="s">
        <v>82</v>
      </c>
      <c r="F286" s="7" t="s">
        <v>610</v>
      </c>
      <c r="G286" s="12" t="s">
        <v>154</v>
      </c>
      <c r="H286" s="7" t="s">
        <v>155</v>
      </c>
      <c r="I286" s="7" t="s">
        <v>155</v>
      </c>
      <c r="J286" s="7" t="s">
        <v>154</v>
      </c>
      <c r="K286" s="13">
        <v>0</v>
      </c>
      <c r="L286" s="13">
        <v>0</v>
      </c>
      <c r="M286" s="11">
        <v>0</v>
      </c>
      <c r="N286" s="13">
        <v>0</v>
      </c>
      <c r="O286" s="13">
        <v>0</v>
      </c>
      <c r="P286" s="11">
        <v>0</v>
      </c>
      <c r="Q286" s="13">
        <v>0</v>
      </c>
      <c r="R286" s="13">
        <v>0</v>
      </c>
      <c r="S286" s="11">
        <v>0</v>
      </c>
      <c r="T286" s="13">
        <v>0</v>
      </c>
      <c r="U286" s="13">
        <v>0</v>
      </c>
      <c r="V286" s="11">
        <v>0</v>
      </c>
      <c r="W286" s="13">
        <v>0</v>
      </c>
      <c r="X286" s="13">
        <v>0</v>
      </c>
      <c r="Y286" s="11">
        <v>0</v>
      </c>
    </row>
    <row r="287" spans="1:25" x14ac:dyDescent="0.3">
      <c r="A287" s="10" t="s">
        <v>151</v>
      </c>
      <c r="B287" s="7">
        <v>2022</v>
      </c>
      <c r="C287" s="11">
        <v>286</v>
      </c>
      <c r="D287" s="7" t="s">
        <v>611</v>
      </c>
      <c r="E287" s="7" t="s">
        <v>82</v>
      </c>
      <c r="F287" s="7" t="s">
        <v>612</v>
      </c>
      <c r="G287" s="12" t="s">
        <v>154</v>
      </c>
      <c r="H287" s="7" t="s">
        <v>155</v>
      </c>
      <c r="I287" s="7" t="s">
        <v>155</v>
      </c>
      <c r="J287" s="7" t="s">
        <v>154</v>
      </c>
      <c r="K287" s="13">
        <v>0</v>
      </c>
      <c r="L287" s="13">
        <v>0</v>
      </c>
      <c r="M287" s="11">
        <v>0</v>
      </c>
      <c r="N287" s="13">
        <v>0</v>
      </c>
      <c r="O287" s="13">
        <v>0</v>
      </c>
      <c r="P287" s="11">
        <v>0</v>
      </c>
      <c r="Q287" s="13">
        <v>0</v>
      </c>
      <c r="R287" s="13">
        <v>0</v>
      </c>
      <c r="S287" s="11">
        <v>0</v>
      </c>
      <c r="T287" s="13">
        <v>0</v>
      </c>
      <c r="U287" s="13">
        <v>0</v>
      </c>
      <c r="V287" s="11">
        <v>0</v>
      </c>
      <c r="W287" s="13">
        <v>0</v>
      </c>
      <c r="X287" s="13">
        <v>0</v>
      </c>
      <c r="Y287" s="11">
        <v>0</v>
      </c>
    </row>
    <row r="288" spans="1:25" x14ac:dyDescent="0.3">
      <c r="A288" s="10" t="s">
        <v>151</v>
      </c>
      <c r="B288" s="7">
        <v>2022</v>
      </c>
      <c r="C288" s="11">
        <v>287</v>
      </c>
      <c r="E288" s="7" t="s">
        <v>82</v>
      </c>
      <c r="G288" s="12" t="s">
        <v>154</v>
      </c>
      <c r="H288" s="7" t="s">
        <v>155</v>
      </c>
      <c r="I288" s="7" t="s">
        <v>155</v>
      </c>
      <c r="J288" s="7" t="s">
        <v>154</v>
      </c>
      <c r="K288" s="13">
        <v>0</v>
      </c>
      <c r="L288" s="13">
        <v>0</v>
      </c>
      <c r="M288" s="11">
        <v>0</v>
      </c>
      <c r="N288" s="13">
        <v>0</v>
      </c>
      <c r="O288" s="13">
        <v>0</v>
      </c>
      <c r="P288" s="11">
        <v>0</v>
      </c>
      <c r="Q288" s="13">
        <v>0</v>
      </c>
      <c r="R288" s="13">
        <v>0</v>
      </c>
      <c r="S288" s="11">
        <v>0</v>
      </c>
      <c r="T288" s="13">
        <v>0</v>
      </c>
      <c r="U288" s="13">
        <v>0</v>
      </c>
      <c r="V288" s="11">
        <v>0</v>
      </c>
      <c r="W288" s="13">
        <v>0</v>
      </c>
      <c r="X288" s="13">
        <v>0</v>
      </c>
      <c r="Y288" s="11">
        <v>0</v>
      </c>
    </row>
    <row r="289" spans="1:25" x14ac:dyDescent="0.3">
      <c r="A289" s="10" t="s">
        <v>151</v>
      </c>
      <c r="B289" s="7">
        <v>2022</v>
      </c>
      <c r="C289" s="11">
        <v>288</v>
      </c>
      <c r="D289" s="7" t="s">
        <v>132</v>
      </c>
      <c r="E289" s="7" t="s">
        <v>82</v>
      </c>
      <c r="F289" s="7" t="s">
        <v>613</v>
      </c>
      <c r="G289" s="12" t="s">
        <v>154</v>
      </c>
      <c r="H289" s="7" t="s">
        <v>155</v>
      </c>
      <c r="I289" s="7" t="s">
        <v>155</v>
      </c>
      <c r="J289" s="7" t="s">
        <v>154</v>
      </c>
      <c r="K289" s="13">
        <v>0</v>
      </c>
      <c r="L289" s="13">
        <v>0</v>
      </c>
      <c r="M289" s="11">
        <v>0</v>
      </c>
      <c r="N289" s="13">
        <v>0</v>
      </c>
      <c r="O289" s="13">
        <v>0</v>
      </c>
      <c r="P289" s="11">
        <v>0</v>
      </c>
      <c r="Q289" s="13">
        <v>0</v>
      </c>
      <c r="R289" s="13">
        <v>0</v>
      </c>
      <c r="S289" s="11">
        <v>0</v>
      </c>
      <c r="T289" s="13">
        <v>0</v>
      </c>
      <c r="U289" s="13">
        <v>0</v>
      </c>
      <c r="V289" s="11">
        <v>0</v>
      </c>
      <c r="W289" s="13">
        <v>0</v>
      </c>
      <c r="X289" s="13">
        <v>0</v>
      </c>
      <c r="Y289" s="11">
        <v>0</v>
      </c>
    </row>
    <row r="290" spans="1:25" x14ac:dyDescent="0.3">
      <c r="A290" s="10" t="s">
        <v>151</v>
      </c>
      <c r="B290" s="7">
        <v>2022</v>
      </c>
      <c r="C290" s="11">
        <v>289</v>
      </c>
      <c r="D290" s="7" t="s">
        <v>614</v>
      </c>
      <c r="E290" s="7" t="s">
        <v>82</v>
      </c>
      <c r="F290" s="7" t="s">
        <v>615</v>
      </c>
      <c r="G290" s="12" t="s">
        <v>154</v>
      </c>
      <c r="H290" s="7" t="s">
        <v>155</v>
      </c>
      <c r="I290" s="7" t="s">
        <v>155</v>
      </c>
      <c r="J290" s="7" t="s">
        <v>154</v>
      </c>
      <c r="K290" s="13">
        <v>0</v>
      </c>
      <c r="L290" s="13">
        <v>0</v>
      </c>
      <c r="M290" s="11">
        <v>0</v>
      </c>
      <c r="N290" s="13">
        <v>0</v>
      </c>
      <c r="O290" s="13">
        <v>0</v>
      </c>
      <c r="P290" s="11">
        <v>0</v>
      </c>
      <c r="Q290" s="13">
        <v>0</v>
      </c>
      <c r="R290" s="13">
        <v>0</v>
      </c>
      <c r="S290" s="11">
        <v>0</v>
      </c>
      <c r="T290" s="13">
        <v>0</v>
      </c>
      <c r="U290" s="13">
        <v>0</v>
      </c>
      <c r="V290" s="11">
        <v>0</v>
      </c>
      <c r="W290" s="13">
        <v>0</v>
      </c>
      <c r="X290" s="13">
        <v>0</v>
      </c>
      <c r="Y290" s="11">
        <v>0</v>
      </c>
    </row>
    <row r="291" spans="1:25" x14ac:dyDescent="0.3">
      <c r="A291" s="10" t="s">
        <v>151</v>
      </c>
      <c r="B291" s="7">
        <v>2022</v>
      </c>
      <c r="C291" s="11">
        <v>290</v>
      </c>
      <c r="D291" s="7" t="s">
        <v>616</v>
      </c>
      <c r="E291" s="7" t="s">
        <v>82</v>
      </c>
      <c r="F291" s="7" t="s">
        <v>617</v>
      </c>
      <c r="G291" s="12" t="s">
        <v>154</v>
      </c>
      <c r="H291" s="7" t="s">
        <v>155</v>
      </c>
      <c r="I291" s="7" t="s">
        <v>155</v>
      </c>
      <c r="J291" s="7" t="s">
        <v>154</v>
      </c>
      <c r="K291" s="13">
        <v>0</v>
      </c>
      <c r="L291" s="13">
        <v>0</v>
      </c>
      <c r="M291" s="11">
        <v>0</v>
      </c>
      <c r="N291" s="13">
        <v>0</v>
      </c>
      <c r="O291" s="13">
        <v>0</v>
      </c>
      <c r="P291" s="11">
        <v>0</v>
      </c>
      <c r="Q291" s="13">
        <v>0</v>
      </c>
      <c r="R291" s="13">
        <v>0</v>
      </c>
      <c r="S291" s="11">
        <v>0</v>
      </c>
      <c r="T291" s="13">
        <v>0</v>
      </c>
      <c r="U291" s="13">
        <v>0</v>
      </c>
      <c r="V291" s="11">
        <v>0</v>
      </c>
      <c r="W291" s="13">
        <v>0</v>
      </c>
      <c r="X291" s="13">
        <v>0</v>
      </c>
      <c r="Y291" s="11">
        <v>0</v>
      </c>
    </row>
    <row r="292" spans="1:25" x14ac:dyDescent="0.3">
      <c r="A292" s="10" t="s">
        <v>151</v>
      </c>
      <c r="B292" s="7">
        <v>2022</v>
      </c>
      <c r="C292" s="11">
        <v>291</v>
      </c>
      <c r="D292" s="7" t="s">
        <v>618</v>
      </c>
      <c r="E292" s="7" t="s">
        <v>82</v>
      </c>
      <c r="F292" s="7" t="s">
        <v>619</v>
      </c>
      <c r="G292" s="12" t="s">
        <v>154</v>
      </c>
      <c r="H292" s="7" t="s">
        <v>155</v>
      </c>
      <c r="I292" s="7" t="s">
        <v>155</v>
      </c>
      <c r="J292" s="7" t="s">
        <v>154</v>
      </c>
      <c r="K292" s="13">
        <v>0</v>
      </c>
      <c r="L292" s="13">
        <v>0</v>
      </c>
      <c r="M292" s="11">
        <v>0</v>
      </c>
      <c r="N292" s="13">
        <v>0</v>
      </c>
      <c r="O292" s="13">
        <v>0</v>
      </c>
      <c r="P292" s="11">
        <v>0</v>
      </c>
      <c r="Q292" s="13">
        <v>0</v>
      </c>
      <c r="R292" s="13">
        <v>0</v>
      </c>
      <c r="S292" s="11">
        <v>0</v>
      </c>
      <c r="T292" s="13">
        <v>0</v>
      </c>
      <c r="U292" s="13">
        <v>0</v>
      </c>
      <c r="V292" s="11">
        <v>0</v>
      </c>
      <c r="W292" s="13">
        <v>0</v>
      </c>
      <c r="X292" s="13">
        <v>0</v>
      </c>
      <c r="Y292" s="11">
        <v>0</v>
      </c>
    </row>
    <row r="293" spans="1:25" x14ac:dyDescent="0.3">
      <c r="A293" s="10" t="s">
        <v>151</v>
      </c>
      <c r="B293" s="7">
        <v>2022</v>
      </c>
      <c r="C293" s="11">
        <v>292</v>
      </c>
      <c r="D293" s="7" t="s">
        <v>620</v>
      </c>
      <c r="E293" s="7" t="s">
        <v>82</v>
      </c>
      <c r="F293" s="7" t="s">
        <v>621</v>
      </c>
      <c r="G293" s="12" t="s">
        <v>154</v>
      </c>
      <c r="H293" s="7" t="s">
        <v>155</v>
      </c>
      <c r="I293" s="7" t="s">
        <v>155</v>
      </c>
      <c r="J293" s="7" t="s">
        <v>154</v>
      </c>
      <c r="K293" s="13">
        <v>0</v>
      </c>
      <c r="L293" s="13">
        <v>0</v>
      </c>
      <c r="M293" s="11">
        <v>0</v>
      </c>
      <c r="N293" s="13">
        <v>0</v>
      </c>
      <c r="O293" s="13">
        <v>0</v>
      </c>
      <c r="P293" s="11">
        <v>0</v>
      </c>
      <c r="Q293" s="13">
        <v>0</v>
      </c>
      <c r="R293" s="13">
        <v>0</v>
      </c>
      <c r="S293" s="11">
        <v>0</v>
      </c>
      <c r="T293" s="13">
        <v>0</v>
      </c>
      <c r="U293" s="13">
        <v>0</v>
      </c>
      <c r="V293" s="11">
        <v>0</v>
      </c>
      <c r="W293" s="13">
        <v>0</v>
      </c>
      <c r="X293" s="13">
        <v>0</v>
      </c>
      <c r="Y293" s="11">
        <v>0</v>
      </c>
    </row>
    <row r="294" spans="1:25" x14ac:dyDescent="0.3">
      <c r="A294" s="10" t="s">
        <v>151</v>
      </c>
      <c r="B294" s="7">
        <v>2022</v>
      </c>
      <c r="C294" s="11">
        <v>293</v>
      </c>
      <c r="D294" s="7" t="s">
        <v>622</v>
      </c>
      <c r="E294" s="7" t="s">
        <v>82</v>
      </c>
      <c r="F294" s="7" t="s">
        <v>623</v>
      </c>
      <c r="G294" s="12" t="s">
        <v>154</v>
      </c>
      <c r="H294" s="7" t="s">
        <v>155</v>
      </c>
      <c r="I294" s="7" t="s">
        <v>155</v>
      </c>
      <c r="J294" s="7" t="s">
        <v>154</v>
      </c>
      <c r="K294" s="13">
        <v>0</v>
      </c>
      <c r="L294" s="13">
        <v>0</v>
      </c>
      <c r="M294" s="11">
        <v>0</v>
      </c>
      <c r="N294" s="13">
        <v>0</v>
      </c>
      <c r="O294" s="13">
        <v>0</v>
      </c>
      <c r="P294" s="11">
        <v>0</v>
      </c>
      <c r="Q294" s="13">
        <v>0</v>
      </c>
      <c r="R294" s="13">
        <v>0</v>
      </c>
      <c r="S294" s="11">
        <v>0</v>
      </c>
      <c r="T294" s="13">
        <v>0</v>
      </c>
      <c r="U294" s="13">
        <v>0</v>
      </c>
      <c r="V294" s="11">
        <v>0</v>
      </c>
      <c r="W294" s="13">
        <v>0</v>
      </c>
      <c r="X294" s="13">
        <v>0</v>
      </c>
      <c r="Y294" s="11">
        <v>0</v>
      </c>
    </row>
    <row r="295" spans="1:25" x14ac:dyDescent="0.3">
      <c r="A295" s="10" t="s">
        <v>151</v>
      </c>
      <c r="B295" s="7">
        <v>2022</v>
      </c>
      <c r="C295" s="11">
        <v>294</v>
      </c>
      <c r="D295" s="7" t="s">
        <v>624</v>
      </c>
      <c r="E295" s="7" t="s">
        <v>82</v>
      </c>
      <c r="F295" s="7" t="s">
        <v>625</v>
      </c>
      <c r="G295" s="12" t="s">
        <v>154</v>
      </c>
      <c r="H295" s="7" t="s">
        <v>155</v>
      </c>
      <c r="I295" s="7" t="s">
        <v>155</v>
      </c>
      <c r="J295" s="7" t="s">
        <v>154</v>
      </c>
      <c r="K295" s="13">
        <v>0</v>
      </c>
      <c r="L295" s="13">
        <v>0</v>
      </c>
      <c r="M295" s="11">
        <v>0</v>
      </c>
      <c r="N295" s="13">
        <v>0</v>
      </c>
      <c r="O295" s="13">
        <v>0</v>
      </c>
      <c r="P295" s="11">
        <v>0</v>
      </c>
      <c r="Q295" s="13">
        <v>0</v>
      </c>
      <c r="R295" s="13">
        <v>0</v>
      </c>
      <c r="S295" s="11">
        <v>0</v>
      </c>
      <c r="T295" s="13">
        <v>0</v>
      </c>
      <c r="U295" s="13">
        <v>0</v>
      </c>
      <c r="V295" s="11">
        <v>0</v>
      </c>
      <c r="W295" s="13">
        <v>0</v>
      </c>
      <c r="X295" s="13">
        <v>0</v>
      </c>
      <c r="Y295" s="11">
        <v>0</v>
      </c>
    </row>
    <row r="296" spans="1:25" x14ac:dyDescent="0.3">
      <c r="A296" s="10" t="s">
        <v>151</v>
      </c>
      <c r="B296" s="7">
        <v>2022</v>
      </c>
      <c r="C296" s="11">
        <v>295</v>
      </c>
      <c r="D296" s="15" t="s">
        <v>626</v>
      </c>
      <c r="E296" s="7" t="s">
        <v>82</v>
      </c>
      <c r="F296" s="7" t="s">
        <v>627</v>
      </c>
      <c r="G296" s="12" t="s">
        <v>154</v>
      </c>
      <c r="H296" s="7" t="s">
        <v>155</v>
      </c>
      <c r="I296" s="7" t="s">
        <v>155</v>
      </c>
      <c r="J296" s="7" t="s">
        <v>154</v>
      </c>
      <c r="K296" s="13">
        <v>0</v>
      </c>
      <c r="L296" s="13">
        <v>0</v>
      </c>
      <c r="M296" s="11">
        <v>0</v>
      </c>
      <c r="N296" s="13">
        <v>0</v>
      </c>
      <c r="O296" s="13">
        <v>0</v>
      </c>
      <c r="P296" s="11">
        <v>0</v>
      </c>
      <c r="Q296" s="13">
        <v>0</v>
      </c>
      <c r="R296" s="13">
        <v>0</v>
      </c>
      <c r="S296" s="11">
        <v>0</v>
      </c>
      <c r="T296" s="13">
        <v>0</v>
      </c>
      <c r="U296" s="13">
        <v>0</v>
      </c>
      <c r="V296" s="11">
        <v>0</v>
      </c>
      <c r="W296" s="13">
        <v>0</v>
      </c>
      <c r="X296" s="13">
        <v>0</v>
      </c>
      <c r="Y296" s="11">
        <v>0</v>
      </c>
    </row>
    <row r="297" spans="1:25" x14ac:dyDescent="0.3">
      <c r="A297" s="10" t="s">
        <v>151</v>
      </c>
      <c r="B297" s="7">
        <v>2022</v>
      </c>
      <c r="C297" s="11">
        <v>296</v>
      </c>
      <c r="D297" s="7" t="s">
        <v>3447</v>
      </c>
      <c r="E297" s="7" t="s">
        <v>82</v>
      </c>
      <c r="F297" s="7" t="s">
        <v>628</v>
      </c>
      <c r="G297" s="12" t="s">
        <v>154</v>
      </c>
      <c r="H297" s="7" t="s">
        <v>155</v>
      </c>
      <c r="I297" s="7" t="s">
        <v>155</v>
      </c>
      <c r="J297" s="7" t="s">
        <v>154</v>
      </c>
      <c r="K297" s="13">
        <v>0</v>
      </c>
      <c r="L297" s="13">
        <v>0</v>
      </c>
      <c r="M297" s="11">
        <v>0</v>
      </c>
      <c r="N297" s="13">
        <v>0</v>
      </c>
      <c r="O297" s="13">
        <v>0</v>
      </c>
      <c r="P297" s="11">
        <v>0</v>
      </c>
      <c r="Q297" s="13">
        <v>0</v>
      </c>
      <c r="R297" s="13">
        <v>0</v>
      </c>
      <c r="S297" s="11">
        <v>0</v>
      </c>
      <c r="T297" s="13">
        <v>0</v>
      </c>
      <c r="U297" s="13">
        <v>0</v>
      </c>
      <c r="V297" s="11">
        <v>0</v>
      </c>
      <c r="W297" s="13">
        <v>0</v>
      </c>
      <c r="X297" s="13">
        <v>0</v>
      </c>
      <c r="Y297" s="11">
        <v>0</v>
      </c>
    </row>
    <row r="298" spans="1:25" x14ac:dyDescent="0.3">
      <c r="A298" s="10" t="s">
        <v>151</v>
      </c>
      <c r="B298" s="7">
        <v>2022</v>
      </c>
      <c r="C298" s="11">
        <v>297</v>
      </c>
      <c r="D298" s="7" t="s">
        <v>629</v>
      </c>
      <c r="E298" s="7" t="s">
        <v>82</v>
      </c>
      <c r="F298" s="7" t="s">
        <v>630</v>
      </c>
      <c r="G298" s="12" t="s">
        <v>154</v>
      </c>
      <c r="H298" s="7" t="s">
        <v>155</v>
      </c>
      <c r="I298" s="7" t="s">
        <v>155</v>
      </c>
      <c r="J298" s="7" t="s">
        <v>154</v>
      </c>
      <c r="K298" s="13">
        <v>0</v>
      </c>
      <c r="L298" s="13">
        <v>0</v>
      </c>
      <c r="M298" s="11">
        <v>0</v>
      </c>
      <c r="N298" s="13">
        <v>0</v>
      </c>
      <c r="O298" s="13">
        <v>0</v>
      </c>
      <c r="P298" s="11">
        <v>0</v>
      </c>
      <c r="Q298" s="13">
        <v>0</v>
      </c>
      <c r="R298" s="13">
        <v>0</v>
      </c>
      <c r="S298" s="11">
        <v>0</v>
      </c>
      <c r="T298" s="13">
        <v>0</v>
      </c>
      <c r="U298" s="13">
        <v>0</v>
      </c>
      <c r="V298" s="11">
        <v>0</v>
      </c>
      <c r="W298" s="13">
        <v>0</v>
      </c>
      <c r="X298" s="13">
        <v>0</v>
      </c>
      <c r="Y298" s="11">
        <v>0</v>
      </c>
    </row>
    <row r="299" spans="1:25" x14ac:dyDescent="0.3">
      <c r="A299" s="10" t="s">
        <v>151</v>
      </c>
      <c r="B299" s="7">
        <v>2022</v>
      </c>
      <c r="C299" s="11">
        <v>298</v>
      </c>
      <c r="D299" s="7" t="s">
        <v>631</v>
      </c>
      <c r="E299" s="7" t="s">
        <v>82</v>
      </c>
      <c r="F299" s="7" t="s">
        <v>632</v>
      </c>
      <c r="G299" s="12" t="s">
        <v>154</v>
      </c>
      <c r="H299" s="7" t="s">
        <v>155</v>
      </c>
      <c r="I299" s="7" t="s">
        <v>155</v>
      </c>
      <c r="J299" s="7" t="s">
        <v>154</v>
      </c>
      <c r="K299" s="13">
        <v>0</v>
      </c>
      <c r="L299" s="13">
        <v>0</v>
      </c>
      <c r="M299" s="11">
        <v>0</v>
      </c>
      <c r="N299" s="13">
        <v>0</v>
      </c>
      <c r="O299" s="13">
        <v>0</v>
      </c>
      <c r="P299" s="11">
        <v>0</v>
      </c>
      <c r="Q299" s="13">
        <v>0</v>
      </c>
      <c r="R299" s="13">
        <v>0</v>
      </c>
      <c r="S299" s="11">
        <v>0</v>
      </c>
      <c r="T299" s="13">
        <v>0</v>
      </c>
      <c r="U299" s="13">
        <v>0</v>
      </c>
      <c r="V299" s="11">
        <v>0</v>
      </c>
      <c r="W299" s="13">
        <v>0</v>
      </c>
      <c r="X299" s="13">
        <v>0</v>
      </c>
      <c r="Y299" s="11">
        <v>0</v>
      </c>
    </row>
    <row r="300" spans="1:25" x14ac:dyDescent="0.3">
      <c r="A300" s="10" t="s">
        <v>151</v>
      </c>
      <c r="B300" s="7">
        <v>2022</v>
      </c>
      <c r="C300" s="11">
        <v>299</v>
      </c>
      <c r="D300" s="7" t="s">
        <v>633</v>
      </c>
      <c r="E300" s="7" t="s">
        <v>82</v>
      </c>
      <c r="F300" s="7" t="s">
        <v>634</v>
      </c>
      <c r="G300" s="12" t="s">
        <v>154</v>
      </c>
      <c r="H300" s="7" t="s">
        <v>155</v>
      </c>
      <c r="I300" s="7" t="s">
        <v>155</v>
      </c>
      <c r="J300" s="7" t="s">
        <v>154</v>
      </c>
      <c r="K300" s="13">
        <v>0</v>
      </c>
      <c r="L300" s="13">
        <v>0</v>
      </c>
      <c r="M300" s="11">
        <v>0</v>
      </c>
      <c r="N300" s="13">
        <v>0</v>
      </c>
      <c r="O300" s="13">
        <v>0</v>
      </c>
      <c r="P300" s="11">
        <v>0</v>
      </c>
      <c r="Q300" s="13">
        <v>0</v>
      </c>
      <c r="R300" s="13">
        <v>0</v>
      </c>
      <c r="S300" s="11">
        <v>0</v>
      </c>
      <c r="T300" s="13">
        <v>0</v>
      </c>
      <c r="U300" s="13">
        <v>0</v>
      </c>
      <c r="V300" s="11">
        <v>0</v>
      </c>
      <c r="W300" s="13">
        <v>0</v>
      </c>
      <c r="X300" s="13">
        <v>0</v>
      </c>
      <c r="Y300" s="11">
        <v>0</v>
      </c>
    </row>
    <row r="301" spans="1:25" x14ac:dyDescent="0.3">
      <c r="A301" s="10" t="s">
        <v>151</v>
      </c>
      <c r="B301" s="7">
        <v>2022</v>
      </c>
      <c r="C301" s="11">
        <v>300</v>
      </c>
      <c r="D301" s="7" t="s">
        <v>635</v>
      </c>
      <c r="E301" s="7" t="s">
        <v>82</v>
      </c>
      <c r="F301" s="7" t="s">
        <v>636</v>
      </c>
      <c r="G301" s="12" t="s">
        <v>154</v>
      </c>
      <c r="H301" s="7" t="s">
        <v>155</v>
      </c>
      <c r="I301" s="7" t="s">
        <v>155</v>
      </c>
      <c r="J301" s="7" t="s">
        <v>154</v>
      </c>
      <c r="K301" s="13">
        <v>0</v>
      </c>
      <c r="L301" s="13">
        <v>0</v>
      </c>
      <c r="M301" s="11">
        <v>0</v>
      </c>
      <c r="N301" s="13">
        <v>0</v>
      </c>
      <c r="O301" s="13">
        <v>0</v>
      </c>
      <c r="P301" s="11">
        <v>0</v>
      </c>
      <c r="Q301" s="13">
        <v>0</v>
      </c>
      <c r="R301" s="13">
        <v>0</v>
      </c>
      <c r="S301" s="11">
        <v>0</v>
      </c>
      <c r="T301" s="13">
        <v>0</v>
      </c>
      <c r="U301" s="13">
        <v>0</v>
      </c>
      <c r="V301" s="11">
        <v>0</v>
      </c>
      <c r="W301" s="13">
        <v>0</v>
      </c>
      <c r="X301" s="13">
        <v>0</v>
      </c>
      <c r="Y301" s="11">
        <v>0</v>
      </c>
    </row>
    <row r="302" spans="1:25" x14ac:dyDescent="0.3">
      <c r="A302" s="10" t="s">
        <v>151</v>
      </c>
      <c r="B302" s="7">
        <v>2022</v>
      </c>
      <c r="C302" s="11">
        <v>301</v>
      </c>
      <c r="D302" s="7" t="s">
        <v>637</v>
      </c>
      <c r="E302" s="7" t="s">
        <v>82</v>
      </c>
      <c r="F302" s="7" t="s">
        <v>638</v>
      </c>
      <c r="G302" s="12" t="s">
        <v>154</v>
      </c>
      <c r="H302" s="7" t="s">
        <v>155</v>
      </c>
      <c r="I302" s="7" t="s">
        <v>155</v>
      </c>
      <c r="J302" s="7" t="s">
        <v>154</v>
      </c>
      <c r="K302" s="13">
        <v>0</v>
      </c>
      <c r="L302" s="13">
        <v>0</v>
      </c>
      <c r="M302" s="11">
        <v>0</v>
      </c>
      <c r="N302" s="13">
        <v>0</v>
      </c>
      <c r="O302" s="13">
        <v>0</v>
      </c>
      <c r="P302" s="11">
        <v>0</v>
      </c>
      <c r="Q302" s="13">
        <v>0</v>
      </c>
      <c r="R302" s="13">
        <v>0</v>
      </c>
      <c r="S302" s="11">
        <v>0</v>
      </c>
      <c r="T302" s="13">
        <v>0</v>
      </c>
      <c r="U302" s="13">
        <v>0</v>
      </c>
      <c r="V302" s="11">
        <v>0</v>
      </c>
      <c r="W302" s="13">
        <v>0</v>
      </c>
      <c r="X302" s="13">
        <v>0</v>
      </c>
      <c r="Y302" s="11">
        <v>0</v>
      </c>
    </row>
    <row r="303" spans="1:25" x14ac:dyDescent="0.3">
      <c r="A303" s="10" t="s">
        <v>151</v>
      </c>
      <c r="B303" s="7">
        <v>2022</v>
      </c>
      <c r="C303" s="11">
        <v>302</v>
      </c>
      <c r="D303" s="7" t="s">
        <v>639</v>
      </c>
      <c r="E303" s="7" t="s">
        <v>82</v>
      </c>
      <c r="F303" s="7" t="s">
        <v>154</v>
      </c>
      <c r="G303" s="14" t="s">
        <v>640</v>
      </c>
      <c r="H303" s="7" t="s">
        <v>155</v>
      </c>
      <c r="I303" s="7" t="s">
        <v>155</v>
      </c>
      <c r="J303" s="7" t="s">
        <v>154</v>
      </c>
      <c r="K303" s="13">
        <v>0</v>
      </c>
      <c r="L303" s="13">
        <v>0</v>
      </c>
      <c r="M303" s="11">
        <v>0</v>
      </c>
      <c r="N303" s="13">
        <v>0</v>
      </c>
      <c r="O303" s="13">
        <v>0</v>
      </c>
      <c r="P303" s="11">
        <v>0</v>
      </c>
      <c r="Q303" s="13">
        <v>0</v>
      </c>
      <c r="R303" s="13">
        <v>0</v>
      </c>
      <c r="S303" s="11">
        <v>0</v>
      </c>
      <c r="T303" s="13">
        <v>0</v>
      </c>
      <c r="U303" s="13">
        <v>0</v>
      </c>
      <c r="V303" s="11">
        <v>0</v>
      </c>
      <c r="W303" s="13">
        <v>0</v>
      </c>
      <c r="X303" s="13">
        <v>0</v>
      </c>
      <c r="Y303" s="11">
        <v>0</v>
      </c>
    </row>
    <row r="304" spans="1:25" x14ac:dyDescent="0.3">
      <c r="A304" s="10" t="s">
        <v>151</v>
      </c>
      <c r="B304" s="7">
        <v>2022</v>
      </c>
      <c r="C304" s="11">
        <v>303</v>
      </c>
      <c r="D304" s="7" t="s">
        <v>641</v>
      </c>
      <c r="E304" s="7" t="s">
        <v>82</v>
      </c>
      <c r="F304" s="7" t="s">
        <v>642</v>
      </c>
      <c r="G304" s="12" t="s">
        <v>154</v>
      </c>
      <c r="H304" s="7" t="s">
        <v>155</v>
      </c>
      <c r="I304" s="7" t="s">
        <v>155</v>
      </c>
      <c r="J304" s="7" t="s">
        <v>154</v>
      </c>
      <c r="K304" s="13">
        <v>100</v>
      </c>
      <c r="L304" s="13">
        <v>27</v>
      </c>
      <c r="M304" s="11">
        <v>273</v>
      </c>
      <c r="N304" s="13">
        <v>100</v>
      </c>
      <c r="O304" s="13">
        <v>27</v>
      </c>
      <c r="P304" s="11">
        <v>142</v>
      </c>
      <c r="Q304" s="13">
        <v>0</v>
      </c>
      <c r="R304" s="13">
        <v>0</v>
      </c>
      <c r="S304" s="11">
        <v>0</v>
      </c>
      <c r="T304" s="13">
        <v>0</v>
      </c>
      <c r="U304" s="13">
        <v>0</v>
      </c>
      <c r="V304" s="11">
        <v>0</v>
      </c>
      <c r="W304" s="13">
        <v>0</v>
      </c>
      <c r="X304" s="13">
        <v>0</v>
      </c>
      <c r="Y304" s="11">
        <v>0</v>
      </c>
    </row>
    <row r="305" spans="1:25" x14ac:dyDescent="0.3">
      <c r="A305" s="10" t="s">
        <v>151</v>
      </c>
      <c r="B305" s="7">
        <v>2022</v>
      </c>
      <c r="C305" s="11">
        <v>304</v>
      </c>
      <c r="D305" s="7" t="s">
        <v>643</v>
      </c>
      <c r="E305" s="7" t="s">
        <v>82</v>
      </c>
      <c r="F305" s="7" t="s">
        <v>644</v>
      </c>
      <c r="G305" s="12" t="s">
        <v>154</v>
      </c>
      <c r="H305" s="7" t="s">
        <v>155</v>
      </c>
      <c r="I305" s="7" t="s">
        <v>155</v>
      </c>
      <c r="J305" s="7" t="s">
        <v>154</v>
      </c>
      <c r="K305" s="13">
        <v>100</v>
      </c>
      <c r="L305" s="13">
        <v>27</v>
      </c>
      <c r="M305" s="11">
        <v>273</v>
      </c>
      <c r="N305" s="13">
        <v>100</v>
      </c>
      <c r="O305" s="13">
        <v>27</v>
      </c>
      <c r="P305" s="11">
        <v>142</v>
      </c>
      <c r="Q305" s="13">
        <v>0</v>
      </c>
      <c r="R305" s="13">
        <v>0</v>
      </c>
      <c r="S305" s="11">
        <v>0</v>
      </c>
      <c r="T305" s="13">
        <v>0</v>
      </c>
      <c r="U305" s="13">
        <v>0</v>
      </c>
      <c r="V305" s="11">
        <v>0</v>
      </c>
      <c r="W305" s="13">
        <v>0</v>
      </c>
      <c r="X305" s="13">
        <v>0</v>
      </c>
      <c r="Y305" s="11">
        <v>0</v>
      </c>
    </row>
    <row r="306" spans="1:25" x14ac:dyDescent="0.3">
      <c r="A306" s="10" t="s">
        <v>151</v>
      </c>
      <c r="B306" s="7">
        <v>2022</v>
      </c>
      <c r="C306" s="11">
        <v>305</v>
      </c>
      <c r="D306" s="7" t="s">
        <v>645</v>
      </c>
      <c r="E306" s="7" t="s">
        <v>82</v>
      </c>
      <c r="F306" s="7" t="s">
        <v>154</v>
      </c>
      <c r="G306" s="14" t="s">
        <v>646</v>
      </c>
      <c r="H306" s="7" t="s">
        <v>155</v>
      </c>
      <c r="I306" s="7" t="s">
        <v>155</v>
      </c>
      <c r="J306" s="7" t="s">
        <v>154</v>
      </c>
      <c r="K306" s="13">
        <v>0</v>
      </c>
      <c r="L306" s="13">
        <v>0</v>
      </c>
      <c r="M306" s="11">
        <v>0</v>
      </c>
      <c r="N306" s="13">
        <v>0</v>
      </c>
      <c r="O306" s="13">
        <v>0</v>
      </c>
      <c r="P306" s="11">
        <v>0</v>
      </c>
      <c r="Q306" s="13">
        <v>0</v>
      </c>
      <c r="R306" s="13">
        <v>0</v>
      </c>
      <c r="S306" s="11">
        <v>0</v>
      </c>
      <c r="T306" s="13">
        <v>0</v>
      </c>
      <c r="U306" s="13">
        <v>0</v>
      </c>
      <c r="V306" s="11">
        <v>0</v>
      </c>
      <c r="W306" s="13">
        <v>0</v>
      </c>
      <c r="X306" s="13">
        <v>0</v>
      </c>
      <c r="Y306" s="11">
        <v>0</v>
      </c>
    </row>
    <row r="307" spans="1:25" x14ac:dyDescent="0.3">
      <c r="A307" s="10" t="s">
        <v>151</v>
      </c>
      <c r="B307" s="7">
        <v>2022</v>
      </c>
      <c r="C307" s="11">
        <v>306</v>
      </c>
      <c r="D307" s="7" t="s">
        <v>647</v>
      </c>
      <c r="E307" s="7" t="s">
        <v>82</v>
      </c>
      <c r="F307" s="7" t="s">
        <v>154</v>
      </c>
      <c r="G307" s="14" t="s">
        <v>648</v>
      </c>
      <c r="H307" s="7" t="s">
        <v>155</v>
      </c>
      <c r="I307" s="7" t="s">
        <v>155</v>
      </c>
      <c r="J307" s="7" t="s">
        <v>154</v>
      </c>
      <c r="K307" s="13">
        <v>0</v>
      </c>
      <c r="L307" s="13">
        <v>0</v>
      </c>
      <c r="M307" s="11">
        <v>0</v>
      </c>
      <c r="N307" s="13">
        <v>0</v>
      </c>
      <c r="O307" s="13">
        <v>0</v>
      </c>
      <c r="P307" s="11">
        <v>0</v>
      </c>
      <c r="Q307" s="13">
        <v>0</v>
      </c>
      <c r="R307" s="13">
        <v>0</v>
      </c>
      <c r="S307" s="11">
        <v>0</v>
      </c>
      <c r="T307" s="13">
        <v>0</v>
      </c>
      <c r="U307" s="13">
        <v>0</v>
      </c>
      <c r="V307" s="11">
        <v>0</v>
      </c>
      <c r="W307" s="13">
        <v>0</v>
      </c>
      <c r="X307" s="13">
        <v>0</v>
      </c>
      <c r="Y307" s="11">
        <v>0</v>
      </c>
    </row>
    <row r="308" spans="1:25" x14ac:dyDescent="0.3">
      <c r="A308" s="10" t="s">
        <v>151</v>
      </c>
      <c r="B308" s="7">
        <v>2022</v>
      </c>
      <c r="C308" s="11">
        <v>307</v>
      </c>
      <c r="D308" s="7" t="s">
        <v>649</v>
      </c>
      <c r="E308" s="7" t="s">
        <v>82</v>
      </c>
      <c r="F308" s="7" t="s">
        <v>650</v>
      </c>
      <c r="G308" s="12" t="s">
        <v>154</v>
      </c>
      <c r="H308" s="7" t="s">
        <v>155</v>
      </c>
      <c r="I308" s="7" t="s">
        <v>155</v>
      </c>
      <c r="J308" s="7" t="s">
        <v>154</v>
      </c>
      <c r="K308" s="13">
        <v>100</v>
      </c>
      <c r="L308" s="13">
        <v>27</v>
      </c>
      <c r="M308" s="11">
        <v>274</v>
      </c>
      <c r="N308" s="13">
        <v>100</v>
      </c>
      <c r="O308" s="13">
        <v>27</v>
      </c>
      <c r="P308" s="11">
        <v>142</v>
      </c>
      <c r="Q308" s="13">
        <v>0</v>
      </c>
      <c r="R308" s="13">
        <v>0</v>
      </c>
      <c r="S308" s="11">
        <v>0</v>
      </c>
      <c r="T308" s="13">
        <v>0</v>
      </c>
      <c r="U308" s="13">
        <v>0</v>
      </c>
      <c r="V308" s="11">
        <v>0</v>
      </c>
      <c r="W308" s="13">
        <v>0</v>
      </c>
      <c r="X308" s="13">
        <v>0</v>
      </c>
      <c r="Y308" s="11">
        <v>0</v>
      </c>
    </row>
    <row r="309" spans="1:25" x14ac:dyDescent="0.3">
      <c r="A309" s="10" t="s">
        <v>151</v>
      </c>
      <c r="B309" s="7">
        <v>2022</v>
      </c>
      <c r="C309" s="11">
        <v>308</v>
      </c>
      <c r="D309" s="7" t="s">
        <v>651</v>
      </c>
      <c r="E309" s="7" t="s">
        <v>82</v>
      </c>
      <c r="F309" s="7" t="s">
        <v>652</v>
      </c>
      <c r="G309" s="12" t="s">
        <v>154</v>
      </c>
      <c r="H309" s="7" t="s">
        <v>155</v>
      </c>
      <c r="I309" s="7" t="s">
        <v>155</v>
      </c>
      <c r="J309" s="7" t="s">
        <v>154</v>
      </c>
      <c r="K309" s="13">
        <v>0</v>
      </c>
      <c r="L309" s="13">
        <v>0</v>
      </c>
      <c r="M309" s="11">
        <v>0</v>
      </c>
      <c r="N309" s="13">
        <v>0</v>
      </c>
      <c r="O309" s="13">
        <v>0</v>
      </c>
      <c r="P309" s="11">
        <v>0</v>
      </c>
      <c r="Q309" s="13">
        <v>0</v>
      </c>
      <c r="R309" s="13">
        <v>0</v>
      </c>
      <c r="S309" s="11">
        <v>0</v>
      </c>
      <c r="T309" s="13">
        <v>0</v>
      </c>
      <c r="U309" s="13">
        <v>0</v>
      </c>
      <c r="V309" s="11">
        <v>0</v>
      </c>
      <c r="W309" s="13">
        <v>0</v>
      </c>
      <c r="X309" s="13">
        <v>0</v>
      </c>
      <c r="Y309" s="11">
        <v>0</v>
      </c>
    </row>
    <row r="310" spans="1:25" x14ac:dyDescent="0.3">
      <c r="A310" s="10" t="s">
        <v>151</v>
      </c>
      <c r="B310" s="7">
        <v>2022</v>
      </c>
      <c r="C310" s="11">
        <v>309</v>
      </c>
      <c r="D310" s="7" t="s">
        <v>653</v>
      </c>
      <c r="E310" s="7" t="s">
        <v>82</v>
      </c>
      <c r="F310" s="7" t="s">
        <v>654</v>
      </c>
      <c r="G310" s="12" t="s">
        <v>154</v>
      </c>
      <c r="H310" s="7" t="s">
        <v>155</v>
      </c>
      <c r="I310" s="7" t="s">
        <v>155</v>
      </c>
      <c r="J310" s="7" t="s">
        <v>154</v>
      </c>
      <c r="K310" s="13">
        <v>0</v>
      </c>
      <c r="L310" s="13">
        <v>0</v>
      </c>
      <c r="M310" s="11">
        <v>0</v>
      </c>
      <c r="N310" s="13">
        <v>0</v>
      </c>
      <c r="O310" s="13">
        <v>0</v>
      </c>
      <c r="P310" s="11">
        <v>0</v>
      </c>
      <c r="Q310" s="13">
        <v>0</v>
      </c>
      <c r="R310" s="13">
        <v>0</v>
      </c>
      <c r="S310" s="11">
        <v>0</v>
      </c>
      <c r="T310" s="13">
        <v>0</v>
      </c>
      <c r="U310" s="13">
        <v>0</v>
      </c>
      <c r="V310" s="11">
        <v>0</v>
      </c>
      <c r="W310" s="13">
        <v>0</v>
      </c>
      <c r="X310" s="13">
        <v>0</v>
      </c>
      <c r="Y310" s="11">
        <v>0</v>
      </c>
    </row>
    <row r="311" spans="1:25" x14ac:dyDescent="0.3">
      <c r="A311" s="10" t="s">
        <v>151</v>
      </c>
      <c r="B311" s="7">
        <v>2022</v>
      </c>
      <c r="C311" s="11">
        <v>310</v>
      </c>
      <c r="D311" s="7" t="s">
        <v>655</v>
      </c>
      <c r="E311" s="7" t="s">
        <v>82</v>
      </c>
      <c r="F311" s="7" t="s">
        <v>656</v>
      </c>
      <c r="G311" s="12" t="s">
        <v>154</v>
      </c>
      <c r="H311" s="7" t="s">
        <v>155</v>
      </c>
      <c r="I311" s="7" t="s">
        <v>155</v>
      </c>
      <c r="J311" s="7" t="s">
        <v>154</v>
      </c>
      <c r="K311" s="13">
        <v>0</v>
      </c>
      <c r="L311" s="13">
        <v>0</v>
      </c>
      <c r="M311" s="11">
        <v>0</v>
      </c>
      <c r="N311" s="13">
        <v>0</v>
      </c>
      <c r="O311" s="13">
        <v>0</v>
      </c>
      <c r="P311" s="11">
        <v>0</v>
      </c>
      <c r="Q311" s="13">
        <v>0</v>
      </c>
      <c r="R311" s="13">
        <v>0</v>
      </c>
      <c r="S311" s="11">
        <v>0</v>
      </c>
      <c r="T311" s="13">
        <v>0</v>
      </c>
      <c r="U311" s="13">
        <v>0</v>
      </c>
      <c r="V311" s="11">
        <v>0</v>
      </c>
      <c r="W311" s="13">
        <v>0</v>
      </c>
      <c r="X311" s="13">
        <v>0</v>
      </c>
      <c r="Y311" s="11">
        <v>0</v>
      </c>
    </row>
    <row r="312" spans="1:25" x14ac:dyDescent="0.3">
      <c r="A312" s="10" t="s">
        <v>151</v>
      </c>
      <c r="B312" s="7">
        <v>2022</v>
      </c>
      <c r="C312" s="11">
        <v>311</v>
      </c>
      <c r="D312" s="7" t="s">
        <v>657</v>
      </c>
      <c r="E312" s="7" t="s">
        <v>82</v>
      </c>
      <c r="F312" s="7" t="s">
        <v>658</v>
      </c>
      <c r="G312" s="12" t="s">
        <v>154</v>
      </c>
      <c r="H312" s="7" t="s">
        <v>155</v>
      </c>
      <c r="I312" s="7" t="s">
        <v>155</v>
      </c>
      <c r="J312" s="7" t="s">
        <v>154</v>
      </c>
      <c r="K312" s="13">
        <v>0</v>
      </c>
      <c r="L312" s="13">
        <v>0</v>
      </c>
      <c r="M312" s="11">
        <v>0</v>
      </c>
      <c r="N312" s="13">
        <v>0</v>
      </c>
      <c r="O312" s="13">
        <v>0</v>
      </c>
      <c r="P312" s="11">
        <v>0</v>
      </c>
      <c r="Q312" s="13">
        <v>0</v>
      </c>
      <c r="R312" s="13">
        <v>0</v>
      </c>
      <c r="S312" s="11">
        <v>0</v>
      </c>
      <c r="T312" s="13">
        <v>0</v>
      </c>
      <c r="U312" s="13">
        <v>0</v>
      </c>
      <c r="V312" s="11">
        <v>0</v>
      </c>
      <c r="W312" s="13">
        <v>0</v>
      </c>
      <c r="X312" s="13">
        <v>0</v>
      </c>
      <c r="Y312" s="11">
        <v>0</v>
      </c>
    </row>
    <row r="313" spans="1:25" x14ac:dyDescent="0.3">
      <c r="A313" s="10" t="s">
        <v>151</v>
      </c>
      <c r="B313" s="7">
        <v>2022</v>
      </c>
      <c r="C313" s="11">
        <v>312</v>
      </c>
      <c r="D313" s="7" t="s">
        <v>659</v>
      </c>
      <c r="E313" s="7" t="s">
        <v>82</v>
      </c>
      <c r="F313" s="7" t="s">
        <v>660</v>
      </c>
      <c r="G313" s="12" t="s">
        <v>154</v>
      </c>
      <c r="H313" s="7" t="s">
        <v>155</v>
      </c>
      <c r="I313" s="7" t="s">
        <v>155</v>
      </c>
      <c r="J313" s="7" t="s">
        <v>154</v>
      </c>
      <c r="K313" s="13">
        <v>0</v>
      </c>
      <c r="L313" s="13">
        <v>0</v>
      </c>
      <c r="M313" s="11">
        <v>0</v>
      </c>
      <c r="N313" s="13">
        <v>0</v>
      </c>
      <c r="O313" s="13">
        <v>0</v>
      </c>
      <c r="P313" s="11">
        <v>0</v>
      </c>
      <c r="Q313" s="13">
        <v>0</v>
      </c>
      <c r="R313" s="13">
        <v>0</v>
      </c>
      <c r="S313" s="11">
        <v>0</v>
      </c>
      <c r="T313" s="13">
        <v>0</v>
      </c>
      <c r="U313" s="13">
        <v>0</v>
      </c>
      <c r="V313" s="11">
        <v>0</v>
      </c>
      <c r="W313" s="13">
        <v>0</v>
      </c>
      <c r="X313" s="13">
        <v>0</v>
      </c>
      <c r="Y313" s="11">
        <v>0</v>
      </c>
    </row>
    <row r="314" spans="1:25" x14ac:dyDescent="0.3">
      <c r="A314" s="10" t="s">
        <v>151</v>
      </c>
      <c r="B314" s="7">
        <v>2022</v>
      </c>
      <c r="C314" s="11">
        <v>313</v>
      </c>
      <c r="D314" s="7" t="s">
        <v>661</v>
      </c>
      <c r="E314" s="7" t="s">
        <v>82</v>
      </c>
      <c r="F314" s="7" t="s">
        <v>662</v>
      </c>
      <c r="G314" s="12" t="s">
        <v>154</v>
      </c>
      <c r="H314" s="7" t="s">
        <v>155</v>
      </c>
      <c r="I314" s="7" t="s">
        <v>155</v>
      </c>
      <c r="J314" s="7" t="s">
        <v>154</v>
      </c>
      <c r="K314" s="13">
        <v>0</v>
      </c>
      <c r="L314" s="13">
        <v>0</v>
      </c>
      <c r="M314" s="11">
        <v>0</v>
      </c>
      <c r="N314" s="13">
        <v>0</v>
      </c>
      <c r="O314" s="13">
        <v>0</v>
      </c>
      <c r="P314" s="11">
        <v>0</v>
      </c>
      <c r="Q314" s="13">
        <v>0</v>
      </c>
      <c r="R314" s="13">
        <v>0</v>
      </c>
      <c r="S314" s="11">
        <v>0</v>
      </c>
      <c r="T314" s="13">
        <v>0</v>
      </c>
      <c r="U314" s="13">
        <v>0</v>
      </c>
      <c r="V314" s="11">
        <v>0</v>
      </c>
      <c r="W314" s="13">
        <v>0</v>
      </c>
      <c r="X314" s="13">
        <v>0</v>
      </c>
      <c r="Y314" s="11">
        <v>0</v>
      </c>
    </row>
    <row r="315" spans="1:25" x14ac:dyDescent="0.3">
      <c r="A315" s="10" t="s">
        <v>151</v>
      </c>
      <c r="B315" s="7">
        <v>2022</v>
      </c>
      <c r="C315" s="11">
        <v>314</v>
      </c>
      <c r="D315" s="7" t="s">
        <v>663</v>
      </c>
      <c r="E315" s="7" t="s">
        <v>82</v>
      </c>
      <c r="F315" s="7" t="s">
        <v>664</v>
      </c>
      <c r="G315" s="12" t="s">
        <v>154</v>
      </c>
      <c r="H315" s="7" t="s">
        <v>155</v>
      </c>
      <c r="I315" s="7" t="s">
        <v>155</v>
      </c>
      <c r="J315" s="7" t="s">
        <v>154</v>
      </c>
      <c r="K315" s="13">
        <v>0</v>
      </c>
      <c r="L315" s="13">
        <v>0</v>
      </c>
      <c r="M315" s="11">
        <v>0</v>
      </c>
      <c r="N315" s="13">
        <v>0</v>
      </c>
      <c r="O315" s="13">
        <v>0</v>
      </c>
      <c r="P315" s="11">
        <v>0</v>
      </c>
      <c r="Q315" s="13">
        <v>0</v>
      </c>
      <c r="R315" s="13">
        <v>0</v>
      </c>
      <c r="S315" s="11">
        <v>0</v>
      </c>
      <c r="T315" s="13">
        <v>0</v>
      </c>
      <c r="U315" s="13">
        <v>0</v>
      </c>
      <c r="V315" s="11">
        <v>0</v>
      </c>
      <c r="W315" s="13">
        <v>0</v>
      </c>
      <c r="X315" s="13">
        <v>0</v>
      </c>
      <c r="Y315" s="11">
        <v>0</v>
      </c>
    </row>
    <row r="316" spans="1:25" x14ac:dyDescent="0.3">
      <c r="A316" s="10" t="s">
        <v>151</v>
      </c>
      <c r="B316" s="7">
        <v>2022</v>
      </c>
      <c r="C316" s="11">
        <v>315</v>
      </c>
      <c r="D316" s="7" t="s">
        <v>665</v>
      </c>
      <c r="E316" s="7" t="s">
        <v>82</v>
      </c>
      <c r="F316" s="7" t="s">
        <v>666</v>
      </c>
      <c r="G316" s="12" t="s">
        <v>154</v>
      </c>
      <c r="H316" s="7" t="s">
        <v>155</v>
      </c>
      <c r="I316" s="7" t="s">
        <v>155</v>
      </c>
      <c r="J316" s="7" t="s">
        <v>154</v>
      </c>
      <c r="K316" s="13">
        <v>0</v>
      </c>
      <c r="L316" s="13">
        <v>0</v>
      </c>
      <c r="M316" s="11">
        <v>0</v>
      </c>
      <c r="N316" s="13">
        <v>0</v>
      </c>
      <c r="O316" s="13">
        <v>0</v>
      </c>
      <c r="P316" s="11">
        <v>0</v>
      </c>
      <c r="Q316" s="13">
        <v>0</v>
      </c>
      <c r="R316" s="13">
        <v>0</v>
      </c>
      <c r="S316" s="11">
        <v>0</v>
      </c>
      <c r="T316" s="13">
        <v>0</v>
      </c>
      <c r="U316" s="13">
        <v>0</v>
      </c>
      <c r="V316" s="11">
        <v>0</v>
      </c>
      <c r="W316" s="13">
        <v>0</v>
      </c>
      <c r="X316" s="13">
        <v>0</v>
      </c>
      <c r="Y316" s="11">
        <v>0</v>
      </c>
    </row>
    <row r="317" spans="1:25" x14ac:dyDescent="0.3">
      <c r="A317" s="10" t="s">
        <v>151</v>
      </c>
      <c r="B317" s="7">
        <v>2022</v>
      </c>
      <c r="C317" s="11">
        <v>316</v>
      </c>
      <c r="D317" s="7" t="s">
        <v>667</v>
      </c>
      <c r="E317" s="7" t="s">
        <v>82</v>
      </c>
      <c r="F317" s="7" t="s">
        <v>154</v>
      </c>
      <c r="G317" s="14" t="s">
        <v>668</v>
      </c>
      <c r="H317" s="7" t="s">
        <v>155</v>
      </c>
      <c r="I317" s="7" t="s">
        <v>155</v>
      </c>
      <c r="J317" s="7" t="s">
        <v>154</v>
      </c>
      <c r="K317" s="13">
        <v>0</v>
      </c>
      <c r="L317" s="13">
        <v>0</v>
      </c>
      <c r="M317" s="11">
        <v>0</v>
      </c>
      <c r="N317" s="13">
        <v>0</v>
      </c>
      <c r="O317" s="13">
        <v>0</v>
      </c>
      <c r="P317" s="11">
        <v>0</v>
      </c>
      <c r="Q317" s="13">
        <v>0</v>
      </c>
      <c r="R317" s="13">
        <v>0</v>
      </c>
      <c r="S317" s="11">
        <v>0</v>
      </c>
      <c r="T317" s="13">
        <v>0</v>
      </c>
      <c r="U317" s="13">
        <v>0</v>
      </c>
      <c r="V317" s="11">
        <v>0</v>
      </c>
      <c r="W317" s="13">
        <v>0</v>
      </c>
      <c r="X317" s="13">
        <v>0</v>
      </c>
      <c r="Y317" s="11">
        <v>0</v>
      </c>
    </row>
    <row r="318" spans="1:25" x14ac:dyDescent="0.3">
      <c r="A318" s="10" t="s">
        <v>151</v>
      </c>
      <c r="B318" s="7">
        <v>2022</v>
      </c>
      <c r="C318" s="11">
        <v>317</v>
      </c>
      <c r="D318" s="7" t="s">
        <v>669</v>
      </c>
      <c r="E318" s="7" t="s">
        <v>82</v>
      </c>
      <c r="F318" s="7" t="s">
        <v>670</v>
      </c>
      <c r="G318" s="12" t="s">
        <v>154</v>
      </c>
      <c r="H318" s="7" t="s">
        <v>155</v>
      </c>
      <c r="I318" s="7" t="s">
        <v>155</v>
      </c>
      <c r="J318" s="7" t="s">
        <v>154</v>
      </c>
      <c r="K318" s="13">
        <v>0</v>
      </c>
      <c r="L318" s="13">
        <v>0</v>
      </c>
      <c r="M318" s="11">
        <v>0</v>
      </c>
      <c r="N318" s="13">
        <v>0</v>
      </c>
      <c r="O318" s="13">
        <v>0</v>
      </c>
      <c r="P318" s="11">
        <v>0</v>
      </c>
      <c r="Q318" s="13">
        <v>0</v>
      </c>
      <c r="R318" s="13">
        <v>0</v>
      </c>
      <c r="S318" s="11">
        <v>0</v>
      </c>
      <c r="T318" s="13">
        <v>0</v>
      </c>
      <c r="U318" s="13">
        <v>0</v>
      </c>
      <c r="V318" s="11">
        <v>0</v>
      </c>
      <c r="W318" s="13">
        <v>0</v>
      </c>
      <c r="X318" s="13">
        <v>0</v>
      </c>
      <c r="Y318" s="11">
        <v>0</v>
      </c>
    </row>
    <row r="319" spans="1:25" x14ac:dyDescent="0.3">
      <c r="A319" s="10" t="s">
        <v>151</v>
      </c>
      <c r="B319" s="7">
        <v>2022</v>
      </c>
      <c r="C319" s="11">
        <v>318</v>
      </c>
      <c r="D319" s="7" t="s">
        <v>671</v>
      </c>
      <c r="E319" s="7" t="s">
        <v>82</v>
      </c>
      <c r="F319" s="7" t="s">
        <v>672</v>
      </c>
      <c r="G319" s="12" t="s">
        <v>154</v>
      </c>
      <c r="H319" s="7" t="s">
        <v>155</v>
      </c>
      <c r="I319" s="7" t="s">
        <v>155</v>
      </c>
      <c r="J319" s="7" t="s">
        <v>154</v>
      </c>
      <c r="K319" s="13">
        <v>0</v>
      </c>
      <c r="L319" s="13">
        <v>0</v>
      </c>
      <c r="M319" s="11">
        <v>0</v>
      </c>
      <c r="N319" s="13">
        <v>0</v>
      </c>
      <c r="O319" s="13">
        <v>0</v>
      </c>
      <c r="P319" s="11">
        <v>0</v>
      </c>
      <c r="Q319" s="13">
        <v>0</v>
      </c>
      <c r="R319" s="13">
        <v>0</v>
      </c>
      <c r="S319" s="11">
        <v>0</v>
      </c>
      <c r="T319" s="13">
        <v>0</v>
      </c>
      <c r="U319" s="13">
        <v>0</v>
      </c>
      <c r="V319" s="11">
        <v>0</v>
      </c>
      <c r="W319" s="13">
        <v>0</v>
      </c>
      <c r="X319" s="13">
        <v>0</v>
      </c>
      <c r="Y319" s="11">
        <v>0</v>
      </c>
    </row>
    <row r="320" spans="1:25" x14ac:dyDescent="0.3">
      <c r="A320" s="10" t="s">
        <v>151</v>
      </c>
      <c r="B320" s="7">
        <v>2022</v>
      </c>
      <c r="C320" s="11">
        <v>319</v>
      </c>
      <c r="D320" s="7" t="s">
        <v>673</v>
      </c>
      <c r="E320" s="7" t="s">
        <v>82</v>
      </c>
      <c r="F320" s="7" t="s">
        <v>154</v>
      </c>
      <c r="G320" s="14" t="s">
        <v>674</v>
      </c>
      <c r="H320" s="7" t="s">
        <v>155</v>
      </c>
      <c r="I320" s="7" t="s">
        <v>155</v>
      </c>
      <c r="J320" s="7" t="s">
        <v>154</v>
      </c>
      <c r="K320" s="13">
        <v>0</v>
      </c>
      <c r="L320" s="13">
        <v>0</v>
      </c>
      <c r="M320" s="11">
        <v>0</v>
      </c>
      <c r="N320" s="13">
        <v>0</v>
      </c>
      <c r="O320" s="13">
        <v>0</v>
      </c>
      <c r="P320" s="11">
        <v>0</v>
      </c>
      <c r="Q320" s="13">
        <v>0</v>
      </c>
      <c r="R320" s="13">
        <v>0</v>
      </c>
      <c r="S320" s="11">
        <v>0</v>
      </c>
      <c r="T320" s="13">
        <v>0</v>
      </c>
      <c r="U320" s="13">
        <v>0</v>
      </c>
      <c r="V320" s="11">
        <v>0</v>
      </c>
      <c r="W320" s="13">
        <v>0</v>
      </c>
      <c r="X320" s="13">
        <v>0</v>
      </c>
      <c r="Y320" s="11">
        <v>0</v>
      </c>
    </row>
    <row r="321" spans="1:25" x14ac:dyDescent="0.3">
      <c r="A321" s="10" t="s">
        <v>151</v>
      </c>
      <c r="B321" s="7">
        <v>2022</v>
      </c>
      <c r="C321" s="11">
        <v>320</v>
      </c>
      <c r="D321" s="7" t="s">
        <v>675</v>
      </c>
      <c r="E321" s="7" t="s">
        <v>82</v>
      </c>
      <c r="F321" s="7" t="s">
        <v>676</v>
      </c>
      <c r="G321" s="12" t="s">
        <v>154</v>
      </c>
      <c r="H321" s="7" t="s">
        <v>155</v>
      </c>
      <c r="I321" s="7" t="s">
        <v>155</v>
      </c>
      <c r="J321" s="7" t="s">
        <v>154</v>
      </c>
      <c r="K321" s="13">
        <v>0</v>
      </c>
      <c r="L321" s="13">
        <v>0</v>
      </c>
      <c r="M321" s="11">
        <v>0</v>
      </c>
      <c r="N321" s="13">
        <v>0</v>
      </c>
      <c r="O321" s="13">
        <v>0</v>
      </c>
      <c r="P321" s="11">
        <v>0</v>
      </c>
      <c r="Q321" s="13">
        <v>0</v>
      </c>
      <c r="R321" s="13">
        <v>0</v>
      </c>
      <c r="S321" s="11">
        <v>0</v>
      </c>
      <c r="T321" s="13">
        <v>0</v>
      </c>
      <c r="U321" s="13">
        <v>0</v>
      </c>
      <c r="V321" s="11">
        <v>0</v>
      </c>
      <c r="W321" s="13">
        <v>0</v>
      </c>
      <c r="X321" s="13">
        <v>0</v>
      </c>
      <c r="Y321" s="11">
        <v>0</v>
      </c>
    </row>
    <row r="322" spans="1:25" x14ac:dyDescent="0.3">
      <c r="A322" s="10" t="s">
        <v>151</v>
      </c>
      <c r="B322" s="7">
        <v>2022</v>
      </c>
      <c r="C322" s="11">
        <v>321</v>
      </c>
      <c r="D322" s="7" t="s">
        <v>677</v>
      </c>
      <c r="E322" s="7" t="s">
        <v>82</v>
      </c>
      <c r="F322" s="7" t="s">
        <v>678</v>
      </c>
      <c r="G322" s="12" t="s">
        <v>154</v>
      </c>
      <c r="H322" s="7" t="s">
        <v>155</v>
      </c>
      <c r="I322" s="7" t="s">
        <v>155</v>
      </c>
      <c r="J322" s="7" t="s">
        <v>154</v>
      </c>
      <c r="K322" s="13">
        <v>0</v>
      </c>
      <c r="L322" s="13">
        <v>0</v>
      </c>
      <c r="M322" s="11">
        <v>0</v>
      </c>
      <c r="N322" s="13">
        <v>0</v>
      </c>
      <c r="O322" s="13">
        <v>0</v>
      </c>
      <c r="P322" s="11">
        <v>0</v>
      </c>
      <c r="Q322" s="13">
        <v>0</v>
      </c>
      <c r="R322" s="13">
        <v>0</v>
      </c>
      <c r="S322" s="11">
        <v>0</v>
      </c>
      <c r="T322" s="13">
        <v>0</v>
      </c>
      <c r="U322" s="13">
        <v>0</v>
      </c>
      <c r="V322" s="11">
        <v>0</v>
      </c>
      <c r="W322" s="13">
        <v>0</v>
      </c>
      <c r="X322" s="13">
        <v>0</v>
      </c>
      <c r="Y322" s="11">
        <v>0</v>
      </c>
    </row>
    <row r="323" spans="1:25" x14ac:dyDescent="0.3">
      <c r="A323" s="10" t="s">
        <v>151</v>
      </c>
      <c r="B323" s="7">
        <v>2022</v>
      </c>
      <c r="C323" s="11">
        <v>322</v>
      </c>
      <c r="D323" s="7" t="s">
        <v>679</v>
      </c>
      <c r="E323" s="7" t="s">
        <v>82</v>
      </c>
      <c r="F323" s="7" t="s">
        <v>680</v>
      </c>
      <c r="G323" s="12" t="s">
        <v>154</v>
      </c>
      <c r="H323" s="7" t="s">
        <v>155</v>
      </c>
      <c r="I323" s="7" t="s">
        <v>155</v>
      </c>
      <c r="J323" s="7" t="s">
        <v>154</v>
      </c>
      <c r="K323" s="13">
        <v>0</v>
      </c>
      <c r="L323" s="13">
        <v>0</v>
      </c>
      <c r="M323" s="11">
        <v>0</v>
      </c>
      <c r="N323" s="13">
        <v>0</v>
      </c>
      <c r="O323" s="13">
        <v>0</v>
      </c>
      <c r="P323" s="11">
        <v>0</v>
      </c>
      <c r="Q323" s="13">
        <v>0</v>
      </c>
      <c r="R323" s="13">
        <v>0</v>
      </c>
      <c r="S323" s="11">
        <v>0</v>
      </c>
      <c r="T323" s="13">
        <v>0</v>
      </c>
      <c r="U323" s="13">
        <v>0</v>
      </c>
      <c r="V323" s="11">
        <v>0</v>
      </c>
      <c r="W323" s="13">
        <v>0</v>
      </c>
      <c r="X323" s="13">
        <v>0</v>
      </c>
      <c r="Y323" s="11">
        <v>0</v>
      </c>
    </row>
    <row r="324" spans="1:25" x14ac:dyDescent="0.3">
      <c r="A324" s="10" t="s">
        <v>151</v>
      </c>
      <c r="B324" s="7">
        <v>2022</v>
      </c>
      <c r="C324" s="11">
        <v>323</v>
      </c>
      <c r="D324" s="7" t="s">
        <v>681</v>
      </c>
      <c r="E324" s="7" t="s">
        <v>82</v>
      </c>
      <c r="F324" s="7" t="s">
        <v>682</v>
      </c>
      <c r="G324" s="12" t="s">
        <v>154</v>
      </c>
      <c r="H324" s="7" t="s">
        <v>155</v>
      </c>
      <c r="I324" s="7" t="s">
        <v>155</v>
      </c>
      <c r="J324" s="7" t="s">
        <v>154</v>
      </c>
      <c r="K324" s="13">
        <v>0</v>
      </c>
      <c r="L324" s="13">
        <v>0</v>
      </c>
      <c r="M324" s="11">
        <v>0</v>
      </c>
      <c r="N324" s="13">
        <v>0</v>
      </c>
      <c r="O324" s="13">
        <v>0</v>
      </c>
      <c r="P324" s="11">
        <v>0</v>
      </c>
      <c r="Q324" s="13">
        <v>0</v>
      </c>
      <c r="R324" s="13">
        <v>0</v>
      </c>
      <c r="S324" s="11">
        <v>0</v>
      </c>
      <c r="T324" s="13">
        <v>0</v>
      </c>
      <c r="U324" s="13">
        <v>0</v>
      </c>
      <c r="V324" s="11">
        <v>0</v>
      </c>
      <c r="W324" s="13">
        <v>0</v>
      </c>
      <c r="X324" s="13">
        <v>0</v>
      </c>
      <c r="Y324" s="11">
        <v>0</v>
      </c>
    </row>
    <row r="325" spans="1:25" x14ac:dyDescent="0.3">
      <c r="A325" s="10" t="s">
        <v>151</v>
      </c>
      <c r="B325" s="7">
        <v>2022</v>
      </c>
      <c r="C325" s="11">
        <v>324</v>
      </c>
      <c r="D325" s="7" t="s">
        <v>683</v>
      </c>
      <c r="E325" s="7" t="s">
        <v>82</v>
      </c>
      <c r="F325" s="7" t="s">
        <v>684</v>
      </c>
      <c r="G325" s="12" t="s">
        <v>154</v>
      </c>
      <c r="H325" s="7" t="s">
        <v>155</v>
      </c>
      <c r="I325" s="7" t="s">
        <v>155</v>
      </c>
      <c r="J325" s="7" t="s">
        <v>154</v>
      </c>
      <c r="K325" s="13">
        <v>0</v>
      </c>
      <c r="L325" s="13">
        <v>0</v>
      </c>
      <c r="M325" s="11">
        <v>0</v>
      </c>
      <c r="N325" s="13">
        <v>0</v>
      </c>
      <c r="O325" s="13">
        <v>0</v>
      </c>
      <c r="P325" s="11">
        <v>0</v>
      </c>
      <c r="Q325" s="13">
        <v>0</v>
      </c>
      <c r="R325" s="13">
        <v>0</v>
      </c>
      <c r="S325" s="11">
        <v>0</v>
      </c>
      <c r="T325" s="13">
        <v>0</v>
      </c>
      <c r="U325" s="13">
        <v>0</v>
      </c>
      <c r="V325" s="11">
        <v>0</v>
      </c>
      <c r="W325" s="13">
        <v>0</v>
      </c>
      <c r="X325" s="13">
        <v>0</v>
      </c>
      <c r="Y325" s="11">
        <v>0</v>
      </c>
    </row>
    <row r="326" spans="1:25" x14ac:dyDescent="0.3">
      <c r="A326" s="10" t="s">
        <v>151</v>
      </c>
      <c r="B326" s="7">
        <v>2022</v>
      </c>
      <c r="C326" s="11">
        <v>325</v>
      </c>
      <c r="D326" s="7" t="s">
        <v>685</v>
      </c>
      <c r="E326" s="7" t="s">
        <v>82</v>
      </c>
      <c r="F326" s="7" t="s">
        <v>686</v>
      </c>
      <c r="G326" s="12" t="s">
        <v>154</v>
      </c>
      <c r="H326" s="7" t="s">
        <v>155</v>
      </c>
      <c r="I326" s="7" t="s">
        <v>155</v>
      </c>
      <c r="J326" s="7" t="s">
        <v>154</v>
      </c>
      <c r="K326" s="13">
        <v>0</v>
      </c>
      <c r="L326" s="13">
        <v>0</v>
      </c>
      <c r="M326" s="11">
        <v>0</v>
      </c>
      <c r="N326" s="13">
        <v>0</v>
      </c>
      <c r="O326" s="13">
        <v>0</v>
      </c>
      <c r="P326" s="11">
        <v>0</v>
      </c>
      <c r="Q326" s="13">
        <v>0</v>
      </c>
      <c r="R326" s="13">
        <v>0</v>
      </c>
      <c r="S326" s="11">
        <v>0</v>
      </c>
      <c r="T326" s="13">
        <v>0</v>
      </c>
      <c r="U326" s="13">
        <v>0</v>
      </c>
      <c r="V326" s="11">
        <v>0</v>
      </c>
      <c r="W326" s="13">
        <v>0</v>
      </c>
      <c r="X326" s="13">
        <v>0</v>
      </c>
      <c r="Y326" s="11">
        <v>0</v>
      </c>
    </row>
    <row r="327" spans="1:25" x14ac:dyDescent="0.3">
      <c r="A327" s="10" t="s">
        <v>151</v>
      </c>
      <c r="B327" s="7">
        <v>2022</v>
      </c>
      <c r="C327" s="11">
        <v>326</v>
      </c>
      <c r="D327" s="7" t="s">
        <v>687</v>
      </c>
      <c r="E327" s="7" t="s">
        <v>82</v>
      </c>
      <c r="F327" s="7" t="s">
        <v>688</v>
      </c>
      <c r="G327" s="12" t="s">
        <v>154</v>
      </c>
      <c r="H327" s="7" t="s">
        <v>155</v>
      </c>
      <c r="I327" s="7" t="s">
        <v>155</v>
      </c>
      <c r="J327" s="7" t="s">
        <v>154</v>
      </c>
      <c r="K327" s="13">
        <v>0</v>
      </c>
      <c r="L327" s="13">
        <v>0</v>
      </c>
      <c r="M327" s="11">
        <v>0</v>
      </c>
      <c r="N327" s="13">
        <v>0</v>
      </c>
      <c r="O327" s="13">
        <v>0</v>
      </c>
      <c r="P327" s="11">
        <v>0</v>
      </c>
      <c r="Q327" s="13">
        <v>0</v>
      </c>
      <c r="R327" s="13">
        <v>0</v>
      </c>
      <c r="S327" s="11">
        <v>0</v>
      </c>
      <c r="T327" s="13">
        <v>0</v>
      </c>
      <c r="U327" s="13">
        <v>0</v>
      </c>
      <c r="V327" s="11">
        <v>0</v>
      </c>
      <c r="W327" s="13">
        <v>0</v>
      </c>
      <c r="X327" s="13">
        <v>0</v>
      </c>
      <c r="Y327" s="11">
        <v>0</v>
      </c>
    </row>
    <row r="328" spans="1:25" x14ac:dyDescent="0.3">
      <c r="A328" s="10" t="s">
        <v>151</v>
      </c>
      <c r="B328" s="7">
        <v>2022</v>
      </c>
      <c r="C328" s="11">
        <v>327</v>
      </c>
      <c r="D328" s="7" t="s">
        <v>689</v>
      </c>
      <c r="E328" s="7" t="s">
        <v>82</v>
      </c>
      <c r="F328" s="7" t="s">
        <v>690</v>
      </c>
      <c r="G328" s="12" t="s">
        <v>154</v>
      </c>
      <c r="H328" s="7" t="s">
        <v>155</v>
      </c>
      <c r="I328" s="7" t="s">
        <v>155</v>
      </c>
      <c r="J328" s="7" t="s">
        <v>154</v>
      </c>
      <c r="K328" s="13">
        <v>0</v>
      </c>
      <c r="L328" s="13">
        <v>0</v>
      </c>
      <c r="M328" s="11">
        <v>0</v>
      </c>
      <c r="N328" s="13">
        <v>0</v>
      </c>
      <c r="O328" s="13">
        <v>0</v>
      </c>
      <c r="P328" s="11">
        <v>0</v>
      </c>
      <c r="Q328" s="13">
        <v>0</v>
      </c>
      <c r="R328" s="13">
        <v>0</v>
      </c>
      <c r="S328" s="11">
        <v>0</v>
      </c>
      <c r="T328" s="13">
        <v>0</v>
      </c>
      <c r="U328" s="13">
        <v>0</v>
      </c>
      <c r="V328" s="11">
        <v>0</v>
      </c>
      <c r="W328" s="13">
        <v>0</v>
      </c>
      <c r="X328" s="13">
        <v>0</v>
      </c>
      <c r="Y328" s="11">
        <v>0</v>
      </c>
    </row>
    <row r="329" spans="1:25" x14ac:dyDescent="0.3">
      <c r="A329" s="10" t="s">
        <v>151</v>
      </c>
      <c r="B329" s="7">
        <v>2022</v>
      </c>
      <c r="C329" s="11">
        <v>328</v>
      </c>
      <c r="D329" s="7" t="s">
        <v>691</v>
      </c>
      <c r="E329" s="7" t="s">
        <v>82</v>
      </c>
      <c r="F329" s="7" t="s">
        <v>154</v>
      </c>
      <c r="G329" s="14" t="s">
        <v>692</v>
      </c>
      <c r="H329" s="7" t="s">
        <v>155</v>
      </c>
      <c r="I329" s="7" t="s">
        <v>155</v>
      </c>
      <c r="J329" s="7" t="s">
        <v>154</v>
      </c>
      <c r="K329" s="13">
        <v>0</v>
      </c>
      <c r="L329" s="13">
        <v>0</v>
      </c>
      <c r="M329" s="11">
        <v>0</v>
      </c>
      <c r="N329" s="13">
        <v>0</v>
      </c>
      <c r="O329" s="13">
        <v>0</v>
      </c>
      <c r="P329" s="11">
        <v>0</v>
      </c>
      <c r="Q329" s="13">
        <v>0</v>
      </c>
      <c r="R329" s="13">
        <v>0</v>
      </c>
      <c r="S329" s="11">
        <v>0</v>
      </c>
      <c r="T329" s="13">
        <v>0</v>
      </c>
      <c r="U329" s="13">
        <v>0</v>
      </c>
      <c r="V329" s="11">
        <v>0</v>
      </c>
      <c r="W329" s="13">
        <v>0</v>
      </c>
      <c r="X329" s="13">
        <v>0</v>
      </c>
      <c r="Y329" s="11">
        <v>0</v>
      </c>
    </row>
    <row r="330" spans="1:25" x14ac:dyDescent="0.3">
      <c r="A330" s="10" t="s">
        <v>151</v>
      </c>
      <c r="B330" s="7">
        <v>2022</v>
      </c>
      <c r="C330" s="11">
        <v>329</v>
      </c>
      <c r="D330" s="7" t="s">
        <v>693</v>
      </c>
      <c r="E330" s="7" t="s">
        <v>82</v>
      </c>
      <c r="F330" s="7" t="s">
        <v>694</v>
      </c>
      <c r="G330" s="12" t="s">
        <v>154</v>
      </c>
      <c r="H330" s="7" t="s">
        <v>155</v>
      </c>
      <c r="I330" s="7" t="s">
        <v>155</v>
      </c>
      <c r="J330" s="7" t="s">
        <v>154</v>
      </c>
      <c r="K330" s="13">
        <v>0</v>
      </c>
      <c r="L330" s="13">
        <v>0</v>
      </c>
      <c r="M330" s="11">
        <v>0</v>
      </c>
      <c r="N330" s="13">
        <v>0</v>
      </c>
      <c r="O330" s="13">
        <v>0</v>
      </c>
      <c r="P330" s="11">
        <v>0</v>
      </c>
      <c r="Q330" s="13">
        <v>0</v>
      </c>
      <c r="R330" s="13">
        <v>0</v>
      </c>
      <c r="S330" s="11">
        <v>0</v>
      </c>
      <c r="T330" s="13">
        <v>0</v>
      </c>
      <c r="U330" s="13">
        <v>0</v>
      </c>
      <c r="V330" s="11">
        <v>0</v>
      </c>
      <c r="W330" s="13">
        <v>0</v>
      </c>
      <c r="X330" s="13">
        <v>0</v>
      </c>
      <c r="Y330" s="11">
        <v>0</v>
      </c>
    </row>
    <row r="331" spans="1:25" x14ac:dyDescent="0.3">
      <c r="A331" s="10" t="s">
        <v>151</v>
      </c>
      <c r="B331" s="7">
        <v>2022</v>
      </c>
      <c r="C331" s="11">
        <v>330</v>
      </c>
      <c r="D331" s="7" t="s">
        <v>695</v>
      </c>
      <c r="E331" s="7" t="s">
        <v>82</v>
      </c>
      <c r="F331" s="7" t="s">
        <v>694</v>
      </c>
      <c r="G331" s="12" t="s">
        <v>154</v>
      </c>
      <c r="H331" s="7" t="s">
        <v>155</v>
      </c>
      <c r="I331" s="7" t="s">
        <v>155</v>
      </c>
      <c r="J331" s="7" t="s">
        <v>154</v>
      </c>
      <c r="K331" s="13">
        <v>0</v>
      </c>
      <c r="L331" s="13">
        <v>0</v>
      </c>
      <c r="M331" s="11">
        <v>0</v>
      </c>
      <c r="N331" s="13">
        <v>0</v>
      </c>
      <c r="O331" s="13">
        <v>0</v>
      </c>
      <c r="P331" s="11">
        <v>0</v>
      </c>
      <c r="Q331" s="13">
        <v>0</v>
      </c>
      <c r="R331" s="13">
        <v>0</v>
      </c>
      <c r="S331" s="11">
        <v>0</v>
      </c>
      <c r="T331" s="13">
        <v>0</v>
      </c>
      <c r="U331" s="13">
        <v>0</v>
      </c>
      <c r="V331" s="11">
        <v>0</v>
      </c>
      <c r="W331" s="13">
        <v>0</v>
      </c>
      <c r="X331" s="13">
        <v>0</v>
      </c>
      <c r="Y331" s="11">
        <v>0</v>
      </c>
    </row>
    <row r="332" spans="1:25" x14ac:dyDescent="0.3">
      <c r="A332" s="10" t="s">
        <v>151</v>
      </c>
      <c r="B332" s="7">
        <v>2022</v>
      </c>
      <c r="C332" s="11">
        <v>331</v>
      </c>
      <c r="D332" s="7" t="s">
        <v>696</v>
      </c>
      <c r="E332" s="7" t="s">
        <v>82</v>
      </c>
      <c r="F332" s="7" t="s">
        <v>154</v>
      </c>
      <c r="G332" s="14" t="s">
        <v>697</v>
      </c>
      <c r="H332" s="7" t="s">
        <v>155</v>
      </c>
      <c r="I332" s="7" t="s">
        <v>155</v>
      </c>
      <c r="J332" s="7" t="s">
        <v>154</v>
      </c>
      <c r="K332" s="13">
        <v>0</v>
      </c>
      <c r="L332" s="13">
        <v>0</v>
      </c>
      <c r="M332" s="11">
        <v>0</v>
      </c>
      <c r="N332" s="13">
        <v>0</v>
      </c>
      <c r="O332" s="13">
        <v>0</v>
      </c>
      <c r="P332" s="11">
        <v>0</v>
      </c>
      <c r="Q332" s="13">
        <v>0</v>
      </c>
      <c r="R332" s="13">
        <v>0</v>
      </c>
      <c r="S332" s="11">
        <v>0</v>
      </c>
      <c r="T332" s="13">
        <v>0</v>
      </c>
      <c r="U332" s="13">
        <v>0</v>
      </c>
      <c r="V332" s="11">
        <v>0</v>
      </c>
      <c r="W332" s="13">
        <v>0</v>
      </c>
      <c r="X332" s="13">
        <v>0</v>
      </c>
      <c r="Y332" s="11">
        <v>0</v>
      </c>
    </row>
    <row r="333" spans="1:25" x14ac:dyDescent="0.3">
      <c r="A333" s="10" t="s">
        <v>151</v>
      </c>
      <c r="B333" s="7">
        <v>2022</v>
      </c>
      <c r="C333" s="11">
        <v>332</v>
      </c>
      <c r="D333" s="7" t="s">
        <v>698</v>
      </c>
      <c r="E333" s="7" t="s">
        <v>82</v>
      </c>
      <c r="F333" s="7" t="s">
        <v>699</v>
      </c>
      <c r="G333" s="12" t="s">
        <v>154</v>
      </c>
      <c r="H333" s="7" t="s">
        <v>155</v>
      </c>
      <c r="I333" s="7" t="s">
        <v>155</v>
      </c>
      <c r="J333" s="7" t="s">
        <v>154</v>
      </c>
      <c r="K333" s="13">
        <v>0</v>
      </c>
      <c r="L333" s="13">
        <v>0</v>
      </c>
      <c r="M333" s="11">
        <v>0</v>
      </c>
      <c r="N333" s="13">
        <v>0</v>
      </c>
      <c r="O333" s="13">
        <v>0</v>
      </c>
      <c r="P333" s="11">
        <v>0</v>
      </c>
      <c r="Q333" s="13">
        <v>0</v>
      </c>
      <c r="R333" s="13">
        <v>0</v>
      </c>
      <c r="S333" s="11">
        <v>0</v>
      </c>
      <c r="T333" s="13">
        <v>0</v>
      </c>
      <c r="U333" s="13">
        <v>0</v>
      </c>
      <c r="V333" s="11">
        <v>0</v>
      </c>
      <c r="W333" s="13">
        <v>0</v>
      </c>
      <c r="X333" s="13">
        <v>0</v>
      </c>
      <c r="Y333" s="11">
        <v>0</v>
      </c>
    </row>
    <row r="334" spans="1:25" x14ac:dyDescent="0.3">
      <c r="A334" s="10" t="s">
        <v>151</v>
      </c>
      <c r="B334" s="7">
        <v>2022</v>
      </c>
      <c r="C334" s="11">
        <v>333</v>
      </c>
      <c r="D334" s="7" t="s">
        <v>700</v>
      </c>
      <c r="E334" s="7" t="s">
        <v>82</v>
      </c>
      <c r="F334" s="7" t="s">
        <v>701</v>
      </c>
      <c r="G334" s="12" t="s">
        <v>154</v>
      </c>
      <c r="H334" s="7" t="s">
        <v>155</v>
      </c>
      <c r="I334" s="7" t="s">
        <v>155</v>
      </c>
      <c r="J334" s="7" t="s">
        <v>154</v>
      </c>
      <c r="K334" s="13">
        <v>0</v>
      </c>
      <c r="L334" s="13">
        <v>0</v>
      </c>
      <c r="M334" s="11">
        <v>0</v>
      </c>
      <c r="N334" s="13">
        <v>0</v>
      </c>
      <c r="O334" s="13">
        <v>0</v>
      </c>
      <c r="P334" s="11">
        <v>0</v>
      </c>
      <c r="Q334" s="13">
        <v>0</v>
      </c>
      <c r="R334" s="13">
        <v>0</v>
      </c>
      <c r="S334" s="11">
        <v>0</v>
      </c>
      <c r="T334" s="13">
        <v>0</v>
      </c>
      <c r="U334" s="13">
        <v>0</v>
      </c>
      <c r="V334" s="11">
        <v>0</v>
      </c>
      <c r="W334" s="13">
        <v>0</v>
      </c>
      <c r="X334" s="13">
        <v>0</v>
      </c>
      <c r="Y334" s="11">
        <v>0</v>
      </c>
    </row>
    <row r="335" spans="1:25" x14ac:dyDescent="0.3">
      <c r="A335" s="10" t="s">
        <v>151</v>
      </c>
      <c r="B335" s="7">
        <v>2022</v>
      </c>
      <c r="C335" s="11">
        <v>334</v>
      </c>
      <c r="E335" s="7" t="s">
        <v>82</v>
      </c>
      <c r="G335" s="12" t="s">
        <v>154</v>
      </c>
      <c r="H335" s="7" t="s">
        <v>155</v>
      </c>
      <c r="I335" s="7" t="s">
        <v>155</v>
      </c>
      <c r="J335" s="7" t="s">
        <v>154</v>
      </c>
      <c r="K335" s="13">
        <v>0</v>
      </c>
      <c r="L335" s="13">
        <v>0</v>
      </c>
      <c r="M335" s="11">
        <v>0</v>
      </c>
      <c r="N335" s="13">
        <v>0</v>
      </c>
      <c r="O335" s="13">
        <v>0</v>
      </c>
      <c r="P335" s="11">
        <v>0</v>
      </c>
      <c r="Q335" s="13">
        <v>0</v>
      </c>
      <c r="R335" s="13">
        <v>0</v>
      </c>
      <c r="S335" s="11">
        <v>0</v>
      </c>
      <c r="T335" s="13">
        <v>0</v>
      </c>
      <c r="U335" s="13">
        <v>0</v>
      </c>
      <c r="V335" s="11">
        <v>0</v>
      </c>
      <c r="W335" s="13">
        <v>0</v>
      </c>
      <c r="X335" s="13">
        <v>0</v>
      </c>
      <c r="Y335" s="11">
        <v>0</v>
      </c>
    </row>
    <row r="336" spans="1:25" x14ac:dyDescent="0.3">
      <c r="A336" s="10" t="s">
        <v>151</v>
      </c>
      <c r="B336" s="7">
        <v>2022</v>
      </c>
      <c r="C336" s="11">
        <v>335</v>
      </c>
      <c r="D336" s="7" t="s">
        <v>702</v>
      </c>
      <c r="E336" s="7" t="s">
        <v>82</v>
      </c>
      <c r="F336" s="7" t="s">
        <v>703</v>
      </c>
      <c r="G336" s="12" t="s">
        <v>154</v>
      </c>
      <c r="H336" s="7" t="s">
        <v>155</v>
      </c>
      <c r="I336" s="7" t="s">
        <v>155</v>
      </c>
      <c r="J336" s="7" t="s">
        <v>154</v>
      </c>
      <c r="K336" s="13">
        <v>0</v>
      </c>
      <c r="L336" s="13">
        <v>0</v>
      </c>
      <c r="M336" s="11">
        <v>0</v>
      </c>
      <c r="N336" s="13">
        <v>0</v>
      </c>
      <c r="O336" s="13">
        <v>0</v>
      </c>
      <c r="P336" s="11">
        <v>0</v>
      </c>
      <c r="Q336" s="13">
        <v>0</v>
      </c>
      <c r="R336" s="13">
        <v>0</v>
      </c>
      <c r="S336" s="11">
        <v>0</v>
      </c>
      <c r="T336" s="13">
        <v>0</v>
      </c>
      <c r="U336" s="13">
        <v>0</v>
      </c>
      <c r="V336" s="11">
        <v>0</v>
      </c>
      <c r="W336" s="13">
        <v>0</v>
      </c>
      <c r="X336" s="13">
        <v>0</v>
      </c>
      <c r="Y336" s="11">
        <v>0</v>
      </c>
    </row>
    <row r="337" spans="1:25" x14ac:dyDescent="0.3">
      <c r="A337" s="10" t="s">
        <v>151</v>
      </c>
      <c r="B337" s="7">
        <v>2022</v>
      </c>
      <c r="C337" s="11">
        <v>336</v>
      </c>
      <c r="D337" s="7" t="s">
        <v>704</v>
      </c>
      <c r="E337" s="7" t="s">
        <v>82</v>
      </c>
      <c r="F337" s="7" t="s">
        <v>705</v>
      </c>
      <c r="G337" s="12" t="s">
        <v>154</v>
      </c>
      <c r="H337" s="7" t="s">
        <v>155</v>
      </c>
      <c r="I337" s="7" t="s">
        <v>155</v>
      </c>
      <c r="J337" s="7" t="s">
        <v>154</v>
      </c>
      <c r="K337" s="13">
        <v>0</v>
      </c>
      <c r="L337" s="13">
        <v>0</v>
      </c>
      <c r="M337" s="11">
        <v>0</v>
      </c>
      <c r="N337" s="13">
        <v>0</v>
      </c>
      <c r="O337" s="13">
        <v>0</v>
      </c>
      <c r="P337" s="11">
        <v>0</v>
      </c>
      <c r="Q337" s="13">
        <v>0</v>
      </c>
      <c r="R337" s="13">
        <v>0</v>
      </c>
      <c r="S337" s="11">
        <v>0</v>
      </c>
      <c r="T337" s="13">
        <v>0</v>
      </c>
      <c r="U337" s="13">
        <v>0</v>
      </c>
      <c r="V337" s="11">
        <v>0</v>
      </c>
      <c r="W337" s="13">
        <v>0</v>
      </c>
      <c r="X337" s="13">
        <v>0</v>
      </c>
      <c r="Y337" s="11">
        <v>0</v>
      </c>
    </row>
    <row r="338" spans="1:25" x14ac:dyDescent="0.3">
      <c r="A338" s="10" t="s">
        <v>151</v>
      </c>
      <c r="B338" s="7">
        <v>2022</v>
      </c>
      <c r="C338" s="11">
        <v>337</v>
      </c>
      <c r="D338" s="7" t="s">
        <v>706</v>
      </c>
      <c r="E338" s="7" t="s">
        <v>82</v>
      </c>
      <c r="F338" s="7" t="s">
        <v>707</v>
      </c>
      <c r="G338" s="12" t="s">
        <v>154</v>
      </c>
      <c r="H338" s="7" t="s">
        <v>155</v>
      </c>
      <c r="I338" s="7" t="s">
        <v>155</v>
      </c>
      <c r="J338" s="7" t="s">
        <v>154</v>
      </c>
      <c r="K338" s="13">
        <v>0</v>
      </c>
      <c r="L338" s="13">
        <v>0</v>
      </c>
      <c r="M338" s="11">
        <v>0</v>
      </c>
      <c r="N338" s="13">
        <v>0</v>
      </c>
      <c r="O338" s="13">
        <v>0</v>
      </c>
      <c r="P338" s="11">
        <v>0</v>
      </c>
      <c r="Q338" s="13">
        <v>0</v>
      </c>
      <c r="R338" s="13">
        <v>0</v>
      </c>
      <c r="S338" s="11">
        <v>0</v>
      </c>
      <c r="T338" s="13">
        <v>0</v>
      </c>
      <c r="U338" s="13">
        <v>0</v>
      </c>
      <c r="V338" s="11">
        <v>0</v>
      </c>
      <c r="W338" s="13">
        <v>0</v>
      </c>
      <c r="X338" s="13">
        <v>0</v>
      </c>
      <c r="Y338" s="11">
        <v>0</v>
      </c>
    </row>
    <row r="339" spans="1:25" x14ac:dyDescent="0.3">
      <c r="A339" s="10" t="s">
        <v>151</v>
      </c>
      <c r="B339" s="7">
        <v>2022</v>
      </c>
      <c r="C339" s="11">
        <v>338</v>
      </c>
      <c r="D339" s="7" t="s">
        <v>3448</v>
      </c>
      <c r="E339" s="7" t="s">
        <v>82</v>
      </c>
      <c r="F339" s="7" t="s">
        <v>3449</v>
      </c>
      <c r="G339" s="12" t="s">
        <v>154</v>
      </c>
      <c r="H339" s="7" t="s">
        <v>155</v>
      </c>
      <c r="I339" s="7" t="s">
        <v>155</v>
      </c>
      <c r="J339" s="7" t="s">
        <v>154</v>
      </c>
      <c r="K339" s="13">
        <v>0</v>
      </c>
      <c r="L339" s="13">
        <v>0</v>
      </c>
      <c r="M339" s="11">
        <v>0</v>
      </c>
      <c r="N339" s="13">
        <v>0</v>
      </c>
      <c r="O339" s="13">
        <v>0</v>
      </c>
      <c r="P339" s="11">
        <v>0</v>
      </c>
      <c r="Q339" s="13">
        <v>0</v>
      </c>
      <c r="R339" s="13">
        <v>0</v>
      </c>
      <c r="S339" s="11">
        <v>0</v>
      </c>
      <c r="T339" s="13">
        <v>0</v>
      </c>
      <c r="U339" s="13">
        <v>0</v>
      </c>
      <c r="V339" s="11">
        <v>0</v>
      </c>
      <c r="W339" s="13">
        <v>0</v>
      </c>
      <c r="X339" s="13">
        <v>0</v>
      </c>
      <c r="Y339" s="11">
        <v>0</v>
      </c>
    </row>
    <row r="340" spans="1:25" x14ac:dyDescent="0.3">
      <c r="A340" s="10" t="s">
        <v>151</v>
      </c>
      <c r="B340" s="7">
        <v>2022</v>
      </c>
      <c r="C340" s="11">
        <v>339</v>
      </c>
      <c r="D340" s="15" t="s">
        <v>708</v>
      </c>
      <c r="E340" s="7" t="s">
        <v>82</v>
      </c>
      <c r="F340" s="7" t="s">
        <v>709</v>
      </c>
      <c r="G340" s="12" t="s">
        <v>154</v>
      </c>
      <c r="H340" s="7" t="s">
        <v>155</v>
      </c>
      <c r="I340" s="7" t="s">
        <v>155</v>
      </c>
      <c r="J340" s="7" t="s">
        <v>154</v>
      </c>
      <c r="K340" s="13">
        <v>0</v>
      </c>
      <c r="L340" s="13">
        <v>0</v>
      </c>
      <c r="M340" s="11">
        <v>0</v>
      </c>
      <c r="N340" s="13">
        <v>0</v>
      </c>
      <c r="O340" s="13">
        <v>0</v>
      </c>
      <c r="P340" s="11">
        <v>0</v>
      </c>
      <c r="Q340" s="13">
        <v>0</v>
      </c>
      <c r="R340" s="13">
        <v>0</v>
      </c>
      <c r="S340" s="11">
        <v>0</v>
      </c>
      <c r="T340" s="13">
        <v>0</v>
      </c>
      <c r="U340" s="13">
        <v>0</v>
      </c>
      <c r="V340" s="11">
        <v>0</v>
      </c>
      <c r="W340" s="13">
        <v>0</v>
      </c>
      <c r="X340" s="13">
        <v>0</v>
      </c>
      <c r="Y340" s="11">
        <v>0</v>
      </c>
    </row>
    <row r="341" spans="1:25" x14ac:dyDescent="0.3">
      <c r="A341" s="10" t="s">
        <v>151</v>
      </c>
      <c r="B341" s="7">
        <v>2022</v>
      </c>
      <c r="C341" s="11">
        <v>340</v>
      </c>
      <c r="D341" s="7" t="s">
        <v>710</v>
      </c>
      <c r="E341" s="7" t="s">
        <v>82</v>
      </c>
      <c r="F341" s="7" t="s">
        <v>711</v>
      </c>
      <c r="G341" s="12" t="s">
        <v>154</v>
      </c>
      <c r="H341" s="7" t="s">
        <v>155</v>
      </c>
      <c r="I341" s="7" t="s">
        <v>155</v>
      </c>
      <c r="J341" s="7" t="s">
        <v>154</v>
      </c>
      <c r="K341" s="13">
        <v>0</v>
      </c>
      <c r="L341" s="13">
        <v>0</v>
      </c>
      <c r="M341" s="11">
        <v>0</v>
      </c>
      <c r="N341" s="13">
        <v>0</v>
      </c>
      <c r="O341" s="13">
        <v>0</v>
      </c>
      <c r="P341" s="11">
        <v>0</v>
      </c>
      <c r="Q341" s="13">
        <v>0</v>
      </c>
      <c r="R341" s="13">
        <v>0</v>
      </c>
      <c r="S341" s="11">
        <v>0</v>
      </c>
      <c r="T341" s="13">
        <v>0</v>
      </c>
      <c r="U341" s="13">
        <v>0</v>
      </c>
      <c r="V341" s="11">
        <v>0</v>
      </c>
      <c r="W341" s="13">
        <v>0</v>
      </c>
      <c r="X341" s="13">
        <v>0</v>
      </c>
      <c r="Y341" s="11">
        <v>0</v>
      </c>
    </row>
    <row r="342" spans="1:25" x14ac:dyDescent="0.3">
      <c r="A342" s="10" t="s">
        <v>151</v>
      </c>
      <c r="B342" s="7">
        <v>2022</v>
      </c>
      <c r="C342" s="11">
        <v>341</v>
      </c>
      <c r="D342" s="7" t="s">
        <v>712</v>
      </c>
      <c r="E342" s="7" t="s">
        <v>82</v>
      </c>
      <c r="F342" s="7" t="s">
        <v>713</v>
      </c>
      <c r="G342" s="12" t="s">
        <v>154</v>
      </c>
      <c r="H342" s="7" t="s">
        <v>155</v>
      </c>
      <c r="I342" s="7" t="s">
        <v>155</v>
      </c>
      <c r="J342" s="7" t="s">
        <v>154</v>
      </c>
      <c r="K342" s="13">
        <v>0</v>
      </c>
      <c r="L342" s="13">
        <v>0</v>
      </c>
      <c r="M342" s="11">
        <v>0</v>
      </c>
      <c r="N342" s="13">
        <v>0</v>
      </c>
      <c r="O342" s="13">
        <v>0</v>
      </c>
      <c r="P342" s="11">
        <v>0</v>
      </c>
      <c r="Q342" s="13">
        <v>0</v>
      </c>
      <c r="R342" s="13">
        <v>0</v>
      </c>
      <c r="S342" s="11">
        <v>0</v>
      </c>
      <c r="T342" s="13">
        <v>0</v>
      </c>
      <c r="U342" s="13">
        <v>0</v>
      </c>
      <c r="V342" s="11">
        <v>0</v>
      </c>
      <c r="W342" s="13">
        <v>0</v>
      </c>
      <c r="X342" s="13">
        <v>0</v>
      </c>
      <c r="Y342" s="11">
        <v>0</v>
      </c>
    </row>
    <row r="343" spans="1:25" x14ac:dyDescent="0.3">
      <c r="A343" s="10" t="s">
        <v>151</v>
      </c>
      <c r="B343" s="7">
        <v>2022</v>
      </c>
      <c r="C343" s="11">
        <v>342</v>
      </c>
      <c r="D343" s="7" t="s">
        <v>714</v>
      </c>
      <c r="E343" s="7" t="s">
        <v>82</v>
      </c>
      <c r="F343" s="7" t="s">
        <v>715</v>
      </c>
      <c r="G343" s="12" t="s">
        <v>154</v>
      </c>
      <c r="H343" s="7" t="s">
        <v>155</v>
      </c>
      <c r="I343" s="7" t="s">
        <v>155</v>
      </c>
      <c r="J343" s="7" t="s">
        <v>154</v>
      </c>
      <c r="K343" s="13">
        <v>0</v>
      </c>
      <c r="L343" s="13">
        <v>0</v>
      </c>
      <c r="M343" s="11">
        <v>0</v>
      </c>
      <c r="N343" s="13">
        <v>0</v>
      </c>
      <c r="O343" s="13">
        <v>0</v>
      </c>
      <c r="P343" s="11">
        <v>0</v>
      </c>
      <c r="Q343" s="13">
        <v>0</v>
      </c>
      <c r="R343" s="13">
        <v>0</v>
      </c>
      <c r="S343" s="11">
        <v>0</v>
      </c>
      <c r="T343" s="13">
        <v>0</v>
      </c>
      <c r="U343" s="13">
        <v>0</v>
      </c>
      <c r="V343" s="11">
        <v>0</v>
      </c>
      <c r="W343" s="13">
        <v>0</v>
      </c>
      <c r="X343" s="13">
        <v>0</v>
      </c>
      <c r="Y343" s="11">
        <v>0</v>
      </c>
    </row>
    <row r="344" spans="1:25" x14ac:dyDescent="0.3">
      <c r="A344" s="10" t="s">
        <v>151</v>
      </c>
      <c r="B344" s="7">
        <v>2022</v>
      </c>
      <c r="C344" s="11">
        <v>343</v>
      </c>
      <c r="D344" s="7" t="s">
        <v>716</v>
      </c>
      <c r="E344" s="7" t="s">
        <v>82</v>
      </c>
      <c r="F344" s="7" t="s">
        <v>717</v>
      </c>
      <c r="G344" s="12" t="s">
        <v>154</v>
      </c>
      <c r="H344" s="7" t="s">
        <v>155</v>
      </c>
      <c r="I344" s="7" t="s">
        <v>155</v>
      </c>
      <c r="J344" s="7" t="s">
        <v>154</v>
      </c>
      <c r="K344" s="13">
        <v>0</v>
      </c>
      <c r="L344" s="13">
        <v>0</v>
      </c>
      <c r="M344" s="11">
        <v>0</v>
      </c>
      <c r="N344" s="13">
        <v>0</v>
      </c>
      <c r="O344" s="13">
        <v>0</v>
      </c>
      <c r="P344" s="11">
        <v>0</v>
      </c>
      <c r="Q344" s="13">
        <v>0</v>
      </c>
      <c r="R344" s="13">
        <v>0</v>
      </c>
      <c r="S344" s="11">
        <v>0</v>
      </c>
      <c r="T344" s="13">
        <v>0</v>
      </c>
      <c r="U344" s="13">
        <v>0</v>
      </c>
      <c r="V344" s="11">
        <v>0</v>
      </c>
      <c r="W344" s="13">
        <v>0</v>
      </c>
      <c r="X344" s="13">
        <v>0</v>
      </c>
      <c r="Y344" s="11">
        <v>0</v>
      </c>
    </row>
    <row r="345" spans="1:25" x14ac:dyDescent="0.3">
      <c r="A345" s="10" t="s">
        <v>151</v>
      </c>
      <c r="B345" s="7">
        <v>2022</v>
      </c>
      <c r="C345" s="11">
        <v>344</v>
      </c>
      <c r="D345" s="7" t="s">
        <v>718</v>
      </c>
      <c r="E345" s="7" t="s">
        <v>82</v>
      </c>
      <c r="F345" s="7" t="s">
        <v>719</v>
      </c>
      <c r="G345" s="12" t="s">
        <v>154</v>
      </c>
      <c r="H345" s="7" t="s">
        <v>155</v>
      </c>
      <c r="I345" s="7" t="s">
        <v>155</v>
      </c>
      <c r="J345" s="7" t="s">
        <v>154</v>
      </c>
      <c r="K345" s="13">
        <v>0</v>
      </c>
      <c r="L345" s="13">
        <v>0</v>
      </c>
      <c r="M345" s="11">
        <v>0</v>
      </c>
      <c r="N345" s="13">
        <v>0</v>
      </c>
      <c r="O345" s="13">
        <v>0</v>
      </c>
      <c r="P345" s="11">
        <v>0</v>
      </c>
      <c r="Q345" s="13">
        <v>0</v>
      </c>
      <c r="R345" s="13">
        <v>0</v>
      </c>
      <c r="S345" s="11">
        <v>0</v>
      </c>
      <c r="T345" s="13">
        <v>0</v>
      </c>
      <c r="U345" s="13">
        <v>0</v>
      </c>
      <c r="V345" s="11">
        <v>0</v>
      </c>
      <c r="W345" s="13">
        <v>0</v>
      </c>
      <c r="X345" s="13">
        <v>0</v>
      </c>
      <c r="Y345" s="11">
        <v>0</v>
      </c>
    </row>
    <row r="346" spans="1:25" x14ac:dyDescent="0.3">
      <c r="A346" s="10" t="s">
        <v>151</v>
      </c>
      <c r="B346" s="7">
        <v>2022</v>
      </c>
      <c r="C346" s="11">
        <v>345</v>
      </c>
      <c r="D346" s="7" t="s">
        <v>720</v>
      </c>
      <c r="E346" s="7" t="s">
        <v>82</v>
      </c>
      <c r="F346" s="7" t="s">
        <v>721</v>
      </c>
      <c r="G346" s="12" t="s">
        <v>154</v>
      </c>
      <c r="H346" s="7" t="s">
        <v>155</v>
      </c>
      <c r="I346" s="7" t="s">
        <v>155</v>
      </c>
      <c r="J346" s="7" t="s">
        <v>154</v>
      </c>
      <c r="K346" s="13">
        <v>0</v>
      </c>
      <c r="L346" s="13">
        <v>0</v>
      </c>
      <c r="M346" s="11">
        <v>0</v>
      </c>
      <c r="N346" s="13">
        <v>0</v>
      </c>
      <c r="O346" s="13">
        <v>0</v>
      </c>
      <c r="P346" s="11">
        <v>0</v>
      </c>
      <c r="Q346" s="13">
        <v>0</v>
      </c>
      <c r="R346" s="13">
        <v>0</v>
      </c>
      <c r="S346" s="11">
        <v>0</v>
      </c>
      <c r="T346" s="13">
        <v>0</v>
      </c>
      <c r="U346" s="13">
        <v>0</v>
      </c>
      <c r="V346" s="11">
        <v>0</v>
      </c>
      <c r="W346" s="13">
        <v>0</v>
      </c>
      <c r="X346" s="13">
        <v>0</v>
      </c>
      <c r="Y346" s="11">
        <v>0</v>
      </c>
    </row>
    <row r="347" spans="1:25" x14ac:dyDescent="0.3">
      <c r="A347" s="10" t="s">
        <v>151</v>
      </c>
      <c r="B347" s="7">
        <v>2022</v>
      </c>
      <c r="C347" s="11">
        <v>346</v>
      </c>
      <c r="D347" s="7" t="s">
        <v>722</v>
      </c>
      <c r="E347" s="7" t="s">
        <v>82</v>
      </c>
      <c r="F347" s="7" t="s">
        <v>723</v>
      </c>
      <c r="G347" s="12" t="s">
        <v>154</v>
      </c>
      <c r="H347" s="7" t="s">
        <v>155</v>
      </c>
      <c r="I347" s="7" t="s">
        <v>155</v>
      </c>
      <c r="J347" s="7" t="s">
        <v>154</v>
      </c>
      <c r="K347" s="13">
        <v>0</v>
      </c>
      <c r="L347" s="13">
        <v>0</v>
      </c>
      <c r="M347" s="11">
        <v>0</v>
      </c>
      <c r="N347" s="13">
        <v>0</v>
      </c>
      <c r="O347" s="13">
        <v>0</v>
      </c>
      <c r="P347" s="11">
        <v>0</v>
      </c>
      <c r="Q347" s="13">
        <v>0</v>
      </c>
      <c r="R347" s="13">
        <v>0</v>
      </c>
      <c r="S347" s="11">
        <v>0</v>
      </c>
      <c r="T347" s="13">
        <v>0</v>
      </c>
      <c r="U347" s="13">
        <v>0</v>
      </c>
      <c r="V347" s="11">
        <v>0</v>
      </c>
      <c r="W347" s="13">
        <v>0</v>
      </c>
      <c r="X347" s="13">
        <v>0</v>
      </c>
      <c r="Y347" s="11">
        <v>0</v>
      </c>
    </row>
    <row r="348" spans="1:25" x14ac:dyDescent="0.3">
      <c r="A348" s="10" t="s">
        <v>151</v>
      </c>
      <c r="B348" s="7">
        <v>2022</v>
      </c>
      <c r="C348" s="11">
        <v>347</v>
      </c>
      <c r="D348" s="7" t="s">
        <v>154</v>
      </c>
      <c r="E348" s="7" t="s">
        <v>82</v>
      </c>
      <c r="F348" s="7" t="s">
        <v>154</v>
      </c>
      <c r="G348" s="12" t="s">
        <v>154</v>
      </c>
      <c r="H348" s="7" t="s">
        <v>155</v>
      </c>
      <c r="I348" s="7" t="s">
        <v>155</v>
      </c>
      <c r="J348" s="7" t="s">
        <v>154</v>
      </c>
      <c r="K348" s="13">
        <v>0</v>
      </c>
      <c r="L348" s="13">
        <v>0</v>
      </c>
      <c r="M348" s="11">
        <v>0</v>
      </c>
      <c r="N348" s="13">
        <v>0</v>
      </c>
      <c r="O348" s="13">
        <v>0</v>
      </c>
      <c r="P348" s="11">
        <v>0</v>
      </c>
      <c r="Q348" s="13">
        <v>0</v>
      </c>
      <c r="R348" s="13">
        <v>0</v>
      </c>
      <c r="S348" s="11">
        <v>0</v>
      </c>
      <c r="T348" s="13">
        <v>0</v>
      </c>
      <c r="U348" s="13">
        <v>0</v>
      </c>
      <c r="V348" s="11">
        <v>0</v>
      </c>
      <c r="W348" s="13">
        <v>0</v>
      </c>
      <c r="X348" s="13">
        <v>0</v>
      </c>
      <c r="Y348" s="11">
        <v>0</v>
      </c>
    </row>
    <row r="349" spans="1:25" x14ac:dyDescent="0.3">
      <c r="A349" s="10" t="s">
        <v>151</v>
      </c>
      <c r="B349" s="7">
        <v>2022</v>
      </c>
      <c r="C349" s="11">
        <v>348</v>
      </c>
      <c r="D349" s="7" t="s">
        <v>724</v>
      </c>
      <c r="E349" s="7" t="s">
        <v>82</v>
      </c>
      <c r="F349" s="7" t="s">
        <v>725</v>
      </c>
      <c r="G349" s="12" t="s">
        <v>154</v>
      </c>
      <c r="H349" s="7" t="s">
        <v>155</v>
      </c>
      <c r="I349" s="7" t="s">
        <v>155</v>
      </c>
      <c r="J349" s="7" t="s">
        <v>154</v>
      </c>
      <c r="K349" s="13">
        <v>0</v>
      </c>
      <c r="L349" s="13">
        <v>0</v>
      </c>
      <c r="M349" s="11">
        <v>0</v>
      </c>
      <c r="N349" s="13">
        <v>0</v>
      </c>
      <c r="O349" s="13">
        <v>0</v>
      </c>
      <c r="P349" s="11">
        <v>0</v>
      </c>
      <c r="Q349" s="13">
        <v>0</v>
      </c>
      <c r="R349" s="13">
        <v>0</v>
      </c>
      <c r="S349" s="11">
        <v>0</v>
      </c>
      <c r="T349" s="13">
        <v>0</v>
      </c>
      <c r="U349" s="13">
        <v>0</v>
      </c>
      <c r="V349" s="11">
        <v>0</v>
      </c>
      <c r="W349" s="13">
        <v>0</v>
      </c>
      <c r="X349" s="13">
        <v>0</v>
      </c>
      <c r="Y349" s="11">
        <v>0</v>
      </c>
    </row>
    <row r="350" spans="1:25" x14ac:dyDescent="0.3">
      <c r="A350" s="10" t="s">
        <v>151</v>
      </c>
      <c r="B350" s="7">
        <v>2022</v>
      </c>
      <c r="C350" s="11">
        <v>349</v>
      </c>
      <c r="D350" s="7" t="s">
        <v>726</v>
      </c>
      <c r="E350" s="7" t="s">
        <v>82</v>
      </c>
      <c r="F350" s="7" t="s">
        <v>727</v>
      </c>
      <c r="G350" s="12" t="s">
        <v>154</v>
      </c>
      <c r="H350" s="7" t="s">
        <v>155</v>
      </c>
      <c r="I350" s="7" t="s">
        <v>155</v>
      </c>
      <c r="J350" s="7" t="s">
        <v>154</v>
      </c>
      <c r="K350" s="13">
        <v>0</v>
      </c>
      <c r="L350" s="13">
        <v>0</v>
      </c>
      <c r="M350" s="11">
        <v>0</v>
      </c>
      <c r="N350" s="13">
        <v>0</v>
      </c>
      <c r="O350" s="13">
        <v>0</v>
      </c>
      <c r="P350" s="11">
        <v>0</v>
      </c>
      <c r="Q350" s="13">
        <v>0</v>
      </c>
      <c r="R350" s="13">
        <v>0</v>
      </c>
      <c r="S350" s="11">
        <v>0</v>
      </c>
      <c r="T350" s="13">
        <v>0</v>
      </c>
      <c r="U350" s="13">
        <v>0</v>
      </c>
      <c r="V350" s="11">
        <v>0</v>
      </c>
      <c r="W350" s="13">
        <v>0</v>
      </c>
      <c r="X350" s="13">
        <v>0</v>
      </c>
      <c r="Y350" s="11">
        <v>0</v>
      </c>
    </row>
    <row r="351" spans="1:25" x14ac:dyDescent="0.3">
      <c r="A351" s="10" t="s">
        <v>151</v>
      </c>
      <c r="B351" s="7">
        <v>2022</v>
      </c>
      <c r="C351" s="11">
        <v>350</v>
      </c>
      <c r="D351" s="7" t="s">
        <v>133</v>
      </c>
      <c r="E351" s="7" t="s">
        <v>82</v>
      </c>
      <c r="F351" s="7" t="s">
        <v>728</v>
      </c>
      <c r="G351" s="12" t="s">
        <v>154</v>
      </c>
      <c r="H351" s="7" t="s">
        <v>155</v>
      </c>
      <c r="I351" s="7" t="s">
        <v>155</v>
      </c>
      <c r="J351" s="7" t="s">
        <v>154</v>
      </c>
      <c r="K351" s="13">
        <v>0</v>
      </c>
      <c r="L351" s="13">
        <v>0</v>
      </c>
      <c r="M351" s="11">
        <v>0</v>
      </c>
      <c r="N351" s="13">
        <v>0</v>
      </c>
      <c r="O351" s="13">
        <v>0</v>
      </c>
      <c r="P351" s="11">
        <v>0</v>
      </c>
      <c r="Q351" s="13">
        <v>0</v>
      </c>
      <c r="R351" s="13">
        <v>0</v>
      </c>
      <c r="S351" s="11">
        <v>0</v>
      </c>
      <c r="T351" s="13">
        <v>0</v>
      </c>
      <c r="U351" s="13">
        <v>0</v>
      </c>
      <c r="V351" s="11">
        <v>0</v>
      </c>
      <c r="W351" s="13">
        <v>0</v>
      </c>
      <c r="X351" s="13">
        <v>0</v>
      </c>
      <c r="Y351" s="11">
        <v>0</v>
      </c>
    </row>
    <row r="352" spans="1:25" x14ac:dyDescent="0.3">
      <c r="A352" s="10" t="s">
        <v>151</v>
      </c>
      <c r="B352" s="7">
        <v>2022</v>
      </c>
      <c r="C352" s="11">
        <v>351</v>
      </c>
      <c r="D352" s="7" t="s">
        <v>729</v>
      </c>
      <c r="E352" s="7" t="s">
        <v>82</v>
      </c>
      <c r="F352" s="7" t="s">
        <v>154</v>
      </c>
      <c r="G352" s="14" t="s">
        <v>3450</v>
      </c>
      <c r="H352" s="7" t="s">
        <v>155</v>
      </c>
      <c r="I352" s="7" t="s">
        <v>155</v>
      </c>
      <c r="J352" s="7" t="s">
        <v>154</v>
      </c>
      <c r="K352" s="13">
        <v>0</v>
      </c>
      <c r="L352" s="13">
        <v>0</v>
      </c>
      <c r="M352" s="11">
        <v>0</v>
      </c>
      <c r="N352" s="13">
        <v>0</v>
      </c>
      <c r="O352" s="13">
        <v>0</v>
      </c>
      <c r="P352" s="11">
        <v>0</v>
      </c>
      <c r="Q352" s="13">
        <v>0</v>
      </c>
      <c r="R352" s="13">
        <v>0</v>
      </c>
      <c r="S352" s="11">
        <v>0</v>
      </c>
      <c r="T352" s="13">
        <v>0</v>
      </c>
      <c r="U352" s="13">
        <v>0</v>
      </c>
      <c r="V352" s="11">
        <v>0</v>
      </c>
      <c r="W352" s="13">
        <v>0</v>
      </c>
      <c r="X352" s="13">
        <v>0</v>
      </c>
      <c r="Y352" s="11">
        <v>0</v>
      </c>
    </row>
    <row r="353" spans="1:25" x14ac:dyDescent="0.3">
      <c r="A353" s="10" t="s">
        <v>151</v>
      </c>
      <c r="B353" s="7">
        <v>2022</v>
      </c>
      <c r="C353" s="11">
        <v>352</v>
      </c>
      <c r="D353" s="7" t="s">
        <v>730</v>
      </c>
      <c r="E353" s="7" t="s">
        <v>82</v>
      </c>
      <c r="F353" s="7" t="s">
        <v>154</v>
      </c>
      <c r="G353" s="14" t="s">
        <v>731</v>
      </c>
      <c r="H353" s="7" t="s">
        <v>155</v>
      </c>
      <c r="I353" s="7" t="s">
        <v>155</v>
      </c>
      <c r="J353" s="7" t="s">
        <v>154</v>
      </c>
      <c r="K353" s="13">
        <v>0</v>
      </c>
      <c r="L353" s="13">
        <v>0</v>
      </c>
      <c r="M353" s="11">
        <v>0</v>
      </c>
      <c r="N353" s="13">
        <v>0</v>
      </c>
      <c r="O353" s="13">
        <v>0</v>
      </c>
      <c r="P353" s="11">
        <v>0</v>
      </c>
      <c r="Q353" s="13">
        <v>0</v>
      </c>
      <c r="R353" s="13">
        <v>0</v>
      </c>
      <c r="S353" s="11">
        <v>0</v>
      </c>
      <c r="T353" s="13">
        <v>0</v>
      </c>
      <c r="U353" s="13">
        <v>0</v>
      </c>
      <c r="V353" s="11">
        <v>0</v>
      </c>
      <c r="W353" s="13">
        <v>0</v>
      </c>
      <c r="X353" s="13">
        <v>0</v>
      </c>
      <c r="Y353" s="11">
        <v>0</v>
      </c>
    </row>
    <row r="354" spans="1:25" x14ac:dyDescent="0.3">
      <c r="A354" s="10" t="s">
        <v>151</v>
      </c>
      <c r="B354" s="7">
        <v>2022</v>
      </c>
      <c r="C354" s="11">
        <v>353</v>
      </c>
      <c r="D354" s="7" t="s">
        <v>732</v>
      </c>
      <c r="E354" s="7" t="s">
        <v>82</v>
      </c>
      <c r="F354" s="7" t="s">
        <v>154</v>
      </c>
      <c r="G354" s="14" t="s">
        <v>733</v>
      </c>
      <c r="H354" s="7" t="s">
        <v>155</v>
      </c>
      <c r="I354" s="7" t="s">
        <v>155</v>
      </c>
      <c r="J354" s="7" t="s">
        <v>154</v>
      </c>
      <c r="K354" s="13">
        <v>0</v>
      </c>
      <c r="L354" s="13">
        <v>0</v>
      </c>
      <c r="M354" s="11">
        <v>0</v>
      </c>
      <c r="N354" s="13">
        <v>0</v>
      </c>
      <c r="O354" s="13">
        <v>0</v>
      </c>
      <c r="P354" s="11">
        <v>0</v>
      </c>
      <c r="Q354" s="13">
        <v>0</v>
      </c>
      <c r="R354" s="13">
        <v>0</v>
      </c>
      <c r="S354" s="11">
        <v>0</v>
      </c>
      <c r="T354" s="13">
        <v>0</v>
      </c>
      <c r="U354" s="13">
        <v>0</v>
      </c>
      <c r="V354" s="11">
        <v>0</v>
      </c>
      <c r="W354" s="13">
        <v>0</v>
      </c>
      <c r="X354" s="13">
        <v>0</v>
      </c>
      <c r="Y354" s="11">
        <v>0</v>
      </c>
    </row>
  </sheetData>
  <autoFilter ref="A1:Y1"/>
  <pageMargins left="0.75" right="0.75" top="1" bottom="1" header="0.5" footer="0.5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7"/>
  <sheetViews>
    <sheetView zoomScale="70" zoomScaleNormal="70" workbookViewId="0">
      <pane xSplit="5" ySplit="1" topLeftCell="G50" activePane="bottomRight" state="frozen"/>
      <selection pane="topRight" activeCell="E1" sqref="E1"/>
      <selection pane="bottomLeft" activeCell="A2" sqref="A2"/>
      <selection pane="bottomRight" activeCell="D48" sqref="D48"/>
    </sheetView>
  </sheetViews>
  <sheetFormatPr defaultColWidth="9" defaultRowHeight="14.4" x14ac:dyDescent="0.3"/>
  <cols>
    <col min="1" max="1" width="17.44140625" style="130" customWidth="1"/>
    <col min="2" max="2" width="9.109375" style="400" bestFit="1" customWidth="1"/>
    <col min="3" max="3" width="18.109375" style="130" customWidth="1"/>
    <col min="4" max="4" width="62.77734375" style="401" customWidth="1"/>
    <col min="5" max="11" width="18.6640625" style="130" customWidth="1"/>
    <col min="12" max="12" width="17.109375" style="130" customWidth="1"/>
    <col min="13" max="13" width="18.6640625" style="130" customWidth="1"/>
    <col min="14" max="14" width="21.77734375" style="130" customWidth="1"/>
    <col min="15" max="15" width="17.109375" style="130" customWidth="1"/>
    <col min="16" max="16" width="24.109375" style="130" customWidth="1"/>
    <col min="17" max="16384" width="9" style="130"/>
  </cols>
  <sheetData>
    <row r="1" spans="1:16" ht="41.25" customHeight="1" x14ac:dyDescent="0.3">
      <c r="A1"/>
      <c r="B1" s="377">
        <v>1</v>
      </c>
      <c r="C1" s="377"/>
      <c r="D1" s="377" t="s">
        <v>3</v>
      </c>
      <c r="E1" s="377" t="s">
        <v>4</v>
      </c>
      <c r="F1" s="377" t="s">
        <v>5</v>
      </c>
      <c r="G1" s="377" t="s">
        <v>6</v>
      </c>
      <c r="H1" s="377" t="s">
        <v>7</v>
      </c>
      <c r="I1" s="377" t="s">
        <v>8</v>
      </c>
      <c r="J1" s="377" t="s">
        <v>9</v>
      </c>
      <c r="K1" s="377" t="s">
        <v>10</v>
      </c>
      <c r="L1" s="377" t="s">
        <v>11</v>
      </c>
      <c r="M1" s="377" t="s">
        <v>12</v>
      </c>
      <c r="N1" s="377" t="s">
        <v>3451</v>
      </c>
      <c r="O1" s="377" t="s">
        <v>14</v>
      </c>
      <c r="P1" s="377" t="s">
        <v>15</v>
      </c>
    </row>
    <row r="2" spans="1:16" ht="33.6" customHeight="1" x14ac:dyDescent="0.3">
      <c r="A2" t="s">
        <v>3374</v>
      </c>
      <c r="B2" s="378">
        <v>2</v>
      </c>
      <c r="C2" s="1189" t="s">
        <v>3375</v>
      </c>
      <c r="D2" s="379" t="s">
        <v>18</v>
      </c>
      <c r="E2" s="352">
        <v>12444930093.638231</v>
      </c>
      <c r="F2" s="352">
        <v>496215281.83448833</v>
      </c>
      <c r="G2" s="352">
        <v>3114291141.8589597</v>
      </c>
      <c r="H2" s="352">
        <v>1582661033.4085627</v>
      </c>
      <c r="I2" s="352">
        <v>700131471.02778029</v>
      </c>
      <c r="J2" s="352">
        <v>2412318115.4908376</v>
      </c>
      <c r="K2" s="352">
        <v>1078969183.6035779</v>
      </c>
      <c r="L2" s="352">
        <v>691480800.53887641</v>
      </c>
      <c r="M2" s="352">
        <v>454958891.7474131</v>
      </c>
      <c r="N2" s="352">
        <v>1743126243.7389054</v>
      </c>
      <c r="O2" s="352">
        <v>0</v>
      </c>
      <c r="P2" s="352">
        <v>170777930.38883039</v>
      </c>
    </row>
    <row r="3" spans="1:16" ht="33.6" customHeight="1" x14ac:dyDescent="0.3">
      <c r="A3" t="s">
        <v>3374</v>
      </c>
      <c r="B3" s="378">
        <v>4</v>
      </c>
      <c r="C3" s="1189"/>
      <c r="D3" s="379" t="s">
        <v>20</v>
      </c>
      <c r="E3" s="352">
        <v>4973277236.7498522</v>
      </c>
      <c r="F3" s="352">
        <v>1467399726.9780321</v>
      </c>
      <c r="G3" s="352">
        <v>565744408.34404993</v>
      </c>
      <c r="H3" s="352">
        <v>949997138.66683018</v>
      </c>
      <c r="I3" s="352">
        <v>237421848.84258583</v>
      </c>
      <c r="J3" s="352">
        <v>249767006.08655906</v>
      </c>
      <c r="K3" s="352">
        <v>651702299.27595305</v>
      </c>
      <c r="L3" s="352">
        <v>237637501.16366413</v>
      </c>
      <c r="M3" s="352">
        <v>95145480.573153913</v>
      </c>
      <c r="N3" s="352">
        <v>501793340.81234038</v>
      </c>
      <c r="O3" s="352">
        <v>0</v>
      </c>
      <c r="P3" s="352">
        <v>16668486.006683376</v>
      </c>
    </row>
    <row r="4" spans="1:16" ht="33.6" customHeight="1" x14ac:dyDescent="0.3">
      <c r="A4"/>
      <c r="B4" s="378">
        <v>5</v>
      </c>
      <c r="C4" s="1189"/>
      <c r="D4" s="379" t="s">
        <v>22</v>
      </c>
      <c r="E4" s="352">
        <v>567187880</v>
      </c>
      <c r="F4" s="352">
        <v>48115000</v>
      </c>
      <c r="G4" s="352">
        <v>192400000</v>
      </c>
      <c r="H4" s="352">
        <v>44622880</v>
      </c>
      <c r="I4" s="352">
        <v>10000000</v>
      </c>
      <c r="J4" s="352">
        <v>98150000</v>
      </c>
      <c r="K4" s="352">
        <v>132900000</v>
      </c>
      <c r="L4" s="352">
        <v>2000000</v>
      </c>
      <c r="M4" s="352">
        <v>13200000</v>
      </c>
      <c r="N4" s="352">
        <v>24000000</v>
      </c>
      <c r="O4" s="352"/>
      <c r="P4" s="352">
        <v>1800000</v>
      </c>
    </row>
    <row r="5" spans="1:16" ht="33.6" customHeight="1" x14ac:dyDescent="0.3">
      <c r="A5" t="s">
        <v>3374</v>
      </c>
      <c r="B5" s="378">
        <v>6</v>
      </c>
      <c r="C5" s="1189"/>
      <c r="D5" s="379" t="s">
        <v>3452</v>
      </c>
      <c r="E5" s="352">
        <v>192568061.59818739</v>
      </c>
      <c r="F5" s="352">
        <v>-3051179.1397059937</v>
      </c>
      <c r="G5" s="352">
        <v>197159787.70265576</v>
      </c>
      <c r="H5" s="352">
        <v>2478592.9551556581</v>
      </c>
      <c r="I5" s="352">
        <v>605099.51509188407</v>
      </c>
      <c r="J5" s="352">
        <v>-1757885.8874102985</v>
      </c>
      <c r="K5" s="352">
        <v>-1648675.3997910786</v>
      </c>
      <c r="L5" s="352">
        <v>-1393556.2902558525</v>
      </c>
      <c r="M5" s="352">
        <v>1214363.8007105687</v>
      </c>
      <c r="N5" s="352">
        <v>-1038485.6582632724</v>
      </c>
      <c r="O5" s="352">
        <v>0</v>
      </c>
      <c r="P5" s="352">
        <v>0</v>
      </c>
    </row>
    <row r="6" spans="1:16" ht="33.6" customHeight="1" x14ac:dyDescent="0.3">
      <c r="A6" t="s">
        <v>3377</v>
      </c>
      <c r="B6" s="378" t="s">
        <v>3339</v>
      </c>
      <c r="C6" s="1189"/>
      <c r="D6" s="379" t="s">
        <v>25</v>
      </c>
      <c r="E6" s="352">
        <v>1597566177.3902187</v>
      </c>
      <c r="F6" s="352">
        <v>109313942.79673766</v>
      </c>
      <c r="G6" s="352">
        <v>600464481.166309</v>
      </c>
      <c r="H6" s="352">
        <v>139226993.70023137</v>
      </c>
      <c r="I6" s="352">
        <v>87196162.281576231</v>
      </c>
      <c r="J6" s="352">
        <v>416558462.164774</v>
      </c>
      <c r="K6" s="352">
        <v>101144499.429765</v>
      </c>
      <c r="L6" s="352">
        <v>74869241.374160141</v>
      </c>
      <c r="M6" s="352">
        <v>63990508.476665333</v>
      </c>
      <c r="N6" s="352">
        <v>4801886</v>
      </c>
      <c r="O6" s="352"/>
      <c r="P6" s="352"/>
    </row>
    <row r="7" spans="1:16" ht="33.6" customHeight="1" x14ac:dyDescent="0.3">
      <c r="A7" t="s">
        <v>3378</v>
      </c>
      <c r="B7" s="378" t="s">
        <v>3340</v>
      </c>
      <c r="C7" s="1189"/>
      <c r="D7" s="379" t="s">
        <v>3379</v>
      </c>
      <c r="E7" s="352">
        <v>2910852727.9980578</v>
      </c>
      <c r="F7" s="352">
        <v>227555835</v>
      </c>
      <c r="G7" s="352">
        <v>855374894</v>
      </c>
      <c r="H7" s="352">
        <v>337010439</v>
      </c>
      <c r="I7" s="352">
        <v>143178372</v>
      </c>
      <c r="J7" s="352">
        <v>748817082</v>
      </c>
      <c r="K7" s="352">
        <v>262152611</v>
      </c>
      <c r="L7" s="352">
        <v>142409355</v>
      </c>
      <c r="M7" s="352">
        <v>110494510</v>
      </c>
      <c r="N7" s="352">
        <v>77822203</v>
      </c>
      <c r="O7" s="352"/>
      <c r="P7" s="352">
        <v>6037426.9980579233</v>
      </c>
    </row>
    <row r="8" spans="1:16" ht="33.6" customHeight="1" x14ac:dyDescent="0.3">
      <c r="A8" t="s">
        <v>3377</v>
      </c>
      <c r="B8" s="378">
        <v>8</v>
      </c>
      <c r="C8" s="1189"/>
      <c r="D8" s="379" t="s">
        <v>26</v>
      </c>
      <c r="E8" s="352">
        <v>915099562</v>
      </c>
      <c r="F8" s="352">
        <v>21028794</v>
      </c>
      <c r="G8" s="352">
        <v>535535737</v>
      </c>
      <c r="H8" s="352">
        <v>12455849</v>
      </c>
      <c r="I8" s="352">
        <v>27046487</v>
      </c>
      <c r="J8" s="352">
        <v>132969990</v>
      </c>
      <c r="K8" s="352">
        <v>11860305</v>
      </c>
      <c r="L8" s="352">
        <v>106194227</v>
      </c>
      <c r="M8" s="352">
        <v>67321657</v>
      </c>
      <c r="N8" s="352">
        <v>686516</v>
      </c>
      <c r="O8" s="352"/>
      <c r="P8" s="352"/>
    </row>
    <row r="9" spans="1:16" ht="33.6" customHeight="1" x14ac:dyDescent="0.3">
      <c r="A9"/>
      <c r="B9" s="380">
        <v>9</v>
      </c>
      <c r="C9" s="381"/>
      <c r="D9" s="382" t="s">
        <v>27</v>
      </c>
      <c r="E9" s="383">
        <v>23601481739.374546</v>
      </c>
      <c r="F9" s="383">
        <v>2366577401.469552</v>
      </c>
      <c r="G9" s="383">
        <v>6060970450.0719748</v>
      </c>
      <c r="H9" s="383">
        <v>3068452926.7307801</v>
      </c>
      <c r="I9" s="383">
        <v>1205579440.6670341</v>
      </c>
      <c r="J9" s="383">
        <v>4056822769.8547602</v>
      </c>
      <c r="K9" s="383">
        <v>2237080222.9095049</v>
      </c>
      <c r="L9" s="383">
        <v>1253197568.7864447</v>
      </c>
      <c r="M9" s="383">
        <v>806325411.59794295</v>
      </c>
      <c r="N9" s="383">
        <v>2351191703.8929825</v>
      </c>
      <c r="O9" s="383">
        <v>0</v>
      </c>
      <c r="P9" s="383">
        <v>195283843.3935717</v>
      </c>
    </row>
    <row r="10" spans="1:16" ht="33.6" customHeight="1" x14ac:dyDescent="0.3">
      <c r="A10">
        <v>12.88</v>
      </c>
      <c r="B10" s="378">
        <v>10</v>
      </c>
      <c r="C10" s="1190" t="s">
        <v>52</v>
      </c>
      <c r="D10" s="384" t="s">
        <v>28</v>
      </c>
      <c r="E10" s="352">
        <v>-4474888419.3515329</v>
      </c>
      <c r="F10" s="352">
        <v>-449649706.27921492</v>
      </c>
      <c r="G10" s="352">
        <v>-1151584385.5136752</v>
      </c>
      <c r="H10" s="352">
        <v>-583006056.07884824</v>
      </c>
      <c r="I10" s="352">
        <v>-229060093.72673649</v>
      </c>
      <c r="J10" s="352">
        <v>-770796326.27240443</v>
      </c>
      <c r="K10" s="352">
        <v>-425045242.35280591</v>
      </c>
      <c r="L10" s="352">
        <v>-230203538.06942448</v>
      </c>
      <c r="M10" s="352">
        <v>-153201828.20360917</v>
      </c>
      <c r="N10" s="352">
        <v>-446726423.7396667</v>
      </c>
      <c r="O10" s="352">
        <v>0</v>
      </c>
      <c r="P10" s="352">
        <v>-35614819.11514762</v>
      </c>
    </row>
    <row r="11" spans="1:16" ht="33.6" customHeight="1" x14ac:dyDescent="0.3">
      <c r="A11"/>
      <c r="B11" s="378">
        <v>11</v>
      </c>
      <c r="C11" s="1190"/>
      <c r="D11" s="384" t="s">
        <v>3484</v>
      </c>
      <c r="E11" s="352">
        <v>-117030989.47990488</v>
      </c>
      <c r="F11" s="352">
        <v>-11832887.007347761</v>
      </c>
      <c r="G11" s="352">
        <v>-30304852.250359874</v>
      </c>
      <c r="H11" s="352">
        <v>-15342264.633653902</v>
      </c>
      <c r="I11" s="352">
        <v>-6027897.2033351706</v>
      </c>
      <c r="J11" s="352">
        <v>-20284113.849273801</v>
      </c>
      <c r="K11" s="352">
        <v>-11185401.114547525</v>
      </c>
      <c r="L11" s="352">
        <v>-6265987.8439322235</v>
      </c>
      <c r="M11" s="352">
        <v>-4031627.0579897147</v>
      </c>
      <c r="N11" s="352">
        <v>-11755958.519464912</v>
      </c>
      <c r="O11" s="352">
        <v>0</v>
      </c>
      <c r="P11" s="352"/>
    </row>
    <row r="12" spans="1:16" ht="33.6" customHeight="1" x14ac:dyDescent="0.3">
      <c r="A12"/>
      <c r="B12" s="378">
        <v>12</v>
      </c>
      <c r="C12" s="1190"/>
      <c r="D12" s="384" t="s">
        <v>30</v>
      </c>
      <c r="E12" s="352">
        <v>-351092968.43971467</v>
      </c>
      <c r="F12" s="352">
        <v>-35498661.02204328</v>
      </c>
      <c r="G12" s="352">
        <v>-90914556.751079619</v>
      </c>
      <c r="H12" s="352">
        <v>-46026793.900961697</v>
      </c>
      <c r="I12" s="352">
        <v>-18083691.610005513</v>
      </c>
      <c r="J12" s="352">
        <v>-60852341.547821403</v>
      </c>
      <c r="K12" s="352">
        <v>-33556203.34364257</v>
      </c>
      <c r="L12" s="352">
        <v>-18797963.531796668</v>
      </c>
      <c r="M12" s="352">
        <v>-12094881.173969144</v>
      </c>
      <c r="N12" s="352">
        <v>-35267875.558394738</v>
      </c>
      <c r="O12" s="352">
        <v>0</v>
      </c>
      <c r="P12" s="352">
        <v>0</v>
      </c>
    </row>
    <row r="13" spans="1:16" ht="33.6" customHeight="1" x14ac:dyDescent="0.3">
      <c r="A13"/>
      <c r="B13" s="378">
        <v>13</v>
      </c>
      <c r="C13" s="1190"/>
      <c r="D13" s="384" t="s">
        <v>31</v>
      </c>
      <c r="E13" s="352">
        <v>351092968.43971467</v>
      </c>
      <c r="F13" s="352">
        <v>35498661.02204328</v>
      </c>
      <c r="G13" s="352">
        <v>90914556.751079619</v>
      </c>
      <c r="H13" s="352">
        <v>46026793.900961697</v>
      </c>
      <c r="I13" s="352">
        <v>18083691.610005513</v>
      </c>
      <c r="J13" s="352">
        <v>60852341.547821403</v>
      </c>
      <c r="K13" s="352">
        <v>33556203.34364257</v>
      </c>
      <c r="L13" s="352">
        <v>18797963.531796668</v>
      </c>
      <c r="M13" s="352">
        <v>12094881.173969144</v>
      </c>
      <c r="N13" s="352">
        <v>35267875.558394738</v>
      </c>
      <c r="O13" s="352">
        <v>0</v>
      </c>
      <c r="P13" s="352">
        <v>0</v>
      </c>
    </row>
    <row r="14" spans="1:16" ht="33.6" customHeight="1" x14ac:dyDescent="0.3">
      <c r="A14"/>
      <c r="B14" s="385"/>
      <c r="C14" s="1190"/>
      <c r="D14" s="386" t="s">
        <v>32</v>
      </c>
      <c r="E14" s="387">
        <v>351414979</v>
      </c>
      <c r="F14" s="387"/>
      <c r="G14" s="387">
        <v>223691208</v>
      </c>
      <c r="H14" s="387">
        <v>43889924</v>
      </c>
      <c r="I14" s="387"/>
      <c r="J14" s="387">
        <v>65659634</v>
      </c>
      <c r="K14" s="387">
        <v>7761125</v>
      </c>
      <c r="L14" s="387">
        <v>7596550</v>
      </c>
      <c r="M14" s="387">
        <v>2816538</v>
      </c>
      <c r="N14" s="387"/>
      <c r="O14" s="387"/>
      <c r="P14" s="387"/>
    </row>
    <row r="15" spans="1:16" ht="33.6" customHeight="1" x14ac:dyDescent="0.3">
      <c r="A15"/>
      <c r="B15" s="385"/>
      <c r="C15" s="1190"/>
      <c r="D15" s="386" t="s">
        <v>33</v>
      </c>
      <c r="E15" s="387">
        <v>1436243127</v>
      </c>
      <c r="F15" s="387">
        <v>520845</v>
      </c>
      <c r="G15" s="387">
        <v>912745365</v>
      </c>
      <c r="H15" s="387">
        <v>170735622</v>
      </c>
      <c r="I15" s="387">
        <v>1969443</v>
      </c>
      <c r="J15" s="387">
        <v>269309532</v>
      </c>
      <c r="K15" s="387">
        <v>35932486</v>
      </c>
      <c r="L15" s="387">
        <v>31118638</v>
      </c>
      <c r="M15" s="387">
        <v>13129068</v>
      </c>
      <c r="N15" s="387">
        <v>782128</v>
      </c>
      <c r="O15" s="387"/>
      <c r="P15" s="387"/>
    </row>
    <row r="16" spans="1:16" ht="33.6" customHeight="1" x14ac:dyDescent="0.3">
      <c r="A16" t="s">
        <v>3381</v>
      </c>
      <c r="B16" s="378">
        <v>14</v>
      </c>
      <c r="C16" s="1190"/>
      <c r="D16" s="384" t="s">
        <v>34</v>
      </c>
      <c r="E16" s="352">
        <v>0</v>
      </c>
      <c r="F16" s="352">
        <v>0</v>
      </c>
      <c r="G16" s="352">
        <v>-49034352.529349886</v>
      </c>
      <c r="H16" s="352">
        <v>-9620914.5864256527</v>
      </c>
      <c r="I16" s="352">
        <v>0</v>
      </c>
      <c r="J16" s="352">
        <v>-14392955.669961279</v>
      </c>
      <c r="K16" s="352">
        <v>-1701281.6135104902</v>
      </c>
      <c r="L16" s="352">
        <v>-1665205.8614070916</v>
      </c>
      <c r="M16" s="352">
        <v>-617400.7393455985</v>
      </c>
      <c r="N16" s="352">
        <v>0</v>
      </c>
      <c r="O16" s="352">
        <v>0</v>
      </c>
      <c r="P16" s="352">
        <v>77032111</v>
      </c>
    </row>
    <row r="17" spans="1:16" ht="33.6" customHeight="1" x14ac:dyDescent="0.3">
      <c r="A17"/>
      <c r="B17" s="378">
        <v>15</v>
      </c>
      <c r="C17" s="1190"/>
      <c r="D17" s="384" t="s">
        <v>36</v>
      </c>
      <c r="E17" s="352">
        <v>0</v>
      </c>
      <c r="F17" s="352">
        <v>9977.0144053159329</v>
      </c>
      <c r="G17" s="352">
        <v>17484037.775135305</v>
      </c>
      <c r="H17" s="352">
        <v>3270515.7200214569</v>
      </c>
      <c r="I17" s="352">
        <v>37725.544416186443</v>
      </c>
      <c r="J17" s="352">
        <v>5158742.198260312</v>
      </c>
      <c r="K17" s="352">
        <v>688302.5284697233</v>
      </c>
      <c r="L17" s="352">
        <v>596091.15878968174</v>
      </c>
      <c r="M17" s="352">
        <v>251493.05563914875</v>
      </c>
      <c r="N17" s="352">
        <v>14982.004862868875</v>
      </c>
      <c r="O17" s="352">
        <v>0</v>
      </c>
      <c r="P17" s="352">
        <v>-27511867</v>
      </c>
    </row>
    <row r="18" spans="1:16" ht="33.6" customHeight="1" x14ac:dyDescent="0.3">
      <c r="A18"/>
      <c r="B18" s="378">
        <v>16</v>
      </c>
      <c r="C18" s="1190"/>
      <c r="D18" s="384" t="s">
        <v>37</v>
      </c>
      <c r="E18" s="352">
        <v>1.7826096154749393E-10</v>
      </c>
      <c r="F18" s="352">
        <v>0</v>
      </c>
      <c r="G18" s="352">
        <v>1082940.19380257</v>
      </c>
      <c r="H18" s="352">
        <v>-372132.47330866905</v>
      </c>
      <c r="I18" s="352">
        <v>0</v>
      </c>
      <c r="J18" s="352">
        <v>-556712.78895269858</v>
      </c>
      <c r="K18" s="352">
        <v>-65804.776556636192</v>
      </c>
      <c r="L18" s="352">
        <v>-64409.383349877076</v>
      </c>
      <c r="M18" s="352">
        <v>-23880.77163468891</v>
      </c>
      <c r="N18" s="352">
        <v>0</v>
      </c>
      <c r="O18" s="352">
        <v>0</v>
      </c>
      <c r="P18" s="352"/>
    </row>
    <row r="19" spans="1:16" ht="33.6" customHeight="1" x14ac:dyDescent="0.3">
      <c r="A19" t="s">
        <v>3383</v>
      </c>
      <c r="B19" s="378">
        <v>17</v>
      </c>
      <c r="C19" s="1190"/>
      <c r="D19" s="384" t="s">
        <v>38</v>
      </c>
      <c r="E19" s="352">
        <v>-1333976105</v>
      </c>
      <c r="F19" s="352">
        <v>-118165930</v>
      </c>
      <c r="G19" s="352">
        <v>-326677018</v>
      </c>
      <c r="H19" s="352">
        <v>-194469544</v>
      </c>
      <c r="I19" s="352">
        <v>-77914576</v>
      </c>
      <c r="J19" s="352">
        <v>-247376134</v>
      </c>
      <c r="K19" s="352">
        <v>-148158652</v>
      </c>
      <c r="L19" s="352">
        <v>-74357932</v>
      </c>
      <c r="M19" s="352">
        <v>-50389769</v>
      </c>
      <c r="N19" s="352">
        <v>-69866471</v>
      </c>
      <c r="O19" s="352"/>
      <c r="P19" s="352">
        <v>-26600079</v>
      </c>
    </row>
    <row r="20" spans="1:16" ht="33.6" customHeight="1" x14ac:dyDescent="0.3">
      <c r="A20" t="s">
        <v>3384</v>
      </c>
      <c r="B20" s="378" t="s">
        <v>2768</v>
      </c>
      <c r="C20" s="1190"/>
      <c r="D20" s="384" t="s">
        <v>2771</v>
      </c>
      <c r="E20" s="352">
        <v>-45299347</v>
      </c>
      <c r="F20" s="352">
        <v>-6833828</v>
      </c>
      <c r="G20" s="352">
        <v>-22220899</v>
      </c>
      <c r="H20" s="352">
        <v>-173663</v>
      </c>
      <c r="I20" s="352">
        <v>-2172178</v>
      </c>
      <c r="J20" s="352">
        <v>-2928425</v>
      </c>
      <c r="K20" s="352">
        <v>-4163247</v>
      </c>
      <c r="L20" s="352">
        <v>-6396295</v>
      </c>
      <c r="M20" s="352">
        <v>-341062</v>
      </c>
      <c r="N20" s="352">
        <v>-69750</v>
      </c>
      <c r="O20" s="352"/>
      <c r="P20" s="352"/>
    </row>
    <row r="21" spans="1:16" ht="33.6" customHeight="1" x14ac:dyDescent="0.3">
      <c r="A21" t="s">
        <v>3385</v>
      </c>
      <c r="B21" s="378" t="s">
        <v>2769</v>
      </c>
      <c r="C21" s="1190"/>
      <c r="D21" s="384" t="s">
        <v>2772</v>
      </c>
      <c r="E21" s="352">
        <v>-92349436</v>
      </c>
      <c r="F21" s="352">
        <v>-1481099</v>
      </c>
      <c r="G21" s="352">
        <v>-9678731</v>
      </c>
      <c r="H21" s="352">
        <v>-8575370</v>
      </c>
      <c r="I21" s="352">
        <v>-6347234</v>
      </c>
      <c r="J21" s="352">
        <v>-46120413</v>
      </c>
      <c r="K21" s="352">
        <v>-17455274</v>
      </c>
      <c r="L21" s="352">
        <v>-1384828</v>
      </c>
      <c r="M21" s="352"/>
      <c r="N21" s="352">
        <v>-1306487</v>
      </c>
      <c r="O21" s="352"/>
      <c r="P21" s="352"/>
    </row>
    <row r="22" spans="1:16" ht="33.6" customHeight="1" x14ac:dyDescent="0.3">
      <c r="A22" t="s">
        <v>3386</v>
      </c>
      <c r="B22" s="378" t="s">
        <v>2770</v>
      </c>
      <c r="C22" s="1190"/>
      <c r="D22" s="384" t="s">
        <v>2773</v>
      </c>
      <c r="E22" s="352">
        <v>-5.6438148021697998E-7</v>
      </c>
      <c r="F22" s="352">
        <v>-53757731.003246903</v>
      </c>
      <c r="G22" s="352">
        <v>33381297.055048201</v>
      </c>
      <c r="H22" s="352">
        <v>-86816712.673394501</v>
      </c>
      <c r="I22" s="352">
        <v>-24044362.2798892</v>
      </c>
      <c r="J22" s="352">
        <v>199725378.39721301</v>
      </c>
      <c r="K22" s="352">
        <v>-7029771.3272291701</v>
      </c>
      <c r="L22" s="352">
        <v>-28765106.794986501</v>
      </c>
      <c r="M22" s="352">
        <v>-22446347.3671593</v>
      </c>
      <c r="N22" s="352">
        <v>-10246644.0063562</v>
      </c>
      <c r="O22" s="352"/>
      <c r="P22" s="352"/>
    </row>
    <row r="23" spans="1:16" ht="33.6" customHeight="1" x14ac:dyDescent="0.3">
      <c r="A23" t="s">
        <v>3387</v>
      </c>
      <c r="B23" s="378">
        <v>19</v>
      </c>
      <c r="C23" s="1190"/>
      <c r="D23" s="384" t="s">
        <v>39</v>
      </c>
      <c r="E23" s="130">
        <v>-65218683</v>
      </c>
      <c r="F23" s="130">
        <v>-248480</v>
      </c>
      <c r="G23" s="130">
        <v>-15753817</v>
      </c>
      <c r="H23" s="130">
        <v>-12809930</v>
      </c>
      <c r="I23" s="130">
        <v>-6461452</v>
      </c>
      <c r="J23" s="130">
        <v>-11823045</v>
      </c>
      <c r="K23" s="130">
        <v>-16676703</v>
      </c>
      <c r="L23" s="130">
        <v>-16335</v>
      </c>
      <c r="M23" s="130">
        <v>-357376</v>
      </c>
      <c r="N23" s="130">
        <v>-1071545</v>
      </c>
    </row>
    <row r="24" spans="1:16" ht="33.6" customHeight="1" x14ac:dyDescent="0.3">
      <c r="A24"/>
      <c r="B24" s="380">
        <v>20</v>
      </c>
      <c r="C24" s="381" t="s">
        <v>40</v>
      </c>
      <c r="D24" s="382"/>
      <c r="E24" s="383">
        <v>17472718759.543106</v>
      </c>
      <c r="F24" s="383">
        <v>1724617717.1941476</v>
      </c>
      <c r="G24" s="383">
        <v>4507664669.8025761</v>
      </c>
      <c r="H24" s="383">
        <v>2160536855.0051699</v>
      </c>
      <c r="I24" s="383">
        <v>853589373.0014894</v>
      </c>
      <c r="J24" s="383">
        <v>3147428764.8696408</v>
      </c>
      <c r="K24" s="383">
        <v>1606287148.2533247</v>
      </c>
      <c r="L24" s="383">
        <v>904674021.99213409</v>
      </c>
      <c r="M24" s="383">
        <v>575167613.51384377</v>
      </c>
      <c r="N24" s="383">
        <v>1810163406.6323574</v>
      </c>
      <c r="O24" s="383">
        <v>0</v>
      </c>
      <c r="P24" s="383">
        <v>182589189.27842408</v>
      </c>
    </row>
    <row r="25" spans="1:16" ht="33.6" customHeight="1" x14ac:dyDescent="0.3">
      <c r="A25"/>
      <c r="B25" s="378">
        <v>21</v>
      </c>
      <c r="C25" s="1191" t="s">
        <v>53</v>
      </c>
      <c r="D25" s="388" t="s">
        <v>3491</v>
      </c>
      <c r="E25" s="352">
        <v>5589954394</v>
      </c>
      <c r="F25" s="352">
        <v>601826637</v>
      </c>
      <c r="G25" s="352">
        <v>800077753</v>
      </c>
      <c r="H25" s="352">
        <v>733948672</v>
      </c>
      <c r="I25" s="352">
        <v>473496723</v>
      </c>
      <c r="J25" s="352">
        <v>882620425</v>
      </c>
      <c r="K25" s="352">
        <v>1167602495</v>
      </c>
      <c r="L25" s="352">
        <v>297070399</v>
      </c>
      <c r="M25" s="352">
        <v>353570889</v>
      </c>
      <c r="N25" s="352">
        <v>221863564</v>
      </c>
      <c r="O25" s="352"/>
      <c r="P25" s="352">
        <v>57876837</v>
      </c>
    </row>
    <row r="26" spans="1:16" ht="33.6" customHeight="1" x14ac:dyDescent="0.3">
      <c r="A26"/>
      <c r="B26" s="378">
        <v>22</v>
      </c>
      <c r="C26" s="1191"/>
      <c r="D26" s="388" t="s">
        <v>3453</v>
      </c>
      <c r="E26" s="352">
        <v>-2274253342</v>
      </c>
      <c r="F26" s="352">
        <v>-375675282</v>
      </c>
      <c r="G26" s="352">
        <v>-183855699</v>
      </c>
      <c r="H26" s="352">
        <v>-511919483</v>
      </c>
      <c r="I26" s="352">
        <v>-134446233</v>
      </c>
      <c r="J26" s="352">
        <v>-268751898</v>
      </c>
      <c r="K26" s="352">
        <v>-530241492</v>
      </c>
      <c r="L26" s="352">
        <v>-98254474</v>
      </c>
      <c r="M26" s="352">
        <v>-61337492</v>
      </c>
      <c r="N26" s="352">
        <v>-109771289</v>
      </c>
      <c r="O26" s="352"/>
      <c r="P26" s="352"/>
    </row>
    <row r="27" spans="1:16" ht="33.6" customHeight="1" x14ac:dyDescent="0.3">
      <c r="A27"/>
      <c r="B27" s="378">
        <v>23</v>
      </c>
      <c r="C27" s="1191"/>
      <c r="D27" s="388" t="s">
        <v>3454</v>
      </c>
      <c r="E27" s="352">
        <v>110580496</v>
      </c>
      <c r="F27" s="352">
        <v>8296212</v>
      </c>
      <c r="G27" s="352">
        <v>4705900</v>
      </c>
      <c r="H27" s="352">
        <v>3202074</v>
      </c>
      <c r="I27" s="352">
        <v>13251459</v>
      </c>
      <c r="J27" s="352">
        <v>24769180</v>
      </c>
      <c r="K27" s="352">
        <v>49474888</v>
      </c>
      <c r="L27" s="352">
        <v>682469</v>
      </c>
      <c r="M27" s="352">
        <v>5658111</v>
      </c>
      <c r="N27" s="352">
        <v>540203</v>
      </c>
      <c r="O27" s="352"/>
      <c r="P27" s="352"/>
    </row>
    <row r="28" spans="1:16" ht="33.6" customHeight="1" x14ac:dyDescent="0.3">
      <c r="A28" t="s">
        <v>3391</v>
      </c>
      <c r="B28" s="378">
        <v>24</v>
      </c>
      <c r="C28" s="1191"/>
      <c r="D28" s="388" t="s">
        <v>0</v>
      </c>
      <c r="E28" s="352">
        <v>-5.9977173805236816E-7</v>
      </c>
      <c r="F28" s="352">
        <v>4243989.4089122117</v>
      </c>
      <c r="G28" s="352">
        <v>-10035380.80863595</v>
      </c>
      <c r="H28" s="352">
        <v>8257294.6404421031</v>
      </c>
      <c r="I28" s="352">
        <v>-2450559.5608254075</v>
      </c>
      <c r="J28" s="352">
        <v>2541673.9975084066</v>
      </c>
      <c r="K28" s="352">
        <v>-5015574.3915663958</v>
      </c>
      <c r="L28" s="352">
        <v>436831.09685629606</v>
      </c>
      <c r="M28" s="352">
        <v>5832041.4537716806</v>
      </c>
      <c r="N28" s="352">
        <v>-3810315.8364635445</v>
      </c>
      <c r="O28" s="352"/>
      <c r="P28" s="352"/>
    </row>
    <row r="29" spans="1:16" ht="33.6" customHeight="1" x14ac:dyDescent="0.3">
      <c r="A29" t="s">
        <v>3392</v>
      </c>
      <c r="B29" s="378">
        <v>25</v>
      </c>
      <c r="C29" s="1191"/>
      <c r="D29" s="388" t="s">
        <v>3393</v>
      </c>
      <c r="E29" s="352">
        <v>48282</v>
      </c>
      <c r="F29" s="352"/>
      <c r="G29" s="352">
        <v>6700</v>
      </c>
      <c r="H29" s="352">
        <v>-641500</v>
      </c>
      <c r="I29" s="352">
        <v>67082</v>
      </c>
      <c r="J29" s="352">
        <v>1157500</v>
      </c>
      <c r="K29" s="352">
        <v>-541500</v>
      </c>
      <c r="L29" s="352"/>
      <c r="M29" s="352"/>
      <c r="N29" s="352"/>
      <c r="O29" s="352"/>
      <c r="P29" s="352"/>
    </row>
    <row r="30" spans="1:16" ht="33.6" customHeight="1" x14ac:dyDescent="0.3">
      <c r="A30" t="s">
        <v>3394</v>
      </c>
      <c r="B30" s="378">
        <v>26</v>
      </c>
      <c r="C30" s="1191"/>
      <c r="D30" s="388" t="s">
        <v>1</v>
      </c>
      <c r="E30" s="352">
        <v>-199276230</v>
      </c>
      <c r="F30" s="352">
        <v>-2575247</v>
      </c>
      <c r="G30" s="352">
        <v>-18789290</v>
      </c>
      <c r="H30" s="352">
        <v>15439142</v>
      </c>
      <c r="I30" s="352">
        <v>-2022358</v>
      </c>
      <c r="J30" s="352">
        <v>-143122461</v>
      </c>
      <c r="K30" s="352">
        <v>-45759153</v>
      </c>
      <c r="L30" s="352">
        <v>-838985</v>
      </c>
      <c r="M30" s="352">
        <v>-1402419</v>
      </c>
      <c r="N30" s="352">
        <v>-205459</v>
      </c>
      <c r="O30" s="352"/>
      <c r="P30" s="352"/>
    </row>
    <row r="31" spans="1:16" ht="33.6" customHeight="1" x14ac:dyDescent="0.3">
      <c r="A31" t="s">
        <v>3395</v>
      </c>
      <c r="B31" s="378">
        <v>27</v>
      </c>
      <c r="C31" s="1191"/>
      <c r="D31" s="388" t="s">
        <v>3396</v>
      </c>
      <c r="E31" s="352">
        <v>58976640</v>
      </c>
      <c r="F31" s="352">
        <v>8550229</v>
      </c>
      <c r="G31" s="352">
        <v>16930161</v>
      </c>
      <c r="H31" s="352">
        <v>10041332</v>
      </c>
      <c r="I31" s="352">
        <v>2622326</v>
      </c>
      <c r="J31" s="352">
        <v>16007026</v>
      </c>
      <c r="K31" s="352">
        <v>964497</v>
      </c>
      <c r="L31" s="352">
        <v>4017555</v>
      </c>
      <c r="M31" s="352">
        <v>202235</v>
      </c>
      <c r="N31" s="352">
        <v>-358721</v>
      </c>
      <c r="O31" s="352"/>
      <c r="P31" s="352"/>
    </row>
    <row r="32" spans="1:16" ht="33.6" customHeight="1" x14ac:dyDescent="0.3">
      <c r="A32" t="s">
        <v>3392</v>
      </c>
      <c r="B32" s="378" t="s">
        <v>3397</v>
      </c>
      <c r="C32" s="1191"/>
      <c r="D32" s="388" t="s">
        <v>3398</v>
      </c>
      <c r="E32" s="352">
        <v>70525000</v>
      </c>
      <c r="F32" s="352">
        <v>0</v>
      </c>
      <c r="G32" s="352">
        <v>14415750</v>
      </c>
      <c r="H32" s="352">
        <v>8483750</v>
      </c>
      <c r="I32" s="352">
        <v>11331250</v>
      </c>
      <c r="J32" s="352">
        <v>8655750</v>
      </c>
      <c r="K32" s="352">
        <v>23103500</v>
      </c>
      <c r="L32" s="352"/>
      <c r="M32" s="352">
        <v>100000</v>
      </c>
      <c r="N32" s="352">
        <v>4435000</v>
      </c>
      <c r="O32" s="352"/>
      <c r="P32" s="352"/>
    </row>
    <row r="33" spans="1:17" ht="33.6" customHeight="1" x14ac:dyDescent="0.3">
      <c r="A33" t="s">
        <v>3399</v>
      </c>
      <c r="B33" s="378" t="s">
        <v>3400</v>
      </c>
      <c r="C33" s="1191"/>
      <c r="D33" s="388" t="s">
        <v>3485</v>
      </c>
      <c r="E33" s="352">
        <v>1</v>
      </c>
      <c r="F33" s="352">
        <v>27503988</v>
      </c>
      <c r="G33" s="352">
        <v>-18651592</v>
      </c>
      <c r="H33" s="352">
        <v>5431523</v>
      </c>
      <c r="I33" s="352">
        <v>14298562</v>
      </c>
      <c r="J33" s="352">
        <v>488445</v>
      </c>
      <c r="K33" s="352">
        <v>3853255</v>
      </c>
      <c r="L33" s="352">
        <v>2752006</v>
      </c>
      <c r="M33" s="352">
        <v>-1789547</v>
      </c>
      <c r="N33" s="352">
        <v>-33883885</v>
      </c>
      <c r="O33" s="352"/>
      <c r="P33" s="352">
        <v>-2754</v>
      </c>
    </row>
    <row r="34" spans="1:17" ht="33.6" customHeight="1" x14ac:dyDescent="0.3">
      <c r="A34" t="s">
        <v>3402</v>
      </c>
      <c r="B34" s="378" t="s">
        <v>3403</v>
      </c>
      <c r="C34" s="1191"/>
      <c r="D34" s="388" t="s">
        <v>3404</v>
      </c>
      <c r="E34" s="352">
        <v>-13408923.770000003</v>
      </c>
      <c r="F34" s="352">
        <v>-5225757.72</v>
      </c>
      <c r="G34" s="352">
        <v>803536.98</v>
      </c>
      <c r="H34" s="352">
        <v>-2522016.87</v>
      </c>
      <c r="I34" s="352">
        <v>-4882409.8600000003</v>
      </c>
      <c r="J34" s="352">
        <v>-1957322.05</v>
      </c>
      <c r="K34" s="352">
        <v>-5018898.45</v>
      </c>
      <c r="L34" s="352">
        <v>-522881.14</v>
      </c>
      <c r="M34" s="352">
        <v>321013.93</v>
      </c>
      <c r="N34" s="352">
        <v>5595288.1500000004</v>
      </c>
      <c r="O34" s="352">
        <v>0</v>
      </c>
      <c r="P34" s="352">
        <v>523.26</v>
      </c>
    </row>
    <row r="35" spans="1:17" ht="33.6" customHeight="1" x14ac:dyDescent="0.3">
      <c r="A35"/>
      <c r="B35" s="378" t="s">
        <v>3405</v>
      </c>
      <c r="C35" s="1191"/>
      <c r="D35" s="388" t="s">
        <v>3406</v>
      </c>
      <c r="E35" s="352">
        <v>-1058599.2450000001</v>
      </c>
      <c r="F35" s="352">
        <v>-412559.82</v>
      </c>
      <c r="G35" s="352">
        <v>63437.13</v>
      </c>
      <c r="H35" s="352">
        <v>-199106.595</v>
      </c>
      <c r="I35" s="352">
        <v>-385453.41</v>
      </c>
      <c r="J35" s="352">
        <v>-154525.42499999999</v>
      </c>
      <c r="K35" s="352">
        <v>-396228.82500000001</v>
      </c>
      <c r="L35" s="352">
        <v>-41280.089999999997</v>
      </c>
      <c r="M35" s="352">
        <v>25343.204999999998</v>
      </c>
      <c r="N35" s="352">
        <v>441733.27499999997</v>
      </c>
      <c r="O35" s="352">
        <v>0</v>
      </c>
      <c r="P35" s="352">
        <v>41.309999999999995</v>
      </c>
    </row>
    <row r="36" spans="1:17" ht="33.6" customHeight="1" x14ac:dyDescent="0.3">
      <c r="A36"/>
      <c r="B36" s="378" t="s">
        <v>3407</v>
      </c>
      <c r="C36" s="1191"/>
      <c r="D36" s="388" t="s">
        <v>3408</v>
      </c>
      <c r="E36" s="352">
        <v>1058599.2450000001</v>
      </c>
      <c r="F36" s="352">
        <v>412559.82</v>
      </c>
      <c r="G36" s="352">
        <v>-63437.13</v>
      </c>
      <c r="H36" s="352">
        <v>199106.595</v>
      </c>
      <c r="I36" s="352">
        <v>385453.41</v>
      </c>
      <c r="J36" s="352">
        <v>154525.42499999999</v>
      </c>
      <c r="K36" s="352">
        <v>396228.82500000001</v>
      </c>
      <c r="L36" s="352">
        <v>41280.089999999997</v>
      </c>
      <c r="M36" s="352">
        <v>-25343.204999999998</v>
      </c>
      <c r="N36" s="352">
        <v>-441733.27499999997</v>
      </c>
      <c r="O36" s="352">
        <v>0</v>
      </c>
      <c r="P36" s="352">
        <v>-41.309999999999995</v>
      </c>
    </row>
    <row r="37" spans="1:17" ht="33.6" customHeight="1" x14ac:dyDescent="0.3">
      <c r="A37"/>
      <c r="B37" s="378" t="s">
        <v>3409</v>
      </c>
      <c r="C37" s="1191"/>
      <c r="D37" s="388" t="s">
        <v>3486</v>
      </c>
      <c r="E37" s="352">
        <v>-352880.18500000006</v>
      </c>
      <c r="F37" s="352">
        <v>-137519.94</v>
      </c>
      <c r="G37" s="352">
        <v>21145.71</v>
      </c>
      <c r="H37" s="352">
        <v>-66368.865000000005</v>
      </c>
      <c r="I37" s="352">
        <v>-128484.47</v>
      </c>
      <c r="J37" s="352">
        <v>-51508.474999999999</v>
      </c>
      <c r="K37" s="352">
        <v>-132076.27499999999</v>
      </c>
      <c r="L37" s="352">
        <v>-13760.03</v>
      </c>
      <c r="M37" s="352">
        <v>8447.7350000000006</v>
      </c>
      <c r="N37" s="352">
        <v>147244.42500000002</v>
      </c>
      <c r="O37" s="352">
        <v>0</v>
      </c>
      <c r="P37" s="352"/>
    </row>
    <row r="38" spans="1:17" ht="33.6" customHeight="1" x14ac:dyDescent="0.3">
      <c r="A38"/>
      <c r="B38" s="378">
        <v>30</v>
      </c>
      <c r="C38" s="1191"/>
      <c r="D38" s="388" t="s">
        <v>3411</v>
      </c>
      <c r="E38" s="352">
        <v>0</v>
      </c>
      <c r="F38" s="352"/>
      <c r="G38" s="352">
        <v>-12000</v>
      </c>
      <c r="H38" s="352">
        <v>12000</v>
      </c>
      <c r="I38" s="352"/>
      <c r="J38" s="352"/>
      <c r="K38" s="352"/>
      <c r="L38" s="352"/>
      <c r="M38" s="352"/>
      <c r="N38" s="352"/>
      <c r="O38" s="352"/>
      <c r="P38" s="352"/>
    </row>
    <row r="39" spans="1:17" ht="33.6" customHeight="1" x14ac:dyDescent="0.3">
      <c r="A39" t="s">
        <v>3412</v>
      </c>
      <c r="B39" s="378">
        <v>31</v>
      </c>
      <c r="C39" s="1191"/>
      <c r="D39" s="388" t="s">
        <v>3413</v>
      </c>
      <c r="E39" s="352">
        <v>-30240731</v>
      </c>
      <c r="F39" s="352">
        <v>-2219153</v>
      </c>
      <c r="G39" s="352">
        <v>-6320938</v>
      </c>
      <c r="H39" s="352">
        <v>-3669473</v>
      </c>
      <c r="I39" s="352">
        <v>-1886673</v>
      </c>
      <c r="J39" s="352">
        <v>-9532378</v>
      </c>
      <c r="K39" s="352">
        <v>-2907983</v>
      </c>
      <c r="L39" s="352">
        <v>-2049621</v>
      </c>
      <c r="M39" s="352">
        <v>-852812</v>
      </c>
      <c r="N39" s="352">
        <v>-494162</v>
      </c>
      <c r="O39" s="352"/>
      <c r="P39" s="352">
        <v>-307538</v>
      </c>
    </row>
    <row r="40" spans="1:17" ht="33.6" customHeight="1" x14ac:dyDescent="0.3">
      <c r="A40"/>
      <c r="B40" s="378">
        <v>32</v>
      </c>
      <c r="C40" s="1191"/>
      <c r="D40" s="388" t="s">
        <v>3414</v>
      </c>
      <c r="E40" s="352">
        <v>36508991</v>
      </c>
      <c r="F40" s="352">
        <v>1795583</v>
      </c>
      <c r="G40" s="352">
        <v>5710396</v>
      </c>
      <c r="H40" s="352">
        <v>2486043</v>
      </c>
      <c r="I40" s="352">
        <v>0</v>
      </c>
      <c r="J40" s="352">
        <v>20517378</v>
      </c>
      <c r="K40" s="352">
        <v>0</v>
      </c>
      <c r="L40" s="352">
        <v>4968719</v>
      </c>
      <c r="M40" s="352">
        <v>1030872</v>
      </c>
      <c r="N40" s="352">
        <v>0</v>
      </c>
      <c r="O40" s="352"/>
      <c r="P40" s="352"/>
    </row>
    <row r="41" spans="1:17" ht="33.6" customHeight="1" x14ac:dyDescent="0.3">
      <c r="A41"/>
      <c r="B41" s="380">
        <v>33</v>
      </c>
      <c r="C41" s="381" t="s">
        <v>41</v>
      </c>
      <c r="D41" s="382"/>
      <c r="E41" s="383">
        <v>20821780456.588112</v>
      </c>
      <c r="F41" s="383">
        <v>1991001395.9430597</v>
      </c>
      <c r="G41" s="383">
        <v>5112671112.6839399</v>
      </c>
      <c r="H41" s="383">
        <v>2429019843.9106121</v>
      </c>
      <c r="I41" s="383">
        <v>1222840057.1106641</v>
      </c>
      <c r="J41" s="383">
        <v>3680770575.3421493</v>
      </c>
      <c r="K41" s="383">
        <v>2261669106.1367583</v>
      </c>
      <c r="L41" s="383">
        <v>1112922279.9189904</v>
      </c>
      <c r="M41" s="383">
        <v>876508953.63261545</v>
      </c>
      <c r="N41" s="383">
        <v>1894220874.370894</v>
      </c>
      <c r="O41" s="383">
        <v>0</v>
      </c>
      <c r="P41" s="383">
        <v>240156257.53842407</v>
      </c>
    </row>
    <row r="42" spans="1:17" ht="33.6" customHeight="1" x14ac:dyDescent="0.3">
      <c r="A42" t="s">
        <v>3415</v>
      </c>
      <c r="B42" s="378">
        <v>34</v>
      </c>
      <c r="C42" s="1192" t="s">
        <v>54</v>
      </c>
      <c r="D42" s="389" t="s">
        <v>3416</v>
      </c>
      <c r="E42" s="352">
        <v>594543597.03870475</v>
      </c>
      <c r="F42" s="352">
        <v>23368792.240614057</v>
      </c>
      <c r="G42" s="352">
        <v>131705278.71152449</v>
      </c>
      <c r="H42" s="352">
        <v>89068758.652808666</v>
      </c>
      <c r="I42" s="352">
        <v>98166075.429957509</v>
      </c>
      <c r="J42" s="352">
        <v>104822646.08441782</v>
      </c>
      <c r="K42" s="352">
        <v>56575163.987160683</v>
      </c>
      <c r="L42" s="352">
        <v>19774220.625091791</v>
      </c>
      <c r="M42" s="352">
        <v>-600200.11916959286</v>
      </c>
      <c r="N42" s="352">
        <v>50748080.426299334</v>
      </c>
      <c r="O42" s="352">
        <v>0</v>
      </c>
      <c r="P42" s="352">
        <v>20914781</v>
      </c>
      <c r="Q42" s="130" t="s">
        <v>45</v>
      </c>
    </row>
    <row r="43" spans="1:17" ht="33.6" customHeight="1" x14ac:dyDescent="0.3">
      <c r="A43"/>
      <c r="B43" s="378">
        <v>35</v>
      </c>
      <c r="C43" s="1192"/>
      <c r="D43" s="389" t="s">
        <v>3417</v>
      </c>
      <c r="E43" s="352">
        <v>27773592</v>
      </c>
      <c r="F43" s="352">
        <v>825352</v>
      </c>
      <c r="G43" s="352">
        <v>12188858</v>
      </c>
      <c r="H43" s="352">
        <v>1474198</v>
      </c>
      <c r="I43" s="352">
        <v>1183336</v>
      </c>
      <c r="J43" s="352">
        <v>7507720</v>
      </c>
      <c r="K43" s="352">
        <v>1409562</v>
      </c>
      <c r="L43" s="352">
        <v>676192</v>
      </c>
      <c r="M43" s="352">
        <v>2508374</v>
      </c>
      <c r="N43" s="352"/>
      <c r="O43" s="352"/>
      <c r="P43" s="352"/>
    </row>
    <row r="44" spans="1:17" ht="33.6" customHeight="1" x14ac:dyDescent="0.3">
      <c r="A44"/>
      <c r="B44" s="378"/>
      <c r="C44" s="1192"/>
      <c r="D44" s="389"/>
      <c r="E44" s="352">
        <v>0</v>
      </c>
      <c r="F44" s="352"/>
      <c r="G44" s="352"/>
      <c r="H44" s="352"/>
      <c r="I44" s="352"/>
      <c r="J44" s="352"/>
      <c r="K44" s="352"/>
      <c r="L44" s="352"/>
      <c r="M44" s="352"/>
      <c r="N44" s="352"/>
      <c r="O44" s="352"/>
      <c r="P44" s="352"/>
      <c r="Q44" s="130" t="e">
        <f>SUMIF(#REF!,"&gt;0",Q:Q)</f>
        <v>#REF!</v>
      </c>
    </row>
    <row r="45" spans="1:17" ht="33.6" customHeight="1" x14ac:dyDescent="0.3">
      <c r="A45"/>
      <c r="B45" s="378">
        <v>36</v>
      </c>
      <c r="C45" s="1192"/>
      <c r="D45" s="389" t="s">
        <v>3418</v>
      </c>
      <c r="E45" s="352">
        <v>225557651</v>
      </c>
      <c r="F45" s="352"/>
      <c r="G45" s="352">
        <v>207636294</v>
      </c>
      <c r="H45" s="352"/>
      <c r="I45" s="352"/>
      <c r="J45" s="352"/>
      <c r="K45" s="352"/>
      <c r="L45" s="352">
        <v>7911737</v>
      </c>
      <c r="M45" s="352">
        <v>10009620</v>
      </c>
      <c r="N45" s="352"/>
      <c r="O45" s="352"/>
      <c r="P45" s="352"/>
    </row>
    <row r="46" spans="1:17" ht="33.6" customHeight="1" x14ac:dyDescent="0.3">
      <c r="A46"/>
      <c r="B46" s="378" t="s">
        <v>3419</v>
      </c>
      <c r="C46" s="1192"/>
      <c r="D46" s="389" t="s">
        <v>3420</v>
      </c>
      <c r="E46" s="352">
        <v>2798458995.8787732</v>
      </c>
      <c r="F46" s="352">
        <v>111582637.17785829</v>
      </c>
      <c r="G46" s="352">
        <v>700302532.52896512</v>
      </c>
      <c r="H46" s="352">
        <v>355888861.81313878</v>
      </c>
      <c r="I46" s="352">
        <v>157436739.1904521</v>
      </c>
      <c r="J46" s="352">
        <v>542451687.5886364</v>
      </c>
      <c r="K46" s="352">
        <v>242624988.28136709</v>
      </c>
      <c r="L46" s="352">
        <v>155491485.46319884</v>
      </c>
      <c r="M46" s="352">
        <v>102305420.26237887</v>
      </c>
      <c r="N46" s="352">
        <v>391972255.45181268</v>
      </c>
      <c r="O46" s="352">
        <v>0</v>
      </c>
      <c r="P46" s="352">
        <v>38402388.120965697</v>
      </c>
    </row>
    <row r="47" spans="1:17" ht="33.6" customHeight="1" x14ac:dyDescent="0.3">
      <c r="A47"/>
      <c r="B47" s="378" t="s">
        <v>3421</v>
      </c>
      <c r="C47" s="1192"/>
      <c r="D47" s="389" t="s">
        <v>3422</v>
      </c>
      <c r="E47" s="352">
        <v>439291684</v>
      </c>
      <c r="F47" s="352"/>
      <c r="G47" s="352"/>
      <c r="H47" s="352"/>
      <c r="I47" s="352"/>
      <c r="J47" s="352"/>
      <c r="K47" s="352"/>
      <c r="L47" s="352"/>
      <c r="M47" s="352"/>
      <c r="N47" s="352">
        <v>439291684</v>
      </c>
      <c r="O47" s="352"/>
      <c r="P47" s="352"/>
    </row>
    <row r="48" spans="1:17" ht="33.6" customHeight="1" x14ac:dyDescent="0.3">
      <c r="A48"/>
      <c r="B48" s="378">
        <v>38</v>
      </c>
      <c r="C48" s="1192"/>
      <c r="D48" s="389" t="s">
        <v>3985</v>
      </c>
      <c r="E48" s="352">
        <v>826939990.0000248</v>
      </c>
      <c r="F48" s="352">
        <v>64646012</v>
      </c>
      <c r="G48" s="352">
        <v>243002231</v>
      </c>
      <c r="H48" s="352">
        <v>95740814</v>
      </c>
      <c r="I48" s="352">
        <v>40675339</v>
      </c>
      <c r="J48" s="352">
        <v>212730374</v>
      </c>
      <c r="K48" s="352">
        <v>74474560</v>
      </c>
      <c r="L48" s="352">
        <v>40456870</v>
      </c>
      <c r="M48" s="352">
        <v>31390228</v>
      </c>
      <c r="N48" s="352">
        <v>22108398</v>
      </c>
      <c r="O48" s="352"/>
      <c r="P48" s="352">
        <v>1715164.0000248232</v>
      </c>
    </row>
    <row r="49" spans="1:16" ht="31.2" x14ac:dyDescent="0.3">
      <c r="A49" t="s">
        <v>3374</v>
      </c>
      <c r="B49" s="378">
        <v>39</v>
      </c>
      <c r="C49" s="1192"/>
      <c r="D49" s="389" t="s">
        <v>3423</v>
      </c>
      <c r="E49" s="352">
        <v>1611831519.6120584</v>
      </c>
      <c r="F49" s="352">
        <v>1343818.2226431104</v>
      </c>
      <c r="G49" s="352">
        <v>294319989.99110591</v>
      </c>
      <c r="H49" s="352">
        <v>282122024.85560125</v>
      </c>
      <c r="I49" s="352">
        <v>146075173.35479435</v>
      </c>
      <c r="J49" s="352">
        <v>391581495.79217201</v>
      </c>
      <c r="K49" s="352">
        <v>474868506.57518548</v>
      </c>
      <c r="L49" s="352">
        <v>0</v>
      </c>
      <c r="M49" s="352">
        <v>817135.42130582419</v>
      </c>
      <c r="N49" s="352">
        <v>20703375.399250362</v>
      </c>
      <c r="O49" s="352">
        <v>0</v>
      </c>
      <c r="P49" s="352">
        <v>0</v>
      </c>
    </row>
    <row r="50" spans="1:16" ht="15.6" x14ac:dyDescent="0.3">
      <c r="A50" t="s">
        <v>3392</v>
      </c>
      <c r="B50" s="378">
        <v>40</v>
      </c>
      <c r="C50" s="1192"/>
      <c r="D50" s="389" t="s">
        <v>3424</v>
      </c>
      <c r="E50" s="352">
        <v>200493750</v>
      </c>
      <c r="F50" s="352"/>
      <c r="G50" s="352">
        <v>40523750</v>
      </c>
      <c r="H50" s="352">
        <v>31620000</v>
      </c>
      <c r="I50" s="352">
        <v>29771250</v>
      </c>
      <c r="J50" s="352">
        <v>36465000</v>
      </c>
      <c r="K50" s="352">
        <v>57247500</v>
      </c>
      <c r="L50" s="352"/>
      <c r="M50" s="352">
        <v>85000</v>
      </c>
      <c r="N50" s="352">
        <v>4781250</v>
      </c>
      <c r="O50" s="352"/>
      <c r="P50" s="352"/>
    </row>
    <row r="51" spans="1:16" ht="31.2" x14ac:dyDescent="0.3">
      <c r="A51"/>
      <c r="B51" s="378" t="s">
        <v>2832</v>
      </c>
      <c r="C51" s="1192"/>
      <c r="D51" s="389" t="s">
        <v>2836</v>
      </c>
      <c r="E51" s="352">
        <v>-1277517404.9732542</v>
      </c>
      <c r="F51" s="352">
        <v>-38335656.211811937</v>
      </c>
      <c r="G51" s="352">
        <v>-309638997.50400317</v>
      </c>
      <c r="H51" s="352">
        <v>-162623784.89109427</v>
      </c>
      <c r="I51" s="352">
        <v>-89928503.465288758</v>
      </c>
      <c r="J51" s="352">
        <v>-246156195.45839298</v>
      </c>
      <c r="K51" s="352">
        <v>-172368053.36030552</v>
      </c>
      <c r="L51" s="352">
        <v>-42618995.966775224</v>
      </c>
      <c r="M51" s="352">
        <v>-27951997.759900093</v>
      </c>
      <c r="N51" s="352">
        <v>-176624958.22269887</v>
      </c>
      <c r="O51" s="352">
        <v>0</v>
      </c>
      <c r="P51" s="352">
        <v>-11270262.132983483</v>
      </c>
    </row>
    <row r="52" spans="1:16" ht="31.2" x14ac:dyDescent="0.3">
      <c r="A52"/>
      <c r="B52" s="378" t="s">
        <v>2833</v>
      </c>
      <c r="C52" s="1192"/>
      <c r="D52" s="389" t="s">
        <v>2837</v>
      </c>
      <c r="E52" s="352">
        <v>114038.02264222264</v>
      </c>
      <c r="F52" s="352"/>
      <c r="G52" s="352"/>
      <c r="H52" s="352"/>
      <c r="I52" s="352"/>
      <c r="J52" s="352"/>
      <c r="K52" s="352"/>
      <c r="L52" s="352"/>
      <c r="M52" s="352">
        <v>114038.02264222264</v>
      </c>
      <c r="N52" s="352">
        <v>0</v>
      </c>
      <c r="O52" s="352">
        <v>0</v>
      </c>
      <c r="P52" s="352">
        <v>0</v>
      </c>
    </row>
    <row r="53" spans="1:16" ht="15.6" x14ac:dyDescent="0.3">
      <c r="A53"/>
      <c r="B53" s="378">
        <v>41</v>
      </c>
      <c r="C53" s="1192"/>
      <c r="D53" s="389" t="s">
        <v>42</v>
      </c>
      <c r="E53" s="352">
        <v>-1277403366.9506121</v>
      </c>
      <c r="F53" s="352">
        <v>-38335656.211811937</v>
      </c>
      <c r="G53" s="352">
        <v>-309638997.50400317</v>
      </c>
      <c r="H53" s="352">
        <v>-162623784.89109427</v>
      </c>
      <c r="I53" s="352">
        <v>-89928503.465288758</v>
      </c>
      <c r="J53" s="352">
        <v>-246156195.45839298</v>
      </c>
      <c r="K53" s="352">
        <v>-172368053.36030552</v>
      </c>
      <c r="L53" s="352">
        <v>-42618995.966775224</v>
      </c>
      <c r="M53" s="352">
        <v>-27837959.737257872</v>
      </c>
      <c r="N53" s="352">
        <v>-176624958.22269887</v>
      </c>
      <c r="O53" s="352">
        <v>0</v>
      </c>
      <c r="P53" s="352">
        <v>-11270262.132983483</v>
      </c>
    </row>
    <row r="54" spans="1:16" ht="31.2" x14ac:dyDescent="0.3">
      <c r="A54"/>
      <c r="B54" s="378" t="s">
        <v>2834</v>
      </c>
      <c r="C54" s="1192"/>
      <c r="D54" s="389" t="s">
        <v>3487</v>
      </c>
      <c r="E54" s="352">
        <v>-33322293.232638706</v>
      </c>
      <c r="F54" s="352">
        <v>-1008833.0582055773</v>
      </c>
      <c r="G54" s="352">
        <v>-8148394.6711579775</v>
      </c>
      <c r="H54" s="352">
        <v>-4279573.2866077432</v>
      </c>
      <c r="I54" s="352">
        <v>-2366539.56487602</v>
      </c>
      <c r="J54" s="352">
        <v>-6477794.6173261311</v>
      </c>
      <c r="K54" s="352">
        <v>-4536001.4042185666</v>
      </c>
      <c r="L54" s="352">
        <v>-1121552.5254414531</v>
      </c>
      <c r="M54" s="352">
        <v>-735578.88841842359</v>
      </c>
      <c r="N54" s="352">
        <v>-4648025.2163868127</v>
      </c>
      <c r="O54" s="352">
        <v>0</v>
      </c>
      <c r="P54" s="352"/>
    </row>
    <row r="55" spans="1:16" ht="31.2" x14ac:dyDescent="0.3">
      <c r="A55"/>
      <c r="B55" s="378" t="s">
        <v>2835</v>
      </c>
      <c r="C55" s="1192"/>
      <c r="D55" s="389" t="s">
        <v>3488</v>
      </c>
      <c r="E55" s="352">
        <v>3001.0005958479642</v>
      </c>
      <c r="F55" s="352"/>
      <c r="G55" s="352"/>
      <c r="H55" s="352"/>
      <c r="I55" s="352"/>
      <c r="J55" s="352"/>
      <c r="K55" s="352"/>
      <c r="L55" s="352"/>
      <c r="M55" s="352">
        <v>3001.0005958479642</v>
      </c>
      <c r="N55" s="352"/>
      <c r="O55" s="352">
        <v>0</v>
      </c>
      <c r="P55" s="352"/>
    </row>
    <row r="56" spans="1:16" ht="14.4" customHeight="1" x14ac:dyDescent="0.3">
      <c r="A56"/>
      <c r="B56" s="378">
        <v>42</v>
      </c>
      <c r="C56" s="1192"/>
      <c r="D56" s="389" t="s">
        <v>3489</v>
      </c>
      <c r="E56" s="352">
        <v>-33319292.232042857</v>
      </c>
      <c r="F56" s="352">
        <v>-1008833.0582055773</v>
      </c>
      <c r="G56" s="352">
        <v>-8148394.6711579775</v>
      </c>
      <c r="H56" s="352">
        <v>-4279573.2866077432</v>
      </c>
      <c r="I56" s="352">
        <v>-2366539.56487602</v>
      </c>
      <c r="J56" s="352">
        <v>-6477794.6173261311</v>
      </c>
      <c r="K56" s="352">
        <v>-4536001.4042185666</v>
      </c>
      <c r="L56" s="352">
        <v>-1121552.5254414531</v>
      </c>
      <c r="M56" s="352">
        <v>-732577.88782257563</v>
      </c>
      <c r="N56" s="352">
        <v>-4648025.2163868127</v>
      </c>
      <c r="O56" s="352">
        <v>0</v>
      </c>
      <c r="P56" s="352"/>
    </row>
    <row r="57" spans="1:16" ht="14.4" customHeight="1" x14ac:dyDescent="0.3">
      <c r="A57"/>
      <c r="B57" s="378" t="s">
        <v>2840</v>
      </c>
      <c r="C57" s="1192"/>
      <c r="D57" s="389" t="s">
        <v>2844</v>
      </c>
      <c r="E57" s="352">
        <v>-99966879.69791609</v>
      </c>
      <c r="F57" s="352">
        <v>-3026499.1746167317</v>
      </c>
      <c r="G57" s="352">
        <v>-24445184.013473932</v>
      </c>
      <c r="H57" s="352">
        <v>-12838719.859823231</v>
      </c>
      <c r="I57" s="352">
        <v>-7099618.6946280599</v>
      </c>
      <c r="J57" s="352">
        <v>-19433383.851978391</v>
      </c>
      <c r="K57" s="352">
        <v>-13608004.212655699</v>
      </c>
      <c r="L57" s="352">
        <v>-3364657.5763243595</v>
      </c>
      <c r="M57" s="352">
        <v>-2206736.6652552704</v>
      </c>
      <c r="N57" s="352">
        <v>-13944075.649160437</v>
      </c>
      <c r="O57" s="352"/>
      <c r="P57" s="352"/>
    </row>
    <row r="58" spans="1:16" ht="31.2" x14ac:dyDescent="0.3">
      <c r="A58"/>
      <c r="B58" s="378" t="s">
        <v>2841</v>
      </c>
      <c r="C58" s="1192"/>
      <c r="D58" s="389" t="s">
        <v>2845</v>
      </c>
      <c r="E58" s="352">
        <v>9003.0017875438916</v>
      </c>
      <c r="F58" s="352"/>
      <c r="G58" s="352"/>
      <c r="H58" s="352"/>
      <c r="I58" s="352"/>
      <c r="J58" s="352"/>
      <c r="K58" s="352"/>
      <c r="L58" s="352"/>
      <c r="M58" s="352">
        <v>9003.0017875438916</v>
      </c>
      <c r="N58" s="352"/>
      <c r="O58" s="352"/>
      <c r="P58" s="352"/>
    </row>
    <row r="59" spans="1:16" ht="15.6" x14ac:dyDescent="0.3">
      <c r="A59"/>
      <c r="B59" s="378">
        <v>43</v>
      </c>
      <c r="C59" s="1192"/>
      <c r="D59" s="389" t="s">
        <v>44</v>
      </c>
      <c r="E59" s="352">
        <v>-99957876.696128547</v>
      </c>
      <c r="F59" s="352">
        <v>-3026499.1746167317</v>
      </c>
      <c r="G59" s="352">
        <v>-24445184.013473932</v>
      </c>
      <c r="H59" s="352">
        <v>-12838719.859823231</v>
      </c>
      <c r="I59" s="352">
        <v>-7099618.6946280599</v>
      </c>
      <c r="J59" s="352">
        <v>-19433383.851978391</v>
      </c>
      <c r="K59" s="352">
        <v>-13608004.212655699</v>
      </c>
      <c r="L59" s="352">
        <v>-3364657.5763243595</v>
      </c>
      <c r="M59" s="352">
        <v>-2197733.6634677267</v>
      </c>
      <c r="N59" s="352">
        <v>-13944075.649160437</v>
      </c>
      <c r="O59" s="352"/>
      <c r="P59" s="352"/>
    </row>
    <row r="60" spans="1:16" ht="15.6" x14ac:dyDescent="0.3">
      <c r="A60"/>
      <c r="B60" s="378" t="s">
        <v>2842</v>
      </c>
      <c r="C60" s="1192"/>
      <c r="D60" s="389" t="s">
        <v>2846</v>
      </c>
      <c r="E60" s="352">
        <v>99966879.69791609</v>
      </c>
      <c r="F60" s="352">
        <v>3026499.1746167317</v>
      </c>
      <c r="G60" s="352">
        <v>24445184.013473932</v>
      </c>
      <c r="H60" s="352">
        <v>12838719.859823231</v>
      </c>
      <c r="I60" s="352">
        <v>7099618.6946280599</v>
      </c>
      <c r="J60" s="352">
        <v>19433383.851978391</v>
      </c>
      <c r="K60" s="352">
        <v>13608004.212655699</v>
      </c>
      <c r="L60" s="352">
        <v>3364657.5763243595</v>
      </c>
      <c r="M60" s="352">
        <v>2206736.6652552704</v>
      </c>
      <c r="N60" s="352">
        <v>13944075.649160437</v>
      </c>
      <c r="O60" s="352">
        <v>0</v>
      </c>
      <c r="P60" s="352">
        <v>0</v>
      </c>
    </row>
    <row r="61" spans="1:16" ht="31.2" x14ac:dyDescent="0.3">
      <c r="A61"/>
      <c r="B61" s="378" t="s">
        <v>2843</v>
      </c>
      <c r="C61" s="1192"/>
      <c r="D61" s="389" t="s">
        <v>2847</v>
      </c>
      <c r="E61" s="352">
        <v>-9003.0017875438916</v>
      </c>
      <c r="F61" s="352">
        <v>0</v>
      </c>
      <c r="G61" s="352">
        <v>0</v>
      </c>
      <c r="H61" s="352">
        <v>0</v>
      </c>
      <c r="I61" s="352">
        <v>0</v>
      </c>
      <c r="J61" s="352">
        <v>0</v>
      </c>
      <c r="K61" s="352">
        <v>0</v>
      </c>
      <c r="L61" s="352">
        <v>0</v>
      </c>
      <c r="M61" s="352">
        <v>-9003.0017875438916</v>
      </c>
      <c r="N61" s="352">
        <v>0</v>
      </c>
      <c r="O61" s="352">
        <v>0</v>
      </c>
      <c r="P61" s="352">
        <v>0</v>
      </c>
    </row>
    <row r="62" spans="1:16" ht="15.6" x14ac:dyDescent="0.3">
      <c r="A62"/>
      <c r="B62" s="378">
        <v>44</v>
      </c>
      <c r="C62" s="1192"/>
      <c r="D62" s="389" t="s">
        <v>31</v>
      </c>
      <c r="E62" s="352">
        <v>99957876.696128547</v>
      </c>
      <c r="F62" s="352">
        <v>3026499.1746167317</v>
      </c>
      <c r="G62" s="352">
        <v>24445184.013473932</v>
      </c>
      <c r="H62" s="352">
        <v>12838719.859823231</v>
      </c>
      <c r="I62" s="352">
        <v>7099618.6946280599</v>
      </c>
      <c r="J62" s="352">
        <v>19433383.851978391</v>
      </c>
      <c r="K62" s="352">
        <v>13608004.212655699</v>
      </c>
      <c r="L62" s="352">
        <v>3364657.5763243595</v>
      </c>
      <c r="M62" s="352">
        <v>2197733.6634677267</v>
      </c>
      <c r="N62" s="352">
        <v>13944075.649160437</v>
      </c>
      <c r="O62" s="352"/>
      <c r="P62" s="352">
        <v>0</v>
      </c>
    </row>
    <row r="63" spans="1:16" ht="15.6" x14ac:dyDescent="0.3">
      <c r="A63"/>
      <c r="B63" s="380">
        <v>45</v>
      </c>
      <c r="C63" s="381" t="s">
        <v>45</v>
      </c>
      <c r="D63" s="382"/>
      <c r="E63" s="383">
        <v>26235948576.935013</v>
      </c>
      <c r="F63" s="383">
        <v>2153423518.3141575</v>
      </c>
      <c r="G63" s="383">
        <v>6424562654.7403736</v>
      </c>
      <c r="H63" s="383">
        <v>3118031143.0544591</v>
      </c>
      <c r="I63" s="383">
        <v>1603852927.0557032</v>
      </c>
      <c r="J63" s="383">
        <v>4723695508.731657</v>
      </c>
      <c r="K63" s="383">
        <v>2991965332.2159476</v>
      </c>
      <c r="L63" s="383">
        <v>1293492236.5150645</v>
      </c>
      <c r="M63" s="383">
        <v>994453993.57205009</v>
      </c>
      <c r="N63" s="383">
        <v>2642552934.2091708</v>
      </c>
      <c r="O63" s="383">
        <v>0</v>
      </c>
      <c r="P63" s="383">
        <v>289918328.52643108</v>
      </c>
    </row>
    <row r="64" spans="1:16" ht="15.6" x14ac:dyDescent="0.3">
      <c r="A64"/>
      <c r="B64" s="390">
        <v>46</v>
      </c>
      <c r="C64" s="408" t="s">
        <v>46</v>
      </c>
      <c r="D64" s="391"/>
      <c r="E64" s="392">
        <v>22641300899.267155</v>
      </c>
      <c r="F64" s="392">
        <v>1815057410.2877197</v>
      </c>
      <c r="G64" s="392">
        <v>5543543465.0612659</v>
      </c>
      <c r="H64" s="392">
        <v>2737941471.4848261</v>
      </c>
      <c r="I64" s="392">
        <v>1106528904.3776338</v>
      </c>
      <c r="J64" s="392">
        <v>4595228837.9009075</v>
      </c>
      <c r="K64" s="392">
        <v>2177993876.3705449</v>
      </c>
      <c r="L64" s="392">
        <v>1161949432.4723454</v>
      </c>
      <c r="M64" s="392">
        <v>798418607.57435095</v>
      </c>
      <c r="N64" s="392">
        <v>2414720565.7375555</v>
      </c>
      <c r="O64" s="392"/>
      <c r="P64" s="392">
        <v>289918328</v>
      </c>
    </row>
    <row r="65" spans="1:16" ht="15.6" x14ac:dyDescent="0.3">
      <c r="A65"/>
      <c r="B65" s="380">
        <v>47</v>
      </c>
      <c r="C65" s="381" t="s">
        <v>47</v>
      </c>
      <c r="D65" s="382"/>
      <c r="E65" s="383">
        <v>3594647677.6678648</v>
      </c>
      <c r="F65" s="383">
        <v>338366108.02643776</v>
      </c>
      <c r="G65" s="383">
        <v>881019189.67910767</v>
      </c>
      <c r="H65" s="383">
        <v>380089671.56963301</v>
      </c>
      <c r="I65" s="383">
        <v>497324022.67806935</v>
      </c>
      <c r="J65" s="383">
        <v>128466670.83074951</v>
      </c>
      <c r="K65" s="383">
        <v>813971455.84540272</v>
      </c>
      <c r="L65" s="383">
        <v>131542804.04271913</v>
      </c>
      <c r="M65" s="383">
        <v>196035385.99769914</v>
      </c>
      <c r="N65" s="383">
        <v>227832368.47161531</v>
      </c>
      <c r="O65" s="383">
        <v>0</v>
      </c>
      <c r="P65" s="383">
        <v>0.52643108367919922</v>
      </c>
    </row>
    <row r="66" spans="1:16" ht="15.6" x14ac:dyDescent="0.3">
      <c r="A66" t="s">
        <v>3428</v>
      </c>
      <c r="B66" s="393">
        <v>48</v>
      </c>
      <c r="C66" s="409" t="s">
        <v>48</v>
      </c>
      <c r="D66" s="394"/>
      <c r="E66" s="395">
        <v>42779700</v>
      </c>
      <c r="F66" s="395">
        <v>4203600</v>
      </c>
      <c r="G66" s="395"/>
      <c r="H66" s="395"/>
      <c r="I66" s="395"/>
      <c r="J66" s="395">
        <v>3739200</v>
      </c>
      <c r="K66" s="395">
        <v>34836900</v>
      </c>
      <c r="L66" s="395"/>
      <c r="M66" s="395"/>
      <c r="N66" s="395"/>
      <c r="O66" s="395"/>
      <c r="P66" s="395"/>
    </row>
    <row r="67" spans="1:16" ht="15.6" x14ac:dyDescent="0.3">
      <c r="A67" t="s">
        <v>51</v>
      </c>
      <c r="B67" s="380">
        <v>49</v>
      </c>
      <c r="C67" s="381" t="s">
        <v>50</v>
      </c>
      <c r="D67" s="382"/>
      <c r="E67" s="383">
        <v>3637427377.6678648</v>
      </c>
      <c r="F67" s="383">
        <v>342569708.02643776</v>
      </c>
      <c r="G67" s="383">
        <v>881019189.67910767</v>
      </c>
      <c r="H67" s="383">
        <v>380089671.56963301</v>
      </c>
      <c r="I67" s="383">
        <v>497324022.67806935</v>
      </c>
      <c r="J67" s="383">
        <v>132205870.83074951</v>
      </c>
      <c r="K67" s="383">
        <v>848808355.84540272</v>
      </c>
      <c r="L67" s="383">
        <v>131542804.04271913</v>
      </c>
      <c r="M67" s="383">
        <v>196035385.99769914</v>
      </c>
      <c r="N67" s="383">
        <v>227832368.47161531</v>
      </c>
      <c r="O67" s="383">
        <v>0</v>
      </c>
      <c r="P67" s="383">
        <v>0.52643108367919922</v>
      </c>
    </row>
    <row r="68" spans="1:16" ht="15.6" x14ac:dyDescent="0.3">
      <c r="A68"/>
      <c r="B68" s="396">
        <v>50</v>
      </c>
      <c r="C68" s="398" t="s">
        <v>3455</v>
      </c>
      <c r="D68" s="397"/>
      <c r="E68" s="398">
        <v>0</v>
      </c>
      <c r="F68" s="398"/>
      <c r="G68" s="398"/>
      <c r="H68" s="398"/>
      <c r="I68" s="398"/>
      <c r="J68" s="398"/>
      <c r="K68" s="398"/>
      <c r="L68" s="398"/>
      <c r="M68" s="398"/>
      <c r="N68" s="398"/>
      <c r="O68" s="398"/>
      <c r="P68" s="398"/>
    </row>
    <row r="69" spans="1:16" ht="15.6" x14ac:dyDescent="0.3">
      <c r="A69"/>
      <c r="B69" s="378">
        <v>51</v>
      </c>
      <c r="C69"/>
      <c r="D69" s="399"/>
      <c r="E69"/>
      <c r="F69"/>
      <c r="G69"/>
      <c r="H69"/>
      <c r="I69"/>
      <c r="J69"/>
      <c r="K69"/>
      <c r="L69"/>
      <c r="M69"/>
      <c r="N69"/>
      <c r="O69"/>
      <c r="P69"/>
    </row>
    <row r="70" spans="1:16" ht="15.6" x14ac:dyDescent="0.3">
      <c r="A70"/>
      <c r="B70" s="378"/>
      <c r="C70"/>
      <c r="D70" s="399"/>
      <c r="E70"/>
      <c r="F70"/>
      <c r="G70"/>
      <c r="H70"/>
      <c r="I70"/>
      <c r="J70"/>
      <c r="K70"/>
      <c r="L70"/>
      <c r="M70"/>
      <c r="N70"/>
      <c r="O70"/>
      <c r="P70"/>
    </row>
    <row r="71" spans="1:16" ht="15.6" x14ac:dyDescent="0.3">
      <c r="A71"/>
      <c r="B71" s="378"/>
      <c r="C71" t="s">
        <v>3456</v>
      </c>
      <c r="D71" s="399"/>
      <c r="E71"/>
      <c r="F71" s="2">
        <f>F63+F66</f>
        <v>2157627118.3141575</v>
      </c>
      <c r="G71" s="2">
        <f t="shared" ref="G71:P71" si="0">G63+G66</f>
        <v>6424562654.7403736</v>
      </c>
      <c r="H71" s="2">
        <f t="shared" si="0"/>
        <v>3118031143.0544591</v>
      </c>
      <c r="I71" s="2">
        <f t="shared" si="0"/>
        <v>1603852927.0557032</v>
      </c>
      <c r="J71" s="2">
        <f t="shared" si="0"/>
        <v>4727434708.731657</v>
      </c>
      <c r="K71" s="2">
        <f t="shared" si="0"/>
        <v>3026802232.2159476</v>
      </c>
      <c r="L71" s="2">
        <f t="shared" si="0"/>
        <v>1293492236.5150645</v>
      </c>
      <c r="M71" s="2">
        <f t="shared" si="0"/>
        <v>994453993.57205009</v>
      </c>
      <c r="N71" s="2">
        <f t="shared" si="0"/>
        <v>2642552934.2091708</v>
      </c>
      <c r="O71" s="2">
        <f t="shared" si="0"/>
        <v>0</v>
      </c>
      <c r="P71" s="2">
        <f t="shared" si="0"/>
        <v>289918328.52643108</v>
      </c>
    </row>
    <row r="72" spans="1:16" ht="15.6" x14ac:dyDescent="0.3">
      <c r="A72"/>
      <c r="B72" s="378"/>
      <c r="C72" t="s">
        <v>3362</v>
      </c>
      <c r="D72" s="399"/>
      <c r="E72"/>
      <c r="F72" s="2">
        <f>F71-F73</f>
        <v>1891243439.5652454</v>
      </c>
      <c r="G72" s="2">
        <f t="shared" ref="G72:P72" si="1">G71-G73</f>
        <v>5819556211.8590097</v>
      </c>
      <c r="H72" s="2">
        <f t="shared" si="1"/>
        <v>2849548154.1490169</v>
      </c>
      <c r="I72" s="2">
        <f t="shared" si="1"/>
        <v>1234602242.9465287</v>
      </c>
      <c r="J72" s="2">
        <f t="shared" si="1"/>
        <v>4194092898.2591486</v>
      </c>
      <c r="K72" s="2">
        <f t="shared" si="1"/>
        <v>2371420274.3325138</v>
      </c>
      <c r="L72" s="2">
        <f t="shared" si="1"/>
        <v>1085243978.5882082</v>
      </c>
      <c r="M72" s="2">
        <f t="shared" si="1"/>
        <v>693112653.4532783</v>
      </c>
      <c r="N72" s="2">
        <f t="shared" si="1"/>
        <v>2558495466.4706345</v>
      </c>
      <c r="O72" s="2">
        <f t="shared" si="1"/>
        <v>0</v>
      </c>
      <c r="P72" s="2">
        <f t="shared" si="1"/>
        <v>232351260.26643109</v>
      </c>
    </row>
    <row r="73" spans="1:16" ht="15.6" x14ac:dyDescent="0.3">
      <c r="A73"/>
      <c r="B73" s="378"/>
      <c r="C73" t="s">
        <v>2</v>
      </c>
      <c r="D73" s="399"/>
      <c r="E73"/>
      <c r="F73" s="2">
        <f>SUM(F25:F40)</f>
        <v>266383678.74891219</v>
      </c>
      <c r="G73" s="2">
        <f t="shared" ref="G73:P73" si="2">SUM(G25:G40)</f>
        <v>605006442.88136411</v>
      </c>
      <c r="H73" s="2">
        <f t="shared" si="2"/>
        <v>268482988.90544212</v>
      </c>
      <c r="I73" s="2">
        <f t="shared" si="2"/>
        <v>369250684.10917455</v>
      </c>
      <c r="J73" s="2">
        <f t="shared" si="2"/>
        <v>533341810.47250837</v>
      </c>
      <c r="K73" s="2">
        <f t="shared" si="2"/>
        <v>655381957.88343358</v>
      </c>
      <c r="L73" s="2">
        <f t="shared" si="2"/>
        <v>208248257.92685631</v>
      </c>
      <c r="M73" s="2">
        <f t="shared" si="2"/>
        <v>301341340.11877173</v>
      </c>
      <c r="N73" s="2">
        <f t="shared" si="2"/>
        <v>84057467.738536462</v>
      </c>
      <c r="O73" s="2">
        <f t="shared" si="2"/>
        <v>0</v>
      </c>
      <c r="P73" s="2">
        <f t="shared" si="2"/>
        <v>57567068.259999998</v>
      </c>
    </row>
    <row r="74" spans="1:16" ht="15.6" x14ac:dyDescent="0.3">
      <c r="A74"/>
      <c r="B74" s="378"/>
      <c r="C74"/>
      <c r="D74" s="399"/>
      <c r="E74"/>
      <c r="F74"/>
      <c r="G74"/>
      <c r="H74"/>
      <c r="I74"/>
      <c r="J74"/>
      <c r="K74"/>
      <c r="L74"/>
      <c r="M74"/>
      <c r="N74"/>
      <c r="O74"/>
      <c r="P74"/>
    </row>
    <row r="75" spans="1:16" ht="15.6" x14ac:dyDescent="0.3">
      <c r="A75"/>
      <c r="B75" s="378"/>
      <c r="C75"/>
      <c r="D75" s="399"/>
      <c r="E75"/>
      <c r="F75"/>
      <c r="G75" s="410" t="s">
        <v>3457</v>
      </c>
      <c r="H75" s="411">
        <v>2849548154.1490169</v>
      </c>
      <c r="I75"/>
      <c r="J75"/>
      <c r="K75"/>
      <c r="L75"/>
      <c r="M75"/>
      <c r="N75"/>
      <c r="O75"/>
      <c r="P75"/>
    </row>
    <row r="76" spans="1:16" ht="15.6" x14ac:dyDescent="0.3">
      <c r="A76"/>
      <c r="B76" s="378"/>
      <c r="C76"/>
      <c r="D76" s="399"/>
      <c r="E76"/>
      <c r="F76"/>
      <c r="G76" s="410" t="s">
        <v>3458</v>
      </c>
      <c r="H76" s="411">
        <v>268482988.90544212</v>
      </c>
      <c r="I76"/>
      <c r="J76"/>
      <c r="K76"/>
      <c r="L76"/>
      <c r="M76"/>
      <c r="N76"/>
      <c r="O76"/>
      <c r="P76"/>
    </row>
    <row r="77" spans="1:16" ht="15.6" x14ac:dyDescent="0.3">
      <c r="G77" s="410" t="s">
        <v>3459</v>
      </c>
      <c r="H77" s="411">
        <v>2737941471.4848261</v>
      </c>
    </row>
  </sheetData>
  <mergeCells count="4">
    <mergeCell ref="C2:C8"/>
    <mergeCell ref="C10:C23"/>
    <mergeCell ref="C25:C40"/>
    <mergeCell ref="C42:C62"/>
  </mergeCells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"/>
  <sheetViews>
    <sheetView topLeftCell="C1" zoomScale="70" zoomScaleNormal="70" workbookViewId="0">
      <selection activeCell="C2" sqref="C2"/>
    </sheetView>
  </sheetViews>
  <sheetFormatPr defaultColWidth="8.88671875" defaultRowHeight="14.4" x14ac:dyDescent="0.3"/>
  <cols>
    <col min="1" max="2" width="8.88671875" style="131"/>
    <col min="3" max="3" width="45.109375" style="412" customWidth="1"/>
    <col min="4" max="14" width="17.33203125" style="131" customWidth="1"/>
    <col min="15" max="16384" width="8.88671875" style="131"/>
  </cols>
  <sheetData>
    <row r="1" spans="1:14" ht="46.8" x14ac:dyDescent="0.3">
      <c r="A1"/>
      <c r="B1" s="377"/>
      <c r="C1" s="377" t="s">
        <v>3</v>
      </c>
      <c r="D1" s="377" t="s">
        <v>4</v>
      </c>
      <c r="E1" s="377" t="s">
        <v>5</v>
      </c>
      <c r="F1" s="377" t="s">
        <v>6</v>
      </c>
      <c r="G1" s="377" t="s">
        <v>7</v>
      </c>
      <c r="H1" s="377" t="s">
        <v>8</v>
      </c>
      <c r="I1" s="377" t="s">
        <v>9</v>
      </c>
      <c r="J1" s="377" t="s">
        <v>10</v>
      </c>
      <c r="K1" s="377" t="s">
        <v>11</v>
      </c>
      <c r="L1" s="377" t="s">
        <v>12</v>
      </c>
      <c r="M1" s="377" t="s">
        <v>3451</v>
      </c>
      <c r="N1" s="377" t="s">
        <v>15</v>
      </c>
    </row>
    <row r="2" spans="1:14" ht="32.25" customHeight="1" x14ac:dyDescent="0.3">
      <c r="A2"/>
      <c r="B2" s="5" t="s">
        <v>55</v>
      </c>
      <c r="C2" s="80" t="s">
        <v>3434</v>
      </c>
      <c r="D2" s="402">
        <v>13446431064.440411</v>
      </c>
      <c r="E2" s="402">
        <v>1190264696.5037673</v>
      </c>
      <c r="F2" s="402">
        <v>3334747463.801712</v>
      </c>
      <c r="G2" s="402">
        <v>1982871382.464041</v>
      </c>
      <c r="H2" s="402">
        <v>771976456.72534239</v>
      </c>
      <c r="I2" s="402">
        <v>2362480038.8253427</v>
      </c>
      <c r="J2" s="402">
        <v>1404122949.3342466</v>
      </c>
      <c r="K2" s="402">
        <v>749238818.48595881</v>
      </c>
      <c r="L2" s="402">
        <v>519749461.29999995</v>
      </c>
      <c r="M2" s="402">
        <v>846811469</v>
      </c>
      <c r="N2" s="402">
        <v>284168328</v>
      </c>
    </row>
    <row r="3" spans="1:14" ht="32.25" customHeight="1" x14ac:dyDescent="0.3">
      <c r="A3"/>
      <c r="B3" s="5"/>
      <c r="C3" s="80" t="s">
        <v>3435</v>
      </c>
      <c r="D3" s="402">
        <v>3002682302.2350001</v>
      </c>
      <c r="E3" s="402">
        <v>235222486.83500001</v>
      </c>
      <c r="F3" s="402">
        <v>884193585.625</v>
      </c>
      <c r="G3" s="402">
        <v>348364758.66500002</v>
      </c>
      <c r="H3" s="402">
        <v>148002237.35500002</v>
      </c>
      <c r="I3" s="402">
        <v>774045702.08000004</v>
      </c>
      <c r="J3" s="402">
        <v>270984872.65500003</v>
      </c>
      <c r="K3" s="402">
        <v>147207311.125</v>
      </c>
      <c r="L3" s="402">
        <v>114217214.09</v>
      </c>
      <c r="M3" s="402">
        <v>80444133.805000007</v>
      </c>
      <c r="N3" s="402"/>
    </row>
    <row r="4" spans="1:14" ht="32.25" customHeight="1" x14ac:dyDescent="0.3">
      <c r="A4"/>
      <c r="B4" s="5" t="s">
        <v>58</v>
      </c>
      <c r="C4" s="80" t="s">
        <v>69</v>
      </c>
      <c r="D4" s="402">
        <v>0</v>
      </c>
      <c r="E4" s="402"/>
      <c r="F4" s="402"/>
      <c r="G4" s="402"/>
      <c r="H4" s="402"/>
      <c r="I4" s="402"/>
      <c r="J4" s="402"/>
      <c r="K4" s="402"/>
      <c r="L4" s="402"/>
      <c r="M4" s="402"/>
      <c r="N4" s="402"/>
    </row>
    <row r="5" spans="1:14" ht="32.25" customHeight="1" x14ac:dyDescent="0.3">
      <c r="A5" t="s">
        <v>3460</v>
      </c>
      <c r="B5" s="5" t="s">
        <v>59</v>
      </c>
      <c r="C5" s="80" t="s">
        <v>2776</v>
      </c>
      <c r="D5" s="402">
        <v>3024634315.9008956</v>
      </c>
      <c r="E5" s="402">
        <v>245643825.93229249</v>
      </c>
      <c r="F5" s="402">
        <v>837561933</v>
      </c>
      <c r="G5" s="402">
        <v>186722720</v>
      </c>
      <c r="H5" s="402">
        <v>89363397.582657978</v>
      </c>
      <c r="I5" s="402">
        <v>1163172976.1707654</v>
      </c>
      <c r="J5" s="402">
        <v>259097785</v>
      </c>
      <c r="K5" s="402">
        <v>117211966.66326553</v>
      </c>
      <c r="L5" s="402">
        <v>105201332.55191405</v>
      </c>
      <c r="M5" s="402">
        <v>20658379</v>
      </c>
      <c r="N5" s="402"/>
    </row>
    <row r="6" spans="1:14" ht="32.25" customHeight="1" x14ac:dyDescent="0.3">
      <c r="A6"/>
      <c r="B6" s="403"/>
      <c r="C6" s="80" t="s">
        <v>3461</v>
      </c>
      <c r="D6" s="402">
        <v>950700505</v>
      </c>
      <c r="E6" s="402"/>
      <c r="F6" s="402"/>
      <c r="G6" s="402"/>
      <c r="H6" s="402"/>
      <c r="I6" s="402"/>
      <c r="J6" s="402"/>
      <c r="K6" s="402"/>
      <c r="L6" s="402"/>
      <c r="M6" s="402">
        <v>950700505</v>
      </c>
      <c r="N6" s="402"/>
    </row>
    <row r="7" spans="1:14" ht="32.25" customHeight="1" x14ac:dyDescent="0.3">
      <c r="A7"/>
      <c r="B7" s="5" t="s">
        <v>60</v>
      </c>
      <c r="C7" s="80" t="s">
        <v>70</v>
      </c>
      <c r="D7" s="402">
        <v>362197218</v>
      </c>
      <c r="E7" s="402"/>
      <c r="F7" s="402"/>
      <c r="G7" s="402"/>
      <c r="H7" s="402"/>
      <c r="I7" s="402"/>
      <c r="J7" s="402"/>
      <c r="K7" s="402"/>
      <c r="L7" s="402"/>
      <c r="M7" s="402">
        <v>362197218</v>
      </c>
      <c r="N7" s="402"/>
    </row>
    <row r="8" spans="1:14" ht="32.25" customHeight="1" x14ac:dyDescent="0.3">
      <c r="A8" t="s">
        <v>3462</v>
      </c>
      <c r="B8" s="5" t="s">
        <v>61</v>
      </c>
      <c r="C8" s="80" t="s">
        <v>3463</v>
      </c>
      <c r="D8" s="402">
        <v>183361151</v>
      </c>
      <c r="E8" s="402">
        <v>22054901</v>
      </c>
      <c r="F8" s="402">
        <v>55757747</v>
      </c>
      <c r="G8" s="402">
        <v>26661021</v>
      </c>
      <c r="H8" s="402">
        <v>21815554</v>
      </c>
      <c r="I8" s="402">
        <v>32615161</v>
      </c>
      <c r="J8" s="402"/>
      <c r="K8" s="402">
        <v>14362661</v>
      </c>
      <c r="L8" s="402">
        <v>10094106</v>
      </c>
      <c r="M8" s="402"/>
      <c r="N8" s="402"/>
    </row>
    <row r="9" spans="1:14" ht="32.25" customHeight="1" x14ac:dyDescent="0.3">
      <c r="A9" t="s">
        <v>3464</v>
      </c>
      <c r="B9" s="5" t="s">
        <v>62</v>
      </c>
      <c r="C9" s="80" t="s">
        <v>3465</v>
      </c>
      <c r="D9" s="402">
        <v>64586119</v>
      </c>
      <c r="E9" s="402">
        <v>5014972</v>
      </c>
      <c r="F9" s="402">
        <v>14035093</v>
      </c>
      <c r="G9" s="402">
        <v>7592712</v>
      </c>
      <c r="H9" s="402">
        <v>4003418</v>
      </c>
      <c r="I9" s="402">
        <v>21059759</v>
      </c>
      <c r="J9" s="402">
        <v>5728458</v>
      </c>
      <c r="K9" s="402">
        <v>4362807</v>
      </c>
      <c r="L9" s="402">
        <v>1998175</v>
      </c>
      <c r="M9" s="402">
        <v>790725</v>
      </c>
      <c r="N9" s="402" t="s">
        <v>72</v>
      </c>
    </row>
    <row r="10" spans="1:14" ht="32.25" customHeight="1" x14ac:dyDescent="0.3">
      <c r="A10"/>
      <c r="B10" s="5" t="s">
        <v>63</v>
      </c>
      <c r="C10" s="80" t="s">
        <v>3466</v>
      </c>
      <c r="D10" s="402">
        <v>884780242</v>
      </c>
      <c r="E10" s="402">
        <v>69622596</v>
      </c>
      <c r="F10" s="402">
        <v>293847439</v>
      </c>
      <c r="G10" s="402">
        <v>121922183</v>
      </c>
      <c r="H10" s="402">
        <v>32447618</v>
      </c>
      <c r="I10" s="402">
        <v>81145770</v>
      </c>
      <c r="J10" s="402">
        <v>134024487</v>
      </c>
      <c r="K10" s="402">
        <v>23479498</v>
      </c>
      <c r="L10" s="402">
        <v>18732936</v>
      </c>
      <c r="M10" s="402">
        <v>103807715</v>
      </c>
      <c r="N10" s="402">
        <v>5750000</v>
      </c>
    </row>
    <row r="11" spans="1:14" ht="32.25" customHeight="1" x14ac:dyDescent="0.3">
      <c r="A11"/>
      <c r="B11" s="5" t="s">
        <v>64</v>
      </c>
      <c r="C11" s="80" t="s">
        <v>3439</v>
      </c>
      <c r="D11" s="402">
        <v>42538000</v>
      </c>
      <c r="E11" s="402"/>
      <c r="F11" s="402">
        <v>2398000</v>
      </c>
      <c r="G11" s="402">
        <v>1540000</v>
      </c>
      <c r="H11" s="402">
        <v>100000</v>
      </c>
      <c r="I11" s="402">
        <v>30000000</v>
      </c>
      <c r="J11" s="402"/>
      <c r="K11" s="402"/>
      <c r="L11" s="402">
        <v>8500000</v>
      </c>
      <c r="M11" s="402"/>
      <c r="N11" s="402"/>
    </row>
    <row r="12" spans="1:14" ht="32.25" customHeight="1" x14ac:dyDescent="0.3">
      <c r="A12"/>
      <c r="B12" s="5" t="s">
        <v>65</v>
      </c>
      <c r="C12" s="80"/>
      <c r="D12" s="402"/>
      <c r="E12" s="402"/>
      <c r="F12" s="402"/>
      <c r="G12" s="402"/>
      <c r="H12" s="402"/>
      <c r="I12" s="402"/>
      <c r="J12" s="402"/>
      <c r="K12" s="402"/>
      <c r="L12" s="402"/>
      <c r="M12" s="402"/>
      <c r="N12" s="402"/>
    </row>
    <row r="13" spans="1:14" ht="32.25" customHeight="1" x14ac:dyDescent="0.3">
      <c r="A13"/>
      <c r="B13" s="5" t="s">
        <v>66</v>
      </c>
      <c r="C13" s="80" t="s">
        <v>3440</v>
      </c>
      <c r="D13" s="402">
        <v>562689981.69084311</v>
      </c>
      <c r="E13" s="402">
        <v>47233932.016660012</v>
      </c>
      <c r="F13" s="402">
        <v>120002203.63455355</v>
      </c>
      <c r="G13" s="402">
        <v>62266694.355784923</v>
      </c>
      <c r="H13" s="402">
        <v>38820222.714633569</v>
      </c>
      <c r="I13" s="402">
        <v>105209430.82479979</v>
      </c>
      <c r="J13" s="402">
        <v>97035324.381298274</v>
      </c>
      <c r="K13" s="402">
        <v>22886370.198121026</v>
      </c>
      <c r="L13" s="402">
        <v>19925382.632436872</v>
      </c>
      <c r="M13" s="402">
        <v>49310420.932555176</v>
      </c>
      <c r="N13" s="402" t="s">
        <v>73</v>
      </c>
    </row>
    <row r="14" spans="1:14" ht="32.25" customHeight="1" x14ac:dyDescent="0.3">
      <c r="A14"/>
      <c r="B14" s="5" t="s">
        <v>67</v>
      </c>
      <c r="C14" s="80" t="s">
        <v>71</v>
      </c>
      <c r="D14" s="402">
        <v>116700000</v>
      </c>
      <c r="E14" s="402"/>
      <c r="F14" s="402">
        <v>1000000</v>
      </c>
      <c r="G14" s="402"/>
      <c r="H14" s="402"/>
      <c r="I14" s="402">
        <v>25500000</v>
      </c>
      <c r="J14" s="402">
        <v>7000000</v>
      </c>
      <c r="K14" s="402">
        <v>83200000</v>
      </c>
      <c r="L14" s="402"/>
      <c r="M14" s="402"/>
      <c r="N14" s="402"/>
    </row>
    <row r="15" spans="1:14" ht="15.6" x14ac:dyDescent="0.3">
      <c r="A15"/>
      <c r="B15" s="377" t="s">
        <v>68</v>
      </c>
      <c r="C15" s="377" t="s">
        <v>46</v>
      </c>
      <c r="D15" s="404">
        <v>22641300899.267155</v>
      </c>
      <c r="E15" s="404">
        <v>1815057410.2877197</v>
      </c>
      <c r="F15" s="404">
        <v>5543543465.0612659</v>
      </c>
      <c r="G15" s="404">
        <v>2737941471.4848261</v>
      </c>
      <c r="H15" s="404">
        <v>1106528904.3776338</v>
      </c>
      <c r="I15" s="404">
        <v>4595228837.9009075</v>
      </c>
      <c r="J15" s="404">
        <v>2177993876.3705449</v>
      </c>
      <c r="K15" s="404">
        <v>1161949432.4723454</v>
      </c>
      <c r="L15" s="404">
        <v>798418607.57435095</v>
      </c>
      <c r="M15" s="404">
        <v>2414720565.7375555</v>
      </c>
      <c r="N15" s="404">
        <v>289918328</v>
      </c>
    </row>
  </sheetData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Q32"/>
  <sheetViews>
    <sheetView workbookViewId="0">
      <selection sqref="A1:AO1048576"/>
    </sheetView>
  </sheetViews>
  <sheetFormatPr defaultRowHeight="15.6" x14ac:dyDescent="0.3"/>
  <cols>
    <col min="1" max="1" width="60.21875" bestFit="1" customWidth="1"/>
    <col min="2" max="3" width="13.6640625" customWidth="1"/>
    <col min="4" max="4" width="17.21875" customWidth="1"/>
    <col min="5" max="5" width="17.6640625" customWidth="1"/>
    <col min="6" max="7" width="13.6640625" customWidth="1"/>
    <col min="8" max="9" width="7.6640625" bestFit="1" customWidth="1"/>
    <col min="10" max="10" width="8.44140625" bestFit="1" customWidth="1"/>
    <col min="11" max="11" width="7.6640625" hidden="1" customWidth="1"/>
    <col min="12" max="12" width="9.33203125" bestFit="1" customWidth="1"/>
    <col min="13" max="13" width="10.33203125" hidden="1" customWidth="1"/>
    <col min="14" max="14" width="9.6640625" hidden="1" customWidth="1"/>
    <col min="15" max="15" width="11.88671875" hidden="1" customWidth="1"/>
    <col min="16" max="16" width="10.88671875" hidden="1" customWidth="1"/>
    <col min="17" max="17" width="12.33203125" bestFit="1" customWidth="1"/>
  </cols>
  <sheetData>
    <row r="3" spans="1:17" ht="21" x14ac:dyDescent="0.3">
      <c r="A3" s="91" t="s">
        <v>3957</v>
      </c>
      <c r="B3" s="92"/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  <c r="O3" s="92"/>
      <c r="P3" s="92"/>
    </row>
    <row r="4" spans="1:17" ht="16.2" thickBot="1" x14ac:dyDescent="0.35"/>
    <row r="5" spans="1:17" ht="40.200000000000003" thickBot="1" x14ac:dyDescent="0.35">
      <c r="A5" s="1232" t="s">
        <v>3958</v>
      </c>
      <c r="B5" s="1233"/>
      <c r="C5" s="93" t="s">
        <v>2694</v>
      </c>
      <c r="D5" s="94" t="s">
        <v>11</v>
      </c>
      <c r="E5" s="94" t="s">
        <v>6</v>
      </c>
      <c r="F5" s="94" t="s">
        <v>10</v>
      </c>
      <c r="G5" s="94" t="s">
        <v>7</v>
      </c>
      <c r="H5" s="94" t="s">
        <v>2695</v>
      </c>
      <c r="I5" s="94" t="s">
        <v>12</v>
      </c>
      <c r="J5" s="95" t="s">
        <v>9</v>
      </c>
      <c r="K5" s="96" t="s">
        <v>2696</v>
      </c>
      <c r="L5" s="97" t="s">
        <v>2690</v>
      </c>
      <c r="M5" s="94" t="s">
        <v>2697</v>
      </c>
      <c r="N5" s="94" t="s">
        <v>76</v>
      </c>
      <c r="O5" s="94" t="s">
        <v>2698</v>
      </c>
      <c r="P5" s="98" t="s">
        <v>2699</v>
      </c>
    </row>
    <row r="6" spans="1:17" x14ac:dyDescent="0.3">
      <c r="A6" s="1234" t="s">
        <v>3959</v>
      </c>
      <c r="B6" s="99" t="s">
        <v>2700</v>
      </c>
      <c r="C6" s="100">
        <v>53079344</v>
      </c>
      <c r="D6" s="100">
        <v>6621713</v>
      </c>
      <c r="E6" s="100">
        <v>402951588</v>
      </c>
      <c r="F6" s="100">
        <v>12601133</v>
      </c>
      <c r="G6" s="100">
        <v>204978279</v>
      </c>
      <c r="H6" s="100">
        <v>48600481</v>
      </c>
      <c r="I6" s="100">
        <v>4810000</v>
      </c>
      <c r="J6" s="100">
        <v>844963513</v>
      </c>
      <c r="K6" s="100">
        <v>0</v>
      </c>
      <c r="L6" s="101">
        <f>SUM(C6:K6)</f>
        <v>1578606051</v>
      </c>
      <c r="M6" s="100"/>
      <c r="N6" s="100"/>
      <c r="O6" s="100"/>
      <c r="P6" s="102">
        <v>1280760181.2</v>
      </c>
    </row>
    <row r="7" spans="1:17" x14ac:dyDescent="0.3">
      <c r="A7" s="1235"/>
      <c r="B7" s="103" t="s">
        <v>2701</v>
      </c>
      <c r="C7" s="104">
        <v>10216210</v>
      </c>
      <c r="D7" s="104">
        <v>7022444</v>
      </c>
      <c r="E7" s="104">
        <v>208125648</v>
      </c>
      <c r="F7" s="104">
        <v>700468526</v>
      </c>
      <c r="G7" s="104">
        <v>35955493</v>
      </c>
      <c r="H7" s="104">
        <v>18052025</v>
      </c>
      <c r="I7" s="104">
        <v>34385430</v>
      </c>
      <c r="J7" s="104">
        <v>801354089</v>
      </c>
      <c r="K7" s="104"/>
      <c r="L7" s="105">
        <f>SUM(C7:K7)</f>
        <v>1815579865</v>
      </c>
      <c r="M7" s="104"/>
      <c r="N7" s="104"/>
      <c r="O7" s="104"/>
      <c r="P7" s="106">
        <v>648595213.22773671</v>
      </c>
      <c r="Q7" s="3"/>
    </row>
    <row r="8" spans="1:17" x14ac:dyDescent="0.3">
      <c r="A8" s="1235" t="s">
        <v>3960</v>
      </c>
      <c r="B8" s="1236"/>
      <c r="C8" s="107">
        <f>+(C6+C7)*5%</f>
        <v>3164777.7</v>
      </c>
      <c r="D8" s="107">
        <f t="shared" ref="D8:K8" si="0">+(D6+D7)*5%</f>
        <v>682207.85000000009</v>
      </c>
      <c r="E8" s="107">
        <f t="shared" si="0"/>
        <v>30553861.800000001</v>
      </c>
      <c r="F8" s="107">
        <f t="shared" si="0"/>
        <v>35653482.950000003</v>
      </c>
      <c r="G8" s="107">
        <f t="shared" si="0"/>
        <v>12046688.600000001</v>
      </c>
      <c r="H8" s="107">
        <f t="shared" si="0"/>
        <v>3332625.3000000003</v>
      </c>
      <c r="I8" s="107">
        <f t="shared" si="0"/>
        <v>1959771.5</v>
      </c>
      <c r="J8" s="107">
        <f t="shared" si="0"/>
        <v>82315880.100000009</v>
      </c>
      <c r="K8" s="107">
        <f t="shared" si="0"/>
        <v>0</v>
      </c>
      <c r="L8" s="105">
        <f>SUM(C8:K8)</f>
        <v>169709295.80000001</v>
      </c>
      <c r="M8" s="107">
        <v>0</v>
      </c>
      <c r="N8" s="107">
        <v>0</v>
      </c>
      <c r="O8" s="107">
        <v>0</v>
      </c>
      <c r="P8" s="106">
        <v>96467769.721386835</v>
      </c>
    </row>
    <row r="9" spans="1:17" ht="15.75" hidden="1" customHeight="1" x14ac:dyDescent="0.3">
      <c r="A9" s="1237" t="s">
        <v>2702</v>
      </c>
      <c r="B9" s="1238"/>
      <c r="C9" s="1238"/>
      <c r="D9" s="1238"/>
      <c r="E9" s="1238"/>
      <c r="F9" s="1238"/>
      <c r="G9" s="1238"/>
      <c r="H9" s="1238"/>
      <c r="I9" s="1238"/>
      <c r="J9" s="1238"/>
      <c r="K9" s="1238"/>
      <c r="L9" s="1238"/>
      <c r="M9" s="1238"/>
      <c r="N9" s="1238"/>
      <c r="O9" s="1238"/>
      <c r="P9" s="1239"/>
    </row>
    <row r="10" spans="1:17" ht="15.75" hidden="1" customHeight="1" x14ac:dyDescent="0.3">
      <c r="A10" s="1237" t="s">
        <v>2703</v>
      </c>
      <c r="B10" s="1238"/>
      <c r="C10" s="1238"/>
      <c r="D10" s="1238"/>
      <c r="E10" s="1238"/>
      <c r="F10" s="1238"/>
      <c r="G10" s="1238"/>
      <c r="H10" s="1238"/>
      <c r="I10" s="1238"/>
      <c r="J10" s="1238"/>
      <c r="K10" s="1238"/>
      <c r="L10" s="1238"/>
      <c r="M10" s="1238"/>
      <c r="N10" s="1238"/>
      <c r="O10" s="1238"/>
      <c r="P10" s="1239"/>
    </row>
    <row r="11" spans="1:17" ht="16.2" thickBot="1" x14ac:dyDescent="0.35">
      <c r="A11" s="1240" t="s">
        <v>3961</v>
      </c>
      <c r="B11" s="1241"/>
      <c r="C11" s="108">
        <f>+(C6+C7)*5%</f>
        <v>3164777.7</v>
      </c>
      <c r="D11" s="108">
        <f t="shared" ref="D11:K11" si="1">+(D6+D7)*5%</f>
        <v>682207.85000000009</v>
      </c>
      <c r="E11" s="108">
        <f t="shared" si="1"/>
        <v>30553861.800000001</v>
      </c>
      <c r="F11" s="108">
        <f t="shared" si="1"/>
        <v>35653482.950000003</v>
      </c>
      <c r="G11" s="108">
        <f t="shared" si="1"/>
        <v>12046688.600000001</v>
      </c>
      <c r="H11" s="108">
        <f t="shared" si="1"/>
        <v>3332625.3000000003</v>
      </c>
      <c r="I11" s="108">
        <f t="shared" si="1"/>
        <v>1959771.5</v>
      </c>
      <c r="J11" s="108">
        <f t="shared" si="1"/>
        <v>82315880.100000009</v>
      </c>
      <c r="K11" s="108">
        <f t="shared" si="1"/>
        <v>0</v>
      </c>
      <c r="L11" s="109">
        <f>SUM(C11:K11)</f>
        <v>169709295.80000001</v>
      </c>
      <c r="M11" s="108">
        <v>0</v>
      </c>
      <c r="N11" s="108">
        <v>0</v>
      </c>
      <c r="O11" s="108">
        <v>0</v>
      </c>
      <c r="P11" s="110">
        <v>96467769.721386835</v>
      </c>
    </row>
    <row r="13" spans="1:17" x14ac:dyDescent="0.3">
      <c r="A13" t="s">
        <v>3962</v>
      </c>
    </row>
    <row r="16" spans="1:17" ht="16.2" thickBot="1" x14ac:dyDescent="0.35"/>
    <row r="17" spans="1:5" ht="16.2" thickBot="1" x14ac:dyDescent="0.35">
      <c r="A17" s="1232" t="s">
        <v>3958</v>
      </c>
      <c r="B17" s="1234" t="s">
        <v>3959</v>
      </c>
      <c r="C17" s="1235"/>
      <c r="D17" s="1235" t="s">
        <v>3960</v>
      </c>
      <c r="E17" s="1240" t="s">
        <v>3961</v>
      </c>
    </row>
    <row r="18" spans="1:5" ht="16.2" thickBot="1" x14ac:dyDescent="0.35">
      <c r="A18" s="1233"/>
      <c r="B18" s="99" t="s">
        <v>2700</v>
      </c>
      <c r="C18" s="103" t="s">
        <v>2701</v>
      </c>
      <c r="D18" s="1236"/>
      <c r="E18" s="1241"/>
    </row>
    <row r="19" spans="1:5" ht="16.2" thickBot="1" x14ac:dyDescent="0.35">
      <c r="A19" s="93" t="s">
        <v>2694</v>
      </c>
      <c r="B19" s="100">
        <v>53079344</v>
      </c>
      <c r="C19" s="104">
        <v>10216210</v>
      </c>
      <c r="D19" s="107">
        <f t="shared" ref="D19:D27" si="2">+(B19+C19)*5%</f>
        <v>3164777.7</v>
      </c>
      <c r="E19" s="108">
        <f t="shared" ref="E19:E27" si="3">+(B19+C19)*5%</f>
        <v>3164777.7</v>
      </c>
    </row>
    <row r="20" spans="1:5" ht="16.2" thickBot="1" x14ac:dyDescent="0.35">
      <c r="A20" s="94" t="s">
        <v>11</v>
      </c>
      <c r="B20" s="100">
        <v>6621713</v>
      </c>
      <c r="C20" s="104">
        <v>7022444</v>
      </c>
      <c r="D20" s="107">
        <f t="shared" si="2"/>
        <v>682207.85000000009</v>
      </c>
      <c r="E20" s="108">
        <f t="shared" si="3"/>
        <v>682207.85000000009</v>
      </c>
    </row>
    <row r="21" spans="1:5" ht="16.2" thickBot="1" x14ac:dyDescent="0.35">
      <c r="A21" s="94" t="s">
        <v>6</v>
      </c>
      <c r="B21" s="100">
        <v>402951588</v>
      </c>
      <c r="C21" s="104">
        <v>208125648</v>
      </c>
      <c r="D21" s="107">
        <f t="shared" si="2"/>
        <v>30553861.800000001</v>
      </c>
      <c r="E21" s="108">
        <f t="shared" si="3"/>
        <v>30553861.800000001</v>
      </c>
    </row>
    <row r="22" spans="1:5" ht="16.2" thickBot="1" x14ac:dyDescent="0.35">
      <c r="A22" s="94" t="s">
        <v>10</v>
      </c>
      <c r="B22" s="100">
        <v>12601133</v>
      </c>
      <c r="C22" s="104">
        <v>700468526</v>
      </c>
      <c r="D22" s="107">
        <f t="shared" si="2"/>
        <v>35653482.950000003</v>
      </c>
      <c r="E22" s="108">
        <f t="shared" si="3"/>
        <v>35653482.950000003</v>
      </c>
    </row>
    <row r="23" spans="1:5" ht="16.2" thickBot="1" x14ac:dyDescent="0.35">
      <c r="A23" s="94" t="s">
        <v>7</v>
      </c>
      <c r="B23" s="100">
        <v>204978279</v>
      </c>
      <c r="C23" s="104">
        <v>35955493</v>
      </c>
      <c r="D23" s="107">
        <f t="shared" si="2"/>
        <v>12046688.600000001</v>
      </c>
      <c r="E23" s="108">
        <f t="shared" si="3"/>
        <v>12046688.600000001</v>
      </c>
    </row>
    <row r="24" spans="1:5" ht="16.2" thickBot="1" x14ac:dyDescent="0.35">
      <c r="A24" s="94" t="s">
        <v>2695</v>
      </c>
      <c r="B24" s="100">
        <v>48600481</v>
      </c>
      <c r="C24" s="104">
        <v>18052025</v>
      </c>
      <c r="D24" s="107">
        <f t="shared" si="2"/>
        <v>3332625.3000000003</v>
      </c>
      <c r="E24" s="108">
        <f t="shared" si="3"/>
        <v>3332625.3000000003</v>
      </c>
    </row>
    <row r="25" spans="1:5" ht="16.2" thickBot="1" x14ac:dyDescent="0.35">
      <c r="A25" s="94" t="s">
        <v>12</v>
      </c>
      <c r="B25" s="100">
        <v>4810000</v>
      </c>
      <c r="C25" s="104">
        <v>34385430</v>
      </c>
      <c r="D25" s="107">
        <f t="shared" si="2"/>
        <v>1959771.5</v>
      </c>
      <c r="E25" s="108">
        <f t="shared" si="3"/>
        <v>1959771.5</v>
      </c>
    </row>
    <row r="26" spans="1:5" ht="16.2" thickBot="1" x14ac:dyDescent="0.35">
      <c r="A26" s="95" t="s">
        <v>9</v>
      </c>
      <c r="B26" s="100">
        <v>844963513</v>
      </c>
      <c r="C26" s="104">
        <v>801354089</v>
      </c>
      <c r="D26" s="107">
        <f t="shared" si="2"/>
        <v>82315880.100000009</v>
      </c>
      <c r="E26" s="108">
        <f t="shared" si="3"/>
        <v>82315880.100000009</v>
      </c>
    </row>
    <row r="27" spans="1:5" ht="16.2" thickBot="1" x14ac:dyDescent="0.35">
      <c r="A27" s="96" t="s">
        <v>2696</v>
      </c>
      <c r="B27" s="100">
        <v>0</v>
      </c>
      <c r="C27" s="104"/>
      <c r="D27" s="107">
        <f t="shared" si="2"/>
        <v>0</v>
      </c>
      <c r="E27" s="108">
        <f t="shared" si="3"/>
        <v>0</v>
      </c>
    </row>
    <row r="28" spans="1:5" ht="16.2" thickBot="1" x14ac:dyDescent="0.35">
      <c r="A28" s="97" t="s">
        <v>2690</v>
      </c>
      <c r="B28" s="101">
        <f>SUM(B19:B27)</f>
        <v>1578606051</v>
      </c>
      <c r="C28" s="105">
        <f>SUM(C19:C27)</f>
        <v>1815579865</v>
      </c>
      <c r="D28" s="105">
        <f>SUM(D19:D27)</f>
        <v>169709295.80000001</v>
      </c>
      <c r="E28" s="109">
        <f>SUM(E19:E27)</f>
        <v>169709295.80000001</v>
      </c>
    </row>
    <row r="29" spans="1:5" ht="16.2" thickBot="1" x14ac:dyDescent="0.35">
      <c r="A29" s="94" t="s">
        <v>2697</v>
      </c>
      <c r="B29" s="100"/>
      <c r="C29" s="104"/>
      <c r="D29" s="107">
        <v>0</v>
      </c>
      <c r="E29" s="108">
        <v>0</v>
      </c>
    </row>
    <row r="30" spans="1:5" ht="16.2" thickBot="1" x14ac:dyDescent="0.35">
      <c r="A30" s="94" t="s">
        <v>76</v>
      </c>
      <c r="B30" s="100"/>
      <c r="C30" s="104"/>
      <c r="D30" s="107">
        <v>0</v>
      </c>
      <c r="E30" s="108">
        <v>0</v>
      </c>
    </row>
    <row r="31" spans="1:5" ht="16.2" thickBot="1" x14ac:dyDescent="0.35">
      <c r="A31" s="94" t="s">
        <v>2698</v>
      </c>
      <c r="B31" s="100"/>
      <c r="C31" s="104"/>
      <c r="D31" s="107">
        <v>0</v>
      </c>
      <c r="E31" s="108">
        <v>0</v>
      </c>
    </row>
    <row r="32" spans="1:5" ht="16.2" thickBot="1" x14ac:dyDescent="0.35">
      <c r="A32" s="98" t="s">
        <v>2699</v>
      </c>
      <c r="B32" s="102">
        <v>1280760181.2</v>
      </c>
      <c r="C32" s="106">
        <v>648595213.22773671</v>
      </c>
      <c r="D32" s="106">
        <v>96467769.721386835</v>
      </c>
      <c r="E32" s="110">
        <v>96467769.721386835</v>
      </c>
    </row>
  </sheetData>
  <mergeCells count="10">
    <mergeCell ref="A17:A18"/>
    <mergeCell ref="B17:C17"/>
    <mergeCell ref="D17:D18"/>
    <mergeCell ref="E17:E18"/>
    <mergeCell ref="A11:B11"/>
    <mergeCell ref="A5:B5"/>
    <mergeCell ref="A6:A7"/>
    <mergeCell ref="A8:B8"/>
    <mergeCell ref="A9:P9"/>
    <mergeCell ref="A10:P10"/>
  </mergeCell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3:E71"/>
  <sheetViews>
    <sheetView workbookViewId="0">
      <selection activeCell="C11" sqref="C11"/>
    </sheetView>
  </sheetViews>
  <sheetFormatPr defaultRowHeight="15.6" x14ac:dyDescent="0.3"/>
  <cols>
    <col min="1" max="1" width="37.44140625" customWidth="1"/>
    <col min="2" max="2" width="61.21875" customWidth="1"/>
    <col min="3" max="3" width="16.77734375" style="3" customWidth="1"/>
    <col min="4" max="4" width="37.44140625" style="3" customWidth="1"/>
    <col min="5" max="5" width="61.21875" style="3" customWidth="1"/>
    <col min="6" max="6" width="16.77734375" bestFit="1" customWidth="1"/>
    <col min="7" max="7" width="12.33203125" bestFit="1" customWidth="1"/>
  </cols>
  <sheetData>
    <row r="3" spans="1:5" x14ac:dyDescent="0.3">
      <c r="A3" t="s">
        <v>2766</v>
      </c>
      <c r="B3" t="s">
        <v>2767</v>
      </c>
      <c r="C3" s="3" t="s">
        <v>2704</v>
      </c>
      <c r="D3"/>
      <c r="E3"/>
    </row>
    <row r="4" spans="1:5" x14ac:dyDescent="0.3">
      <c r="A4" s="3">
        <v>3789043122.7227845</v>
      </c>
      <c r="B4" s="3">
        <v>3226088208.2219095</v>
      </c>
      <c r="C4" s="3">
        <v>1540600387.893194</v>
      </c>
      <c r="D4"/>
      <c r="E4"/>
    </row>
    <row r="5" spans="1:5" x14ac:dyDescent="0.3">
      <c r="C5"/>
      <c r="D5"/>
      <c r="E5"/>
    </row>
    <row r="6" spans="1:5" x14ac:dyDescent="0.3">
      <c r="C6"/>
      <c r="D6"/>
      <c r="E6"/>
    </row>
    <row r="7" spans="1:5" x14ac:dyDescent="0.3">
      <c r="C7"/>
      <c r="D7"/>
      <c r="E7"/>
    </row>
    <row r="8" spans="1:5" x14ac:dyDescent="0.3">
      <c r="C8"/>
      <c r="D8"/>
      <c r="E8"/>
    </row>
    <row r="9" spans="1:5" x14ac:dyDescent="0.3">
      <c r="C9"/>
      <c r="D9"/>
      <c r="E9"/>
    </row>
    <row r="10" spans="1:5" x14ac:dyDescent="0.3">
      <c r="C10"/>
      <c r="D10"/>
      <c r="E10"/>
    </row>
    <row r="11" spans="1:5" x14ac:dyDescent="0.3">
      <c r="C11"/>
      <c r="D11"/>
      <c r="E11"/>
    </row>
    <row r="12" spans="1:5" x14ac:dyDescent="0.3">
      <c r="C12"/>
      <c r="D12"/>
      <c r="E12"/>
    </row>
    <row r="13" spans="1:5" x14ac:dyDescent="0.3">
      <c r="C13"/>
      <c r="D13"/>
      <c r="E13"/>
    </row>
    <row r="14" spans="1:5" x14ac:dyDescent="0.3">
      <c r="C14"/>
      <c r="D14"/>
      <c r="E14"/>
    </row>
    <row r="15" spans="1:5" x14ac:dyDescent="0.3">
      <c r="C15"/>
      <c r="D15"/>
      <c r="E15"/>
    </row>
    <row r="16" spans="1:5" x14ac:dyDescent="0.3">
      <c r="C16"/>
      <c r="D16"/>
      <c r="E16"/>
    </row>
    <row r="17" spans="3:5" x14ac:dyDescent="0.3">
      <c r="C17"/>
      <c r="D17"/>
      <c r="E17"/>
    </row>
    <row r="18" spans="3:5" x14ac:dyDescent="0.3">
      <c r="C18"/>
      <c r="D18"/>
      <c r="E18"/>
    </row>
    <row r="19" spans="3:5" x14ac:dyDescent="0.3">
      <c r="C19"/>
      <c r="D19"/>
      <c r="E19"/>
    </row>
    <row r="20" spans="3:5" x14ac:dyDescent="0.3">
      <c r="C20"/>
      <c r="D20"/>
      <c r="E20"/>
    </row>
    <row r="21" spans="3:5" x14ac:dyDescent="0.3">
      <c r="C21"/>
      <c r="D21"/>
      <c r="E21"/>
    </row>
    <row r="22" spans="3:5" x14ac:dyDescent="0.3">
      <c r="C22"/>
      <c r="D22"/>
      <c r="E22"/>
    </row>
    <row r="23" spans="3:5" x14ac:dyDescent="0.3">
      <c r="C23"/>
      <c r="D23"/>
      <c r="E23"/>
    </row>
    <row r="24" spans="3:5" x14ac:dyDescent="0.3">
      <c r="C24"/>
      <c r="D24"/>
      <c r="E24"/>
    </row>
    <row r="25" spans="3:5" x14ac:dyDescent="0.3">
      <c r="C25"/>
      <c r="D25"/>
      <c r="E25"/>
    </row>
    <row r="26" spans="3:5" x14ac:dyDescent="0.3">
      <c r="C26"/>
      <c r="D26"/>
      <c r="E26"/>
    </row>
    <row r="27" spans="3:5" x14ac:dyDescent="0.3">
      <c r="C27"/>
      <c r="D27"/>
      <c r="E27"/>
    </row>
    <row r="28" spans="3:5" x14ac:dyDescent="0.3">
      <c r="C28"/>
      <c r="D28"/>
      <c r="E28"/>
    </row>
    <row r="29" spans="3:5" x14ac:dyDescent="0.3">
      <c r="C29"/>
      <c r="D29"/>
      <c r="E29"/>
    </row>
    <row r="30" spans="3:5" x14ac:dyDescent="0.3">
      <c r="C30"/>
      <c r="D30"/>
      <c r="E30"/>
    </row>
    <row r="31" spans="3:5" x14ac:dyDescent="0.3">
      <c r="C31"/>
      <c r="D31"/>
      <c r="E31"/>
    </row>
    <row r="32" spans="3:5" x14ac:dyDescent="0.3">
      <c r="C32"/>
      <c r="D32"/>
      <c r="E32"/>
    </row>
    <row r="33" spans="3:5" x14ac:dyDescent="0.3">
      <c r="C33"/>
      <c r="D33"/>
      <c r="E33"/>
    </row>
    <row r="34" spans="3:5" x14ac:dyDescent="0.3">
      <c r="C34"/>
      <c r="D34"/>
      <c r="E34"/>
    </row>
    <row r="35" spans="3:5" x14ac:dyDescent="0.3">
      <c r="C35"/>
      <c r="D35"/>
      <c r="E35"/>
    </row>
    <row r="36" spans="3:5" x14ac:dyDescent="0.3">
      <c r="C36"/>
      <c r="D36"/>
      <c r="E36"/>
    </row>
    <row r="37" spans="3:5" x14ac:dyDescent="0.3">
      <c r="C37"/>
      <c r="D37"/>
      <c r="E37"/>
    </row>
    <row r="38" spans="3:5" x14ac:dyDescent="0.3">
      <c r="C38"/>
      <c r="D38"/>
      <c r="E38"/>
    </row>
    <row r="39" spans="3:5" x14ac:dyDescent="0.3">
      <c r="C39"/>
      <c r="D39"/>
      <c r="E39"/>
    </row>
    <row r="40" spans="3:5" x14ac:dyDescent="0.3">
      <c r="C40"/>
      <c r="D40"/>
      <c r="E40"/>
    </row>
    <row r="41" spans="3:5" x14ac:dyDescent="0.3">
      <c r="C41"/>
      <c r="D41"/>
      <c r="E41"/>
    </row>
    <row r="42" spans="3:5" x14ac:dyDescent="0.3">
      <c r="C42"/>
      <c r="D42"/>
      <c r="E42"/>
    </row>
    <row r="43" spans="3:5" x14ac:dyDescent="0.3">
      <c r="C43"/>
      <c r="D43"/>
      <c r="E43"/>
    </row>
    <row r="44" spans="3:5" x14ac:dyDescent="0.3">
      <c r="C44"/>
      <c r="D44"/>
      <c r="E44"/>
    </row>
    <row r="45" spans="3:5" x14ac:dyDescent="0.3">
      <c r="C45"/>
      <c r="D45"/>
      <c r="E45"/>
    </row>
    <row r="46" spans="3:5" x14ac:dyDescent="0.3">
      <c r="C46"/>
      <c r="D46"/>
      <c r="E46"/>
    </row>
    <row r="47" spans="3:5" x14ac:dyDescent="0.3">
      <c r="C47"/>
      <c r="D47"/>
      <c r="E47"/>
    </row>
    <row r="48" spans="3:5" x14ac:dyDescent="0.3">
      <c r="C48"/>
      <c r="D48"/>
      <c r="E48"/>
    </row>
    <row r="49" spans="3:5" x14ac:dyDescent="0.3">
      <c r="C49"/>
      <c r="D49"/>
      <c r="E49"/>
    </row>
    <row r="50" spans="3:5" x14ac:dyDescent="0.3">
      <c r="C50"/>
      <c r="D50"/>
      <c r="E50"/>
    </row>
    <row r="51" spans="3:5" x14ac:dyDescent="0.3">
      <c r="C51"/>
      <c r="D51"/>
      <c r="E51"/>
    </row>
    <row r="52" spans="3:5" x14ac:dyDescent="0.3">
      <c r="C52"/>
      <c r="D52"/>
      <c r="E52"/>
    </row>
    <row r="53" spans="3:5" x14ac:dyDescent="0.3">
      <c r="C53"/>
      <c r="D53"/>
      <c r="E53"/>
    </row>
    <row r="54" spans="3:5" x14ac:dyDescent="0.3">
      <c r="C54"/>
      <c r="D54"/>
    </row>
    <row r="55" spans="3:5" x14ac:dyDescent="0.3">
      <c r="C55"/>
      <c r="D55"/>
    </row>
    <row r="56" spans="3:5" x14ac:dyDescent="0.3">
      <c r="C56"/>
      <c r="D56"/>
    </row>
    <row r="57" spans="3:5" x14ac:dyDescent="0.3">
      <c r="C57"/>
      <c r="D57"/>
    </row>
    <row r="58" spans="3:5" x14ac:dyDescent="0.3">
      <c r="C58"/>
      <c r="D58"/>
    </row>
    <row r="59" spans="3:5" x14ac:dyDescent="0.3">
      <c r="C59"/>
      <c r="D59"/>
    </row>
    <row r="60" spans="3:5" x14ac:dyDescent="0.3">
      <c r="C60"/>
      <c r="D60"/>
    </row>
    <row r="61" spans="3:5" x14ac:dyDescent="0.3">
      <c r="C61"/>
      <c r="D61"/>
    </row>
    <row r="62" spans="3:5" x14ac:dyDescent="0.3">
      <c r="C62"/>
      <c r="D62"/>
    </row>
    <row r="63" spans="3:5" x14ac:dyDescent="0.3">
      <c r="C63"/>
      <c r="D63"/>
    </row>
    <row r="64" spans="3:5" x14ac:dyDescent="0.3">
      <c r="C64"/>
      <c r="D64"/>
    </row>
    <row r="65" spans="3:4" x14ac:dyDescent="0.3">
      <c r="C65"/>
      <c r="D65"/>
    </row>
    <row r="66" spans="3:4" x14ac:dyDescent="0.3">
      <c r="C66"/>
      <c r="D66"/>
    </row>
    <row r="67" spans="3:4" x14ac:dyDescent="0.3">
      <c r="C67"/>
      <c r="D67"/>
    </row>
    <row r="68" spans="3:4" x14ac:dyDescent="0.3">
      <c r="C68"/>
      <c r="D68"/>
    </row>
    <row r="69" spans="3:4" x14ac:dyDescent="0.3">
      <c r="C69"/>
      <c r="D69"/>
    </row>
    <row r="70" spans="3:4" x14ac:dyDescent="0.3">
      <c r="C70"/>
      <c r="D70"/>
    </row>
    <row r="71" spans="3:4" x14ac:dyDescent="0.3">
      <c r="C71"/>
      <c r="D71"/>
    </row>
  </sheetData>
  <pageMargins left="0.7" right="0.7" top="0.75" bottom="0.75" header="0.3" footer="0.3"/>
  <pageSetup paperSize="9" orientation="portrait"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3:L37"/>
  <sheetViews>
    <sheetView topLeftCell="A10" workbookViewId="0">
      <selection activeCell="D39" sqref="D39"/>
    </sheetView>
  </sheetViews>
  <sheetFormatPr defaultRowHeight="15.6" x14ac:dyDescent="0.3"/>
  <cols>
    <col min="1" max="1" width="33.21875" bestFit="1" customWidth="1"/>
    <col min="3" max="3" width="23.6640625" bestFit="1" customWidth="1"/>
    <col min="4" max="4" width="15.33203125" bestFit="1" customWidth="1"/>
    <col min="9" max="9" width="3.88671875" bestFit="1" customWidth="1"/>
  </cols>
  <sheetData>
    <row r="3" spans="1:10" x14ac:dyDescent="0.3">
      <c r="A3" s="4" t="s">
        <v>4194</v>
      </c>
      <c r="B3" s="4" t="s">
        <v>3729</v>
      </c>
    </row>
    <row r="4" spans="1:10" x14ac:dyDescent="0.3">
      <c r="A4" s="4" t="s">
        <v>3732</v>
      </c>
      <c r="B4" t="s">
        <v>4195</v>
      </c>
      <c r="C4" t="s">
        <v>4196</v>
      </c>
      <c r="D4" t="s">
        <v>4197</v>
      </c>
      <c r="E4" t="s">
        <v>4198</v>
      </c>
      <c r="F4" t="s">
        <v>765</v>
      </c>
    </row>
    <row r="5" spans="1:10" x14ac:dyDescent="0.3">
      <c r="A5" s="786" t="s">
        <v>4199</v>
      </c>
      <c r="B5" s="787">
        <v>118</v>
      </c>
      <c r="C5" s="787">
        <v>14</v>
      </c>
      <c r="D5" s="787">
        <v>124</v>
      </c>
      <c r="E5" s="787"/>
      <c r="F5" s="787">
        <v>256</v>
      </c>
      <c r="H5" s="786" t="s">
        <v>4199</v>
      </c>
      <c r="I5" s="787">
        <v>256</v>
      </c>
      <c r="J5" s="788">
        <f>I5/$I$18</f>
        <v>0.27004219409282698</v>
      </c>
    </row>
    <row r="6" spans="1:10" x14ac:dyDescent="0.3">
      <c r="A6" s="786" t="s">
        <v>4200</v>
      </c>
      <c r="B6" s="787">
        <v>1</v>
      </c>
      <c r="C6" s="787">
        <v>11</v>
      </c>
      <c r="D6" s="787">
        <v>19</v>
      </c>
      <c r="E6" s="787">
        <v>1</v>
      </c>
      <c r="F6" s="787">
        <v>32</v>
      </c>
      <c r="H6" s="786" t="s">
        <v>4200</v>
      </c>
      <c r="I6" s="787">
        <v>32</v>
      </c>
      <c r="J6" s="788">
        <f t="shared" ref="J6:J18" si="0">I6/$I$18</f>
        <v>3.3755274261603373E-2</v>
      </c>
    </row>
    <row r="7" spans="1:10" x14ac:dyDescent="0.3">
      <c r="A7" s="786" t="s">
        <v>4201</v>
      </c>
      <c r="B7" s="787"/>
      <c r="C7" s="787">
        <v>2</v>
      </c>
      <c r="D7" s="787">
        <v>10</v>
      </c>
      <c r="E7" s="787">
        <v>1</v>
      </c>
      <c r="F7" s="787">
        <v>13</v>
      </c>
      <c r="H7" s="786" t="s">
        <v>4201</v>
      </c>
      <c r="I7" s="787">
        <v>13</v>
      </c>
      <c r="J7" s="788">
        <f t="shared" si="0"/>
        <v>1.3713080168776372E-2</v>
      </c>
    </row>
    <row r="8" spans="1:10" x14ac:dyDescent="0.3">
      <c r="A8" s="786" t="s">
        <v>4202</v>
      </c>
      <c r="B8" s="787">
        <v>1</v>
      </c>
      <c r="C8" s="787">
        <v>3</v>
      </c>
      <c r="D8" s="787">
        <v>4</v>
      </c>
      <c r="E8" s="787"/>
      <c r="F8" s="787">
        <v>8</v>
      </c>
      <c r="H8" s="786" t="s">
        <v>4202</v>
      </c>
      <c r="I8" s="787">
        <v>8</v>
      </c>
      <c r="J8" s="788">
        <f t="shared" si="0"/>
        <v>8.4388185654008432E-3</v>
      </c>
    </row>
    <row r="9" spans="1:10" x14ac:dyDescent="0.3">
      <c r="A9" s="786" t="s">
        <v>4203</v>
      </c>
      <c r="B9" s="787"/>
      <c r="C9" s="787">
        <v>7</v>
      </c>
      <c r="D9" s="787">
        <v>38</v>
      </c>
      <c r="E9" s="787"/>
      <c r="F9" s="787">
        <v>45</v>
      </c>
      <c r="H9" s="786" t="s">
        <v>4203</v>
      </c>
      <c r="I9" s="787">
        <v>45</v>
      </c>
      <c r="J9" s="788">
        <f t="shared" si="0"/>
        <v>4.746835443037975E-2</v>
      </c>
    </row>
    <row r="10" spans="1:10" x14ac:dyDescent="0.3">
      <c r="A10" s="786" t="s">
        <v>4204</v>
      </c>
      <c r="B10" s="787"/>
      <c r="C10" s="787">
        <v>5</v>
      </c>
      <c r="D10" s="787">
        <v>8</v>
      </c>
      <c r="E10" s="787"/>
      <c r="F10" s="787">
        <v>13</v>
      </c>
      <c r="H10" s="786" t="s">
        <v>4204</v>
      </c>
      <c r="I10" s="787">
        <v>13</v>
      </c>
      <c r="J10" s="788">
        <f t="shared" si="0"/>
        <v>1.3713080168776372E-2</v>
      </c>
    </row>
    <row r="11" spans="1:10" x14ac:dyDescent="0.3">
      <c r="A11" s="786" t="s">
        <v>4205</v>
      </c>
      <c r="B11" s="787"/>
      <c r="C11" s="787">
        <v>12</v>
      </c>
      <c r="D11" s="787">
        <v>79</v>
      </c>
      <c r="E11" s="787"/>
      <c r="F11" s="787">
        <v>91</v>
      </c>
      <c r="H11" s="786" t="s">
        <v>4205</v>
      </c>
      <c r="I11" s="787">
        <v>91</v>
      </c>
      <c r="J11" s="788">
        <f t="shared" si="0"/>
        <v>9.5991561181434593E-2</v>
      </c>
    </row>
    <row r="12" spans="1:10" x14ac:dyDescent="0.3">
      <c r="A12" s="786" t="s">
        <v>4206</v>
      </c>
      <c r="B12" s="787"/>
      <c r="C12" s="787">
        <v>27</v>
      </c>
      <c r="D12" s="787">
        <v>32</v>
      </c>
      <c r="E12" s="787">
        <v>1</v>
      </c>
      <c r="F12" s="787">
        <v>60</v>
      </c>
      <c r="H12" s="786" t="s">
        <v>4206</v>
      </c>
      <c r="I12" s="787">
        <v>60</v>
      </c>
      <c r="J12" s="788">
        <f t="shared" si="0"/>
        <v>6.3291139240506333E-2</v>
      </c>
    </row>
    <row r="13" spans="1:10" x14ac:dyDescent="0.3">
      <c r="A13" s="786" t="s">
        <v>4207</v>
      </c>
      <c r="B13" s="787">
        <v>16</v>
      </c>
      <c r="C13" s="787">
        <v>6</v>
      </c>
      <c r="D13" s="787">
        <v>19</v>
      </c>
      <c r="E13" s="787"/>
      <c r="F13" s="787">
        <v>41</v>
      </c>
      <c r="H13" s="786" t="s">
        <v>4207</v>
      </c>
      <c r="I13" s="787">
        <v>41</v>
      </c>
      <c r="J13" s="788">
        <f t="shared" si="0"/>
        <v>4.3248945147679324E-2</v>
      </c>
    </row>
    <row r="14" spans="1:10" x14ac:dyDescent="0.3">
      <c r="A14" s="786" t="s">
        <v>4208</v>
      </c>
      <c r="B14" s="787">
        <v>60</v>
      </c>
      <c r="C14" s="787">
        <v>7</v>
      </c>
      <c r="D14" s="787">
        <v>19</v>
      </c>
      <c r="E14" s="787"/>
      <c r="F14" s="787">
        <v>86</v>
      </c>
      <c r="H14" s="786" t="s">
        <v>4208</v>
      </c>
      <c r="I14" s="787">
        <v>86</v>
      </c>
      <c r="J14" s="788">
        <f t="shared" si="0"/>
        <v>9.0717299578059074E-2</v>
      </c>
    </row>
    <row r="15" spans="1:10" x14ac:dyDescent="0.3">
      <c r="A15" s="786" t="s">
        <v>4209</v>
      </c>
      <c r="B15" s="787">
        <v>3</v>
      </c>
      <c r="C15" s="787">
        <v>1</v>
      </c>
      <c r="D15" s="787">
        <v>3</v>
      </c>
      <c r="E15" s="787"/>
      <c r="F15" s="787">
        <v>7</v>
      </c>
      <c r="H15" s="786" t="s">
        <v>4209</v>
      </c>
      <c r="I15" s="787">
        <v>7</v>
      </c>
      <c r="J15" s="788">
        <f t="shared" si="0"/>
        <v>7.3839662447257384E-3</v>
      </c>
    </row>
    <row r="16" spans="1:10" x14ac:dyDescent="0.3">
      <c r="A16" s="786" t="s">
        <v>4210</v>
      </c>
      <c r="B16" s="787">
        <v>117</v>
      </c>
      <c r="C16" s="787"/>
      <c r="D16" s="787"/>
      <c r="E16" s="787"/>
      <c r="F16" s="787">
        <v>117</v>
      </c>
      <c r="H16" s="786" t="s">
        <v>4210</v>
      </c>
      <c r="I16" s="787">
        <v>117</v>
      </c>
      <c r="J16" s="788">
        <f t="shared" si="0"/>
        <v>0.12341772151898735</v>
      </c>
    </row>
    <row r="17" spans="1:12" x14ac:dyDescent="0.3">
      <c r="A17" s="786" t="s">
        <v>4211</v>
      </c>
      <c r="B17" s="787">
        <v>32</v>
      </c>
      <c r="C17" s="787">
        <v>22</v>
      </c>
      <c r="D17" s="787">
        <v>123</v>
      </c>
      <c r="E17" s="787">
        <v>2</v>
      </c>
      <c r="F17" s="787">
        <v>179</v>
      </c>
      <c r="H17" s="786" t="s">
        <v>4211</v>
      </c>
      <c r="I17" s="787">
        <v>179</v>
      </c>
      <c r="J17" s="788">
        <f t="shared" si="0"/>
        <v>0.18881856540084388</v>
      </c>
    </row>
    <row r="18" spans="1:12" x14ac:dyDescent="0.3">
      <c r="A18" s="786" t="s">
        <v>765</v>
      </c>
      <c r="B18" s="787">
        <v>348</v>
      </c>
      <c r="C18" s="787">
        <v>117</v>
      </c>
      <c r="D18" s="787">
        <v>478</v>
      </c>
      <c r="E18" s="787">
        <v>5</v>
      </c>
      <c r="F18" s="787">
        <v>948</v>
      </c>
      <c r="I18" s="787">
        <v>948</v>
      </c>
      <c r="J18" s="788">
        <f t="shared" si="0"/>
        <v>1</v>
      </c>
    </row>
    <row r="23" spans="1:12" x14ac:dyDescent="0.3">
      <c r="A23" s="789" t="s">
        <v>3732</v>
      </c>
      <c r="B23" s="789" t="s">
        <v>4195</v>
      </c>
      <c r="C23" s="789" t="s">
        <v>4196</v>
      </c>
      <c r="D23" s="789" t="s">
        <v>4197</v>
      </c>
      <c r="E23" s="789" t="s">
        <v>4212</v>
      </c>
      <c r="F23" s="789" t="s">
        <v>4198</v>
      </c>
      <c r="G23" s="789" t="s">
        <v>765</v>
      </c>
      <c r="H23" s="790" t="s">
        <v>4213</v>
      </c>
      <c r="J23" s="786" t="s">
        <v>4199</v>
      </c>
      <c r="K23">
        <v>194</v>
      </c>
      <c r="L23" s="788">
        <f>K23/$K$36</f>
        <v>0.27556818181818182</v>
      </c>
    </row>
    <row r="24" spans="1:12" x14ac:dyDescent="0.3">
      <c r="A24" s="786" t="s">
        <v>4199</v>
      </c>
      <c r="B24" s="787">
        <v>118</v>
      </c>
      <c r="C24" s="787">
        <v>14</v>
      </c>
      <c r="D24" s="787">
        <v>124</v>
      </c>
      <c r="E24" s="787">
        <f>D24/2</f>
        <v>62</v>
      </c>
      <c r="F24" s="787"/>
      <c r="G24" s="787">
        <v>256</v>
      </c>
      <c r="H24">
        <f>B24+C24+E24</f>
        <v>194</v>
      </c>
      <c r="J24" s="786" t="s">
        <v>4200</v>
      </c>
      <c r="K24">
        <v>21.5</v>
      </c>
      <c r="L24" s="788">
        <f t="shared" ref="L24:L36" si="1">K24/$K$36</f>
        <v>3.0539772727272728E-2</v>
      </c>
    </row>
    <row r="25" spans="1:12" x14ac:dyDescent="0.3">
      <c r="A25" s="786" t="s">
        <v>4200</v>
      </c>
      <c r="B25" s="787">
        <v>1</v>
      </c>
      <c r="C25" s="787">
        <v>11</v>
      </c>
      <c r="D25" s="787">
        <v>19</v>
      </c>
      <c r="E25" s="787">
        <f t="shared" ref="E25:E37" si="2">D25/2</f>
        <v>9.5</v>
      </c>
      <c r="F25" s="787">
        <v>1</v>
      </c>
      <c r="G25" s="787">
        <v>32</v>
      </c>
      <c r="H25">
        <f t="shared" ref="H25:H37" si="3">B25+C25+E25</f>
        <v>21.5</v>
      </c>
      <c r="J25" s="786" t="s">
        <v>4201</v>
      </c>
      <c r="K25">
        <v>7</v>
      </c>
      <c r="L25" s="788">
        <f t="shared" si="1"/>
        <v>9.943181818181818E-3</v>
      </c>
    </row>
    <row r="26" spans="1:12" x14ac:dyDescent="0.3">
      <c r="A26" s="786" t="s">
        <v>4201</v>
      </c>
      <c r="B26" s="787"/>
      <c r="C26" s="787">
        <v>2</v>
      </c>
      <c r="D26" s="787">
        <v>10</v>
      </c>
      <c r="E26" s="787">
        <f t="shared" si="2"/>
        <v>5</v>
      </c>
      <c r="F26" s="787">
        <v>1</v>
      </c>
      <c r="G26" s="787">
        <v>13</v>
      </c>
      <c r="H26">
        <f t="shared" si="3"/>
        <v>7</v>
      </c>
      <c r="J26" s="786" t="s">
        <v>4202</v>
      </c>
      <c r="K26">
        <v>6</v>
      </c>
      <c r="L26" s="788">
        <f t="shared" si="1"/>
        <v>8.5227272727272721E-3</v>
      </c>
    </row>
    <row r="27" spans="1:12" x14ac:dyDescent="0.3">
      <c r="A27" s="786" t="s">
        <v>4202</v>
      </c>
      <c r="B27" s="787">
        <v>1</v>
      </c>
      <c r="C27" s="787">
        <v>3</v>
      </c>
      <c r="D27" s="787">
        <v>4</v>
      </c>
      <c r="E27" s="787">
        <f t="shared" si="2"/>
        <v>2</v>
      </c>
      <c r="F27" s="787"/>
      <c r="G27" s="787">
        <v>8</v>
      </c>
      <c r="H27">
        <f t="shared" si="3"/>
        <v>6</v>
      </c>
      <c r="J27" s="786" t="s">
        <v>4203</v>
      </c>
      <c r="K27">
        <v>26</v>
      </c>
      <c r="L27" s="788">
        <f t="shared" si="1"/>
        <v>3.6931818181818184E-2</v>
      </c>
    </row>
    <row r="28" spans="1:12" x14ac:dyDescent="0.3">
      <c r="A28" s="786" t="s">
        <v>4203</v>
      </c>
      <c r="B28" s="787"/>
      <c r="C28" s="787">
        <v>7</v>
      </c>
      <c r="D28" s="787">
        <v>38</v>
      </c>
      <c r="E28" s="787">
        <f t="shared" si="2"/>
        <v>19</v>
      </c>
      <c r="F28" s="787"/>
      <c r="G28" s="787">
        <v>45</v>
      </c>
      <c r="H28">
        <f t="shared" si="3"/>
        <v>26</v>
      </c>
      <c r="J28" s="786" t="s">
        <v>4204</v>
      </c>
      <c r="K28">
        <v>9</v>
      </c>
      <c r="L28" s="788">
        <f t="shared" si="1"/>
        <v>1.278409090909091E-2</v>
      </c>
    </row>
    <row r="29" spans="1:12" x14ac:dyDescent="0.3">
      <c r="A29" s="786" t="s">
        <v>4204</v>
      </c>
      <c r="B29" s="787"/>
      <c r="C29" s="787">
        <v>5</v>
      </c>
      <c r="D29" s="787">
        <v>8</v>
      </c>
      <c r="E29" s="787">
        <f t="shared" si="2"/>
        <v>4</v>
      </c>
      <c r="F29" s="787"/>
      <c r="G29" s="787">
        <v>13</v>
      </c>
      <c r="H29">
        <f t="shared" si="3"/>
        <v>9</v>
      </c>
      <c r="J29" s="786" t="s">
        <v>4205</v>
      </c>
      <c r="K29">
        <v>51.5</v>
      </c>
      <c r="L29" s="788">
        <f t="shared" si="1"/>
        <v>7.3153409090909088E-2</v>
      </c>
    </row>
    <row r="30" spans="1:12" x14ac:dyDescent="0.3">
      <c r="A30" s="786" t="s">
        <v>4205</v>
      </c>
      <c r="B30" s="787"/>
      <c r="C30" s="787">
        <v>12</v>
      </c>
      <c r="D30" s="787">
        <v>79</v>
      </c>
      <c r="E30" s="787">
        <f t="shared" si="2"/>
        <v>39.5</v>
      </c>
      <c r="F30" s="787"/>
      <c r="G30" s="787">
        <v>91</v>
      </c>
      <c r="H30">
        <f t="shared" si="3"/>
        <v>51.5</v>
      </c>
      <c r="J30" s="786" t="s">
        <v>4206</v>
      </c>
      <c r="K30">
        <v>43</v>
      </c>
      <c r="L30" s="788">
        <f t="shared" si="1"/>
        <v>6.1079545454545456E-2</v>
      </c>
    </row>
    <row r="31" spans="1:12" x14ac:dyDescent="0.3">
      <c r="A31" s="786" t="s">
        <v>4206</v>
      </c>
      <c r="B31" s="787"/>
      <c r="C31" s="787">
        <v>27</v>
      </c>
      <c r="D31" s="787">
        <v>32</v>
      </c>
      <c r="E31" s="787">
        <f t="shared" si="2"/>
        <v>16</v>
      </c>
      <c r="F31" s="787">
        <v>1</v>
      </c>
      <c r="G31" s="787">
        <v>60</v>
      </c>
      <c r="H31">
        <f t="shared" si="3"/>
        <v>43</v>
      </c>
      <c r="J31" s="786" t="s">
        <v>4207</v>
      </c>
      <c r="K31">
        <v>31.5</v>
      </c>
      <c r="L31" s="788">
        <f t="shared" si="1"/>
        <v>4.4744318181818184E-2</v>
      </c>
    </row>
    <row r="32" spans="1:12" x14ac:dyDescent="0.3">
      <c r="A32" s="786" t="s">
        <v>4207</v>
      </c>
      <c r="B32" s="787">
        <v>16</v>
      </c>
      <c r="C32" s="787">
        <v>6</v>
      </c>
      <c r="D32" s="787">
        <v>19</v>
      </c>
      <c r="E32" s="787">
        <f t="shared" si="2"/>
        <v>9.5</v>
      </c>
      <c r="F32" s="787"/>
      <c r="G32" s="787">
        <v>41</v>
      </c>
      <c r="H32">
        <f t="shared" si="3"/>
        <v>31.5</v>
      </c>
      <c r="J32" s="786" t="s">
        <v>4208</v>
      </c>
      <c r="K32">
        <v>76.5</v>
      </c>
      <c r="L32" s="788">
        <f t="shared" si="1"/>
        <v>0.10866477272727272</v>
      </c>
    </row>
    <row r="33" spans="1:12" x14ac:dyDescent="0.3">
      <c r="A33" s="786" t="s">
        <v>4208</v>
      </c>
      <c r="B33" s="787">
        <v>60</v>
      </c>
      <c r="C33" s="787">
        <v>7</v>
      </c>
      <c r="D33" s="787">
        <v>19</v>
      </c>
      <c r="E33" s="787">
        <f t="shared" si="2"/>
        <v>9.5</v>
      </c>
      <c r="F33" s="787"/>
      <c r="G33" s="787">
        <v>86</v>
      </c>
      <c r="H33">
        <f t="shared" si="3"/>
        <v>76.5</v>
      </c>
      <c r="J33" s="786" t="s">
        <v>4209</v>
      </c>
      <c r="K33">
        <v>5.5</v>
      </c>
      <c r="L33" s="788">
        <f t="shared" si="1"/>
        <v>7.8125E-3</v>
      </c>
    </row>
    <row r="34" spans="1:12" x14ac:dyDescent="0.3">
      <c r="A34" s="786" t="s">
        <v>4209</v>
      </c>
      <c r="B34" s="787">
        <v>3</v>
      </c>
      <c r="C34" s="787">
        <v>1</v>
      </c>
      <c r="D34" s="787">
        <v>3</v>
      </c>
      <c r="E34" s="787">
        <f t="shared" si="2"/>
        <v>1.5</v>
      </c>
      <c r="F34" s="787"/>
      <c r="G34" s="787">
        <v>7</v>
      </c>
      <c r="H34">
        <f t="shared" si="3"/>
        <v>5.5</v>
      </c>
      <c r="J34" s="786" t="s">
        <v>4210</v>
      </c>
      <c r="K34">
        <v>117</v>
      </c>
      <c r="L34" s="788">
        <f t="shared" si="1"/>
        <v>0.16619318181818182</v>
      </c>
    </row>
    <row r="35" spans="1:12" x14ac:dyDescent="0.3">
      <c r="A35" s="786" t="s">
        <v>4210</v>
      </c>
      <c r="B35" s="787">
        <v>117</v>
      </c>
      <c r="C35" s="787"/>
      <c r="D35" s="787"/>
      <c r="E35" s="787">
        <f t="shared" si="2"/>
        <v>0</v>
      </c>
      <c r="F35" s="787"/>
      <c r="G35" s="787">
        <v>117</v>
      </c>
      <c r="H35">
        <f t="shared" si="3"/>
        <v>117</v>
      </c>
      <c r="J35" s="786" t="s">
        <v>4211</v>
      </c>
      <c r="K35">
        <v>115.5</v>
      </c>
      <c r="L35" s="788">
        <f t="shared" si="1"/>
        <v>0.1640625</v>
      </c>
    </row>
    <row r="36" spans="1:12" x14ac:dyDescent="0.3">
      <c r="A36" s="786" t="s">
        <v>4211</v>
      </c>
      <c r="B36" s="787">
        <v>32</v>
      </c>
      <c r="C36" s="787">
        <v>22</v>
      </c>
      <c r="D36" s="787">
        <v>123</v>
      </c>
      <c r="E36" s="787">
        <f t="shared" si="2"/>
        <v>61.5</v>
      </c>
      <c r="F36" s="787">
        <v>2</v>
      </c>
      <c r="G36" s="787">
        <v>179</v>
      </c>
      <c r="H36">
        <f t="shared" si="3"/>
        <v>115.5</v>
      </c>
      <c r="K36">
        <v>704</v>
      </c>
      <c r="L36" s="788">
        <f t="shared" si="1"/>
        <v>1</v>
      </c>
    </row>
    <row r="37" spans="1:12" x14ac:dyDescent="0.3">
      <c r="A37" s="791" t="s">
        <v>765</v>
      </c>
      <c r="B37" s="792">
        <v>348</v>
      </c>
      <c r="C37" s="792">
        <v>117</v>
      </c>
      <c r="D37" s="792">
        <v>478</v>
      </c>
      <c r="E37" s="787">
        <f t="shared" si="2"/>
        <v>239</v>
      </c>
      <c r="F37" s="792">
        <v>5</v>
      </c>
      <c r="G37" s="792">
        <v>948</v>
      </c>
      <c r="H37">
        <f t="shared" si="3"/>
        <v>704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2:AF94"/>
  <sheetViews>
    <sheetView zoomScale="85" zoomScaleNormal="85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G38" sqref="G38"/>
    </sheetView>
  </sheetViews>
  <sheetFormatPr defaultRowHeight="15.6" x14ac:dyDescent="0.3"/>
  <cols>
    <col min="1" max="1" width="10.21875" style="16" customWidth="1"/>
    <col min="2" max="2" width="120.44140625" customWidth="1"/>
    <col min="3" max="3" width="13.88671875" customWidth="1"/>
    <col min="4" max="4" width="15.21875" style="3" customWidth="1"/>
    <col min="5" max="5" width="8.88671875" style="3"/>
    <col min="6" max="6" width="11.109375" style="3" bestFit="1" customWidth="1"/>
    <col min="7" max="7" width="96.44140625" style="3" customWidth="1"/>
    <col min="8" max="8" width="14.6640625" style="3" bestFit="1" customWidth="1"/>
    <col min="9" max="32" width="8.88671875" style="3"/>
  </cols>
  <sheetData>
    <row r="2" spans="1:32" x14ac:dyDescent="0.3">
      <c r="A2" s="1074" t="s">
        <v>2824</v>
      </c>
      <c r="B2" s="1076" t="s">
        <v>2913</v>
      </c>
    </row>
    <row r="3" spans="1:32" x14ac:dyDescent="0.3">
      <c r="D3"/>
    </row>
    <row r="4" spans="1:32" x14ac:dyDescent="0.3">
      <c r="A4" s="1074" t="s">
        <v>2830</v>
      </c>
      <c r="B4" s="1077" t="s">
        <v>77</v>
      </c>
      <c r="C4" s="1076" t="s">
        <v>4034</v>
      </c>
      <c r="D4"/>
    </row>
    <row r="5" spans="1:32" x14ac:dyDescent="0.3">
      <c r="A5" s="1074" t="s">
        <v>2963</v>
      </c>
      <c r="B5" s="1074" t="s">
        <v>2967</v>
      </c>
      <c r="C5" s="1075">
        <v>501177116.9025346</v>
      </c>
      <c r="D5"/>
      <c r="AC5"/>
      <c r="AD5"/>
      <c r="AE5"/>
      <c r="AF5"/>
    </row>
    <row r="6" spans="1:32" x14ac:dyDescent="0.3">
      <c r="A6" s="1074" t="s">
        <v>2963</v>
      </c>
      <c r="B6" s="1074" t="s">
        <v>782</v>
      </c>
      <c r="C6" s="1075">
        <v>-183597963.39869905</v>
      </c>
      <c r="D6"/>
      <c r="AC6"/>
      <c r="AD6"/>
      <c r="AE6"/>
      <c r="AF6"/>
    </row>
    <row r="7" spans="1:32" x14ac:dyDescent="0.3">
      <c r="A7" s="1074" t="s">
        <v>2919</v>
      </c>
      <c r="B7" s="1074" t="s">
        <v>2660</v>
      </c>
      <c r="C7" s="1075">
        <v>9853504.1271735653</v>
      </c>
      <c r="D7"/>
      <c r="AC7"/>
      <c r="AD7"/>
      <c r="AE7"/>
      <c r="AF7"/>
    </row>
    <row r="8" spans="1:32" x14ac:dyDescent="0.3">
      <c r="A8" s="1074" t="s">
        <v>2920</v>
      </c>
      <c r="B8" s="1074" t="s">
        <v>2968</v>
      </c>
      <c r="C8" s="1075">
        <v>63565000.000002176</v>
      </c>
      <c r="D8"/>
      <c r="AC8"/>
      <c r="AD8"/>
      <c r="AE8"/>
      <c r="AF8"/>
    </row>
    <row r="9" spans="1:32" x14ac:dyDescent="0.3">
      <c r="A9" s="1074" t="s">
        <v>2920</v>
      </c>
      <c r="B9" s="1074" t="s">
        <v>791</v>
      </c>
      <c r="C9" s="1075">
        <v>-9687299.0856844168</v>
      </c>
      <c r="D9"/>
      <c r="AC9"/>
      <c r="AD9"/>
      <c r="AE9"/>
      <c r="AF9"/>
    </row>
    <row r="10" spans="1:32" x14ac:dyDescent="0.3">
      <c r="A10" s="1074" t="s">
        <v>2921</v>
      </c>
      <c r="B10" s="1074" t="s">
        <v>2663</v>
      </c>
      <c r="C10" s="1075">
        <v>5289526.1987929475</v>
      </c>
      <c r="D10"/>
      <c r="AC10"/>
      <c r="AD10"/>
      <c r="AE10"/>
      <c r="AF10"/>
    </row>
    <row r="11" spans="1:32" x14ac:dyDescent="0.3">
      <c r="A11" s="1074" t="s">
        <v>2923</v>
      </c>
      <c r="B11" s="1074" t="s">
        <v>2969</v>
      </c>
      <c r="C11" s="1075">
        <v>-2.2117455955594778E-6</v>
      </c>
      <c r="D11"/>
      <c r="AC11"/>
      <c r="AD11"/>
      <c r="AE11"/>
      <c r="AF11"/>
    </row>
    <row r="12" spans="1:32" x14ac:dyDescent="0.3">
      <c r="A12" s="1074" t="s">
        <v>2923</v>
      </c>
      <c r="B12" s="1074" t="s">
        <v>2672</v>
      </c>
      <c r="C12" s="1075">
        <v>-570048.36916987062</v>
      </c>
      <c r="D12"/>
    </row>
    <row r="13" spans="1:32" x14ac:dyDescent="0.3">
      <c r="A13" s="1074" t="s">
        <v>2924</v>
      </c>
      <c r="B13" s="1074" t="s">
        <v>2671</v>
      </c>
      <c r="C13" s="1075">
        <v>0</v>
      </c>
      <c r="D13"/>
    </row>
    <row r="14" spans="1:32" x14ac:dyDescent="0.3">
      <c r="A14" s="1074" t="s">
        <v>2922</v>
      </c>
      <c r="B14" s="1074" t="s">
        <v>22</v>
      </c>
      <c r="C14" s="1075">
        <v>11236728.428310072</v>
      </c>
      <c r="D14"/>
    </row>
    <row r="15" spans="1:32" x14ac:dyDescent="0.3">
      <c r="A15" s="1076" t="s">
        <v>3467</v>
      </c>
      <c r="B15" s="1076" t="s">
        <v>25</v>
      </c>
      <c r="C15" s="1075">
        <v>79837000</v>
      </c>
      <c r="D15"/>
    </row>
    <row r="16" spans="1:32" x14ac:dyDescent="0.3">
      <c r="A16" s="1076" t="s">
        <v>3468</v>
      </c>
      <c r="B16" s="1076" t="s">
        <v>3379</v>
      </c>
      <c r="C16" s="1075">
        <v>113507670</v>
      </c>
      <c r="D16"/>
    </row>
    <row r="17" spans="1:4" x14ac:dyDescent="0.3">
      <c r="A17" s="1076" t="s">
        <v>4060</v>
      </c>
      <c r="B17" s="1076" t="s">
        <v>828</v>
      </c>
      <c r="C17" s="1075">
        <v>119305000</v>
      </c>
      <c r="D17"/>
    </row>
    <row r="18" spans="1:4" x14ac:dyDescent="0.3">
      <c r="A18" s="1076" t="s">
        <v>4061</v>
      </c>
      <c r="B18" s="1076" t="s">
        <v>829</v>
      </c>
      <c r="C18" s="1075">
        <v>8344435.7976653697</v>
      </c>
      <c r="D18"/>
    </row>
    <row r="19" spans="1:4" x14ac:dyDescent="0.3">
      <c r="A19" s="1076" t="s">
        <v>4062</v>
      </c>
      <c r="B19" s="1076" t="s">
        <v>830</v>
      </c>
      <c r="C19" s="1075">
        <v>3410456.8725195429</v>
      </c>
      <c r="D19"/>
    </row>
    <row r="20" spans="1:4" x14ac:dyDescent="0.3">
      <c r="A20" s="1076" t="s">
        <v>4063</v>
      </c>
      <c r="B20" s="1076" t="s">
        <v>792</v>
      </c>
      <c r="C20" s="1075">
        <v>10921812</v>
      </c>
      <c r="D20"/>
    </row>
    <row r="21" spans="1:4" x14ac:dyDescent="0.3">
      <c r="A21" s="1076" t="s">
        <v>4064</v>
      </c>
      <c r="B21" s="1076" t="s">
        <v>3703</v>
      </c>
      <c r="C21" s="1075">
        <v>34531561</v>
      </c>
      <c r="D21"/>
    </row>
    <row r="22" spans="1:4" x14ac:dyDescent="0.3">
      <c r="A22" s="1076" t="s">
        <v>4065</v>
      </c>
      <c r="B22" s="1076" t="s">
        <v>841</v>
      </c>
      <c r="C22" s="1075">
        <v>21500000</v>
      </c>
      <c r="D22"/>
    </row>
    <row r="23" spans="1:4" x14ac:dyDescent="0.3">
      <c r="A23" s="1074" t="s">
        <v>2925</v>
      </c>
      <c r="B23" s="1074" t="s">
        <v>27</v>
      </c>
      <c r="C23" s="1075">
        <v>788624500.79097605</v>
      </c>
      <c r="D23"/>
    </row>
    <row r="24" spans="1:4" x14ac:dyDescent="0.3">
      <c r="A24" s="1074" t="s">
        <v>2926</v>
      </c>
      <c r="B24" s="1074" t="s">
        <v>29</v>
      </c>
      <c r="C24" s="1075">
        <v>-149838655.15028545</v>
      </c>
      <c r="D24"/>
    </row>
    <row r="25" spans="1:4" x14ac:dyDescent="0.3">
      <c r="A25" s="1074" t="s">
        <v>2927</v>
      </c>
      <c r="B25" s="1076" t="s">
        <v>3380</v>
      </c>
      <c r="C25" s="1075">
        <v>-3943122.5039548804</v>
      </c>
      <c r="D25"/>
    </row>
    <row r="26" spans="1:4" x14ac:dyDescent="0.3">
      <c r="A26" s="1074" t="s">
        <v>2928</v>
      </c>
      <c r="B26" s="1074" t="s">
        <v>30</v>
      </c>
      <c r="C26" s="1075">
        <v>-11829367.51186464</v>
      </c>
      <c r="D26"/>
    </row>
    <row r="27" spans="1:4" ht="15.75" customHeight="1" x14ac:dyDescent="0.3">
      <c r="A27" s="1074" t="s">
        <v>2929</v>
      </c>
      <c r="B27" s="1074" t="s">
        <v>31</v>
      </c>
      <c r="C27" s="1075">
        <v>11829367.51186464</v>
      </c>
      <c r="D27"/>
    </row>
    <row r="28" spans="1:4" ht="15.75" customHeight="1" x14ac:dyDescent="0.3">
      <c r="A28" s="1074" t="s">
        <v>2930</v>
      </c>
      <c r="B28" s="1076" t="s">
        <v>35</v>
      </c>
      <c r="C28" s="1075">
        <v>-9239068.3874350004</v>
      </c>
      <c r="D28"/>
    </row>
    <row r="29" spans="1:4" ht="16.5" customHeight="1" x14ac:dyDescent="0.3">
      <c r="A29" s="1074" t="s">
        <v>2992</v>
      </c>
      <c r="B29" s="1076" t="s">
        <v>3382</v>
      </c>
      <c r="C29" s="1075">
        <v>-19339744</v>
      </c>
      <c r="D29"/>
    </row>
    <row r="30" spans="1:4" x14ac:dyDescent="0.3">
      <c r="A30" s="1074" t="s">
        <v>2931</v>
      </c>
      <c r="B30" s="1074" t="s">
        <v>38</v>
      </c>
      <c r="C30" s="1075">
        <v>-40180860</v>
      </c>
      <c r="D30"/>
    </row>
    <row r="31" spans="1:4" x14ac:dyDescent="0.3">
      <c r="A31" s="1074" t="s">
        <v>2932</v>
      </c>
      <c r="B31" s="1076" t="s">
        <v>2771</v>
      </c>
      <c r="C31" s="1075">
        <v>0</v>
      </c>
      <c r="D31"/>
    </row>
    <row r="32" spans="1:4" x14ac:dyDescent="0.3">
      <c r="A32" s="1074" t="s">
        <v>2933</v>
      </c>
      <c r="B32" s="1076" t="s">
        <v>2772</v>
      </c>
      <c r="C32" s="1075">
        <v>0</v>
      </c>
      <c r="D32"/>
    </row>
    <row r="33" spans="1:4" x14ac:dyDescent="0.3">
      <c r="A33" s="1074" t="s">
        <v>2934</v>
      </c>
      <c r="B33" s="1074" t="s">
        <v>2773</v>
      </c>
      <c r="C33" s="1075">
        <v>-1911197</v>
      </c>
      <c r="D33"/>
    </row>
    <row r="34" spans="1:4" x14ac:dyDescent="0.3">
      <c r="A34" s="1074" t="s">
        <v>2935</v>
      </c>
      <c r="B34" s="1074" t="s">
        <v>39</v>
      </c>
      <c r="C34" s="1075">
        <v>-157177.689758725</v>
      </c>
      <c r="D34"/>
    </row>
    <row r="35" spans="1:4" x14ac:dyDescent="0.3">
      <c r="A35" s="1074" t="s">
        <v>2936</v>
      </c>
      <c r="B35" s="1074" t="s">
        <v>40</v>
      </c>
      <c r="C35" s="1075">
        <v>564014676.05954194</v>
      </c>
      <c r="D35"/>
    </row>
    <row r="36" spans="1:4" x14ac:dyDescent="0.3">
      <c r="A36" s="1074" t="s">
        <v>2937</v>
      </c>
      <c r="B36" s="1074" t="s">
        <v>2</v>
      </c>
      <c r="C36" s="1075">
        <v>75586481.314999998</v>
      </c>
      <c r="D36"/>
    </row>
    <row r="37" spans="1:4" x14ac:dyDescent="0.3">
      <c r="A37" s="1074" t="s">
        <v>2938</v>
      </c>
      <c r="B37" s="1074" t="s">
        <v>2906</v>
      </c>
      <c r="C37" s="1075">
        <v>639601157.374542</v>
      </c>
      <c r="D37"/>
    </row>
    <row r="38" spans="1:4" x14ac:dyDescent="0.3">
      <c r="A38" s="1076" t="s">
        <v>3976</v>
      </c>
      <c r="B38" s="1076" t="s">
        <v>3416</v>
      </c>
      <c r="C38" s="1075">
        <v>6276492</v>
      </c>
      <c r="D38"/>
    </row>
    <row r="39" spans="1:4" x14ac:dyDescent="0.3">
      <c r="A39" s="1076" t="s">
        <v>3978</v>
      </c>
      <c r="B39" s="1076" t="s">
        <v>3418</v>
      </c>
      <c r="C39" s="1075">
        <v>34091614</v>
      </c>
      <c r="D39"/>
    </row>
    <row r="40" spans="1:4" x14ac:dyDescent="0.3">
      <c r="A40" s="1076" t="s">
        <v>3977</v>
      </c>
      <c r="B40" s="1076" t="s">
        <v>3417</v>
      </c>
      <c r="C40" s="1075">
        <v>191422</v>
      </c>
      <c r="D40"/>
    </row>
    <row r="41" spans="1:4" x14ac:dyDescent="0.3">
      <c r="A41" s="1076" t="s">
        <v>3981</v>
      </c>
      <c r="B41" s="1076" t="s">
        <v>2967</v>
      </c>
      <c r="C41" s="1075">
        <v>112698392.09795535</v>
      </c>
    </row>
    <row r="42" spans="1:4" x14ac:dyDescent="0.3">
      <c r="A42" s="1076" t="s">
        <v>3981</v>
      </c>
      <c r="B42" s="1076" t="s">
        <v>782</v>
      </c>
      <c r="C42" s="1075">
        <v>-41285195.532014921</v>
      </c>
      <c r="D42"/>
    </row>
    <row r="43" spans="1:4" x14ac:dyDescent="0.3">
      <c r="A43" s="1076" t="s">
        <v>3979</v>
      </c>
      <c r="B43" s="1076" t="s">
        <v>2660</v>
      </c>
      <c r="C43" s="1075">
        <v>2215731.7926368634</v>
      </c>
      <c r="D43"/>
    </row>
    <row r="44" spans="1:4" x14ac:dyDescent="0.3">
      <c r="A44" s="1076" t="s">
        <v>3980</v>
      </c>
      <c r="B44" s="1076" t="s">
        <v>3422</v>
      </c>
      <c r="C44" s="1075">
        <v>0</v>
      </c>
      <c r="D44"/>
    </row>
    <row r="45" spans="1:4" x14ac:dyDescent="0.3">
      <c r="A45" s="1076" t="s">
        <v>3469</v>
      </c>
      <c r="B45" s="1076" t="s">
        <v>3985</v>
      </c>
      <c r="C45" s="1075">
        <v>32246232</v>
      </c>
      <c r="D45"/>
    </row>
    <row r="46" spans="1:4" x14ac:dyDescent="0.3">
      <c r="A46" s="1076" t="s">
        <v>3470</v>
      </c>
      <c r="B46" s="1076" t="s">
        <v>2966</v>
      </c>
      <c r="C46" s="1075">
        <v>0</v>
      </c>
      <c r="D46"/>
    </row>
    <row r="47" spans="1:4" x14ac:dyDescent="0.3">
      <c r="A47" s="1076" t="s">
        <v>3470</v>
      </c>
      <c r="B47" s="1076" t="s">
        <v>2673</v>
      </c>
      <c r="C47" s="1075">
        <v>0</v>
      </c>
      <c r="D47"/>
    </row>
    <row r="48" spans="1:4" x14ac:dyDescent="0.3">
      <c r="A48" s="1076" t="s">
        <v>3471</v>
      </c>
      <c r="B48" s="1076" t="s">
        <v>2675</v>
      </c>
      <c r="C48" s="1075">
        <v>5239256.3252908494</v>
      </c>
      <c r="D48"/>
    </row>
    <row r="49" spans="1:4" x14ac:dyDescent="0.3">
      <c r="A49" s="1074" t="s">
        <v>2939</v>
      </c>
      <c r="B49" s="1076" t="s">
        <v>3424</v>
      </c>
      <c r="C49" s="1075">
        <v>0</v>
      </c>
      <c r="D49"/>
    </row>
    <row r="50" spans="1:4" x14ac:dyDescent="0.3">
      <c r="A50" s="1074" t="s">
        <v>2940</v>
      </c>
      <c r="B50" s="1076" t="s">
        <v>42</v>
      </c>
      <c r="C50" s="1075">
        <v>-28818049.492268525</v>
      </c>
      <c r="D50"/>
    </row>
    <row r="51" spans="1:4" x14ac:dyDescent="0.3">
      <c r="A51" s="1074" t="s">
        <v>2941</v>
      </c>
      <c r="B51" s="1076" t="s">
        <v>3489</v>
      </c>
      <c r="C51" s="1075">
        <v>-758369.72348075069</v>
      </c>
      <c r="D51"/>
    </row>
    <row r="52" spans="1:4" x14ac:dyDescent="0.3">
      <c r="A52" s="1074" t="s">
        <v>2943</v>
      </c>
      <c r="B52" s="1076" t="s">
        <v>44</v>
      </c>
      <c r="C52" s="1075">
        <v>-2275109.170442252</v>
      </c>
      <c r="D52"/>
    </row>
    <row r="53" spans="1:4" x14ac:dyDescent="0.3">
      <c r="A53" s="1076" t="s">
        <v>3472</v>
      </c>
      <c r="B53" s="1076" t="s">
        <v>31</v>
      </c>
      <c r="C53" s="1075">
        <v>2275109.170442252</v>
      </c>
      <c r="D53" s="352"/>
    </row>
    <row r="54" spans="1:4" x14ac:dyDescent="0.3">
      <c r="A54" s="1076" t="s">
        <v>3473</v>
      </c>
      <c r="B54" s="1076" t="s">
        <v>49</v>
      </c>
      <c r="C54" s="1075">
        <v>0</v>
      </c>
      <c r="D54"/>
    </row>
    <row r="55" spans="1:4" ht="15.75" customHeight="1" x14ac:dyDescent="0.3">
      <c r="A55" s="1074" t="s">
        <v>2970</v>
      </c>
      <c r="B55" s="1074" t="s">
        <v>2751</v>
      </c>
      <c r="C55" s="1075">
        <v>0</v>
      </c>
      <c r="D55"/>
    </row>
    <row r="56" spans="1:4" ht="15.75" customHeight="1" x14ac:dyDescent="0.3">
      <c r="A56" s="1074" t="s">
        <v>2942</v>
      </c>
      <c r="B56" s="1074" t="s">
        <v>45</v>
      </c>
      <c r="C56" s="1075">
        <v>761698682.8549428</v>
      </c>
      <c r="D56"/>
    </row>
    <row r="57" spans="1:4" ht="16.5" customHeight="1" x14ac:dyDescent="0.3">
      <c r="A57" s="1074" t="s">
        <v>2944</v>
      </c>
      <c r="B57" s="1074" t="s">
        <v>2831</v>
      </c>
      <c r="C57" s="1075">
        <v>602601582.73384047</v>
      </c>
      <c r="D57"/>
    </row>
    <row r="58" spans="1:4" x14ac:dyDescent="0.3">
      <c r="A58" s="1074" t="s">
        <v>2947</v>
      </c>
      <c r="B58" s="1074" t="s">
        <v>2816</v>
      </c>
      <c r="C58" s="1075">
        <v>8180485</v>
      </c>
      <c r="D58"/>
    </row>
    <row r="59" spans="1:4" x14ac:dyDescent="0.3">
      <c r="A59" s="1074" t="s">
        <v>2949</v>
      </c>
      <c r="B59" s="1074" t="s">
        <v>2818</v>
      </c>
      <c r="C59" s="1075">
        <v>0</v>
      </c>
      <c r="D59"/>
    </row>
    <row r="60" spans="1:4" x14ac:dyDescent="0.3">
      <c r="A60" s="1074" t="s">
        <v>2951</v>
      </c>
      <c r="B60" s="1074" t="s">
        <v>2681</v>
      </c>
      <c r="C60" s="1075">
        <v>0</v>
      </c>
      <c r="D60"/>
    </row>
    <row r="61" spans="1:4" x14ac:dyDescent="0.3">
      <c r="A61" s="1074" t="s">
        <v>2945</v>
      </c>
      <c r="B61" s="1074" t="s">
        <v>2825</v>
      </c>
      <c r="C61" s="1075">
        <v>10200256</v>
      </c>
      <c r="D61"/>
    </row>
    <row r="62" spans="1:4" x14ac:dyDescent="0.3">
      <c r="A62" s="1074" t="s">
        <v>2946</v>
      </c>
      <c r="B62" s="1074" t="s">
        <v>2815</v>
      </c>
      <c r="C62" s="1075">
        <v>108312273.55791421</v>
      </c>
      <c r="D62"/>
    </row>
    <row r="63" spans="1:4" x14ac:dyDescent="0.3">
      <c r="A63" s="1074" t="s">
        <v>2948</v>
      </c>
      <c r="B63" s="1074" t="s">
        <v>2817</v>
      </c>
      <c r="C63" s="1075">
        <v>0</v>
      </c>
      <c r="D63"/>
    </row>
    <row r="64" spans="1:4" x14ac:dyDescent="0.3">
      <c r="A64" s="1074" t="s">
        <v>2950</v>
      </c>
      <c r="B64" s="1076" t="s">
        <v>3437</v>
      </c>
      <c r="C64" s="1075">
        <v>109881</v>
      </c>
      <c r="D64"/>
    </row>
    <row r="65" spans="1:4" x14ac:dyDescent="0.3">
      <c r="A65" s="1074" t="s">
        <v>2952</v>
      </c>
      <c r="B65" s="1074" t="s">
        <v>2804</v>
      </c>
      <c r="C65" s="1075">
        <v>14607068.725884141</v>
      </c>
      <c r="D65"/>
    </row>
    <row r="66" spans="1:4" x14ac:dyDescent="0.3">
      <c r="A66" s="1074" t="s">
        <v>2953</v>
      </c>
      <c r="B66" s="1074" t="s">
        <v>2907</v>
      </c>
      <c r="C66" s="1075">
        <v>744011547.28379846</v>
      </c>
      <c r="D66"/>
    </row>
    <row r="67" spans="1:4" x14ac:dyDescent="0.3">
      <c r="A67" s="1074" t="s">
        <v>3029</v>
      </c>
      <c r="B67" s="1074" t="s">
        <v>3361</v>
      </c>
      <c r="C67" s="1075">
        <v>17687135.571144342</v>
      </c>
      <c r="D67"/>
    </row>
    <row r="68" spans="1:4" x14ac:dyDescent="0.3">
      <c r="A68" s="1074" t="s">
        <v>3028</v>
      </c>
      <c r="B68" s="1074" t="s">
        <v>3019</v>
      </c>
      <c r="C68" s="1075">
        <v>0</v>
      </c>
      <c r="D68"/>
    </row>
    <row r="69" spans="1:4" x14ac:dyDescent="0.3">
      <c r="A69" s="1074" t="s">
        <v>3032</v>
      </c>
      <c r="B69" s="1074" t="s">
        <v>3020</v>
      </c>
      <c r="C69" s="1075">
        <v>17687135.571144342</v>
      </c>
      <c r="D69"/>
    </row>
    <row r="70" spans="1:4" x14ac:dyDescent="0.3">
      <c r="A70" s="1074" t="s">
        <v>2954</v>
      </c>
      <c r="B70" s="1076" t="s">
        <v>3970</v>
      </c>
      <c r="C70" s="1075">
        <v>686112200.79181743</v>
      </c>
      <c r="D70"/>
    </row>
    <row r="71" spans="1:4" x14ac:dyDescent="0.3">
      <c r="A71" s="1074" t="s">
        <v>2955</v>
      </c>
      <c r="B71" s="1074" t="s">
        <v>2793</v>
      </c>
      <c r="C71" s="1075">
        <v>75586481.314999998</v>
      </c>
      <c r="D71"/>
    </row>
    <row r="72" spans="1:4" x14ac:dyDescent="0.3">
      <c r="A72" s="1074" t="s">
        <v>2957</v>
      </c>
      <c r="B72" s="1076" t="s">
        <v>3973</v>
      </c>
      <c r="C72" s="1075">
        <v>761698682.10681748</v>
      </c>
      <c r="D72"/>
    </row>
    <row r="73" spans="1:4" x14ac:dyDescent="0.3">
      <c r="A73" s="1074" t="s">
        <v>2958</v>
      </c>
      <c r="B73" s="1076" t="s">
        <v>3974</v>
      </c>
      <c r="C73" s="1075">
        <v>680348307.53879845</v>
      </c>
      <c r="D73"/>
    </row>
    <row r="74" spans="1:4" x14ac:dyDescent="0.3">
      <c r="A74" s="1074" t="s">
        <v>2956</v>
      </c>
      <c r="B74" s="1074" t="s">
        <v>2806</v>
      </c>
      <c r="C74" s="1075">
        <v>63663239.744999997</v>
      </c>
      <c r="D74"/>
    </row>
    <row r="75" spans="1:4" x14ac:dyDescent="0.3">
      <c r="A75" s="1074" t="s">
        <v>2959</v>
      </c>
      <c r="B75" s="1074" t="s">
        <v>2807</v>
      </c>
      <c r="C75" s="1075">
        <v>744011547.28379846</v>
      </c>
      <c r="D75"/>
    </row>
    <row r="76" spans="1:4" x14ac:dyDescent="0.3">
      <c r="A76" s="1074" t="s">
        <v>2960</v>
      </c>
      <c r="B76" s="1074" t="s">
        <v>2785</v>
      </c>
      <c r="C76" s="1075">
        <v>17687134.823019028</v>
      </c>
      <c r="D76"/>
    </row>
    <row r="77" spans="1:4" x14ac:dyDescent="0.3">
      <c r="A77"/>
      <c r="D77"/>
    </row>
    <row r="78" spans="1:4" x14ac:dyDescent="0.3">
      <c r="D78"/>
    </row>
    <row r="79" spans="1:4" x14ac:dyDescent="0.3">
      <c r="D79"/>
    </row>
    <row r="80" spans="1:4" x14ac:dyDescent="0.3">
      <c r="D80"/>
    </row>
    <row r="81" spans="4:4" x14ac:dyDescent="0.3">
      <c r="D81"/>
    </row>
    <row r="82" spans="4:4" x14ac:dyDescent="0.3">
      <c r="D82"/>
    </row>
    <row r="83" spans="4:4" x14ac:dyDescent="0.3">
      <c r="D83"/>
    </row>
    <row r="84" spans="4:4" x14ac:dyDescent="0.3">
      <c r="D84"/>
    </row>
    <row r="85" spans="4:4" x14ac:dyDescent="0.3">
      <c r="D85"/>
    </row>
    <row r="86" spans="4:4" x14ac:dyDescent="0.3">
      <c r="D86"/>
    </row>
    <row r="87" spans="4:4" x14ac:dyDescent="0.3">
      <c r="D87"/>
    </row>
    <row r="88" spans="4:4" x14ac:dyDescent="0.3">
      <c r="D88"/>
    </row>
    <row r="89" spans="4:4" x14ac:dyDescent="0.3">
      <c r="D89"/>
    </row>
    <row r="90" spans="4:4" x14ac:dyDescent="0.3">
      <c r="D90"/>
    </row>
    <row r="91" spans="4:4" x14ac:dyDescent="0.3">
      <c r="D91"/>
    </row>
    <row r="92" spans="4:4" x14ac:dyDescent="0.3">
      <c r="D92"/>
    </row>
    <row r="93" spans="4:4" x14ac:dyDescent="0.3">
      <c r="D93"/>
    </row>
    <row r="94" spans="4:4" x14ac:dyDescent="0.3">
      <c r="D94"/>
    </row>
  </sheetData>
  <pageMargins left="0.70866141732283472" right="0.70866141732283472" top="0.94488188976377963" bottom="0.74803149606299213" header="0.31496062992125984" footer="0.31496062992125984"/>
  <pageSetup paperSize="8" scale="99" orientation="portrait" r:id="rId2"/>
  <headerFooter>
    <oddHeader>&amp;L&amp;"Garamond,Félkövér"&amp;20 2. melléklet - Pedagógiai és Pszichológiai Kar /Szombathely/
forrásainak és kiadásainak alakulása a 2021. évi költségvetésben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H43"/>
  <sheetViews>
    <sheetView zoomScale="85" zoomScaleNormal="85" workbookViewId="0">
      <selection activeCell="D21" sqref="D21"/>
    </sheetView>
  </sheetViews>
  <sheetFormatPr defaultColWidth="7.77734375" defaultRowHeight="14.4" x14ac:dyDescent="0.3"/>
  <cols>
    <col min="1" max="1" width="7.109375" style="293" customWidth="1"/>
    <col min="2" max="2" width="29.6640625" style="293" bestFit="1" customWidth="1"/>
    <col min="3" max="3" width="27.33203125" style="293" customWidth="1"/>
    <col min="4" max="4" width="17.77734375" style="293" customWidth="1"/>
    <col min="5" max="5" width="22.44140625" style="293" customWidth="1"/>
    <col min="6" max="6" width="14.21875" style="293" customWidth="1"/>
    <col min="7" max="7" width="21.77734375" style="293" customWidth="1"/>
    <col min="8" max="16384" width="7.77734375" style="293"/>
  </cols>
  <sheetData>
    <row r="1" spans="1:7" ht="21" customHeight="1" x14ac:dyDescent="0.3">
      <c r="A1" s="1082" t="s">
        <v>4035</v>
      </c>
      <c r="B1" s="1082"/>
      <c r="C1" s="1082"/>
      <c r="D1" s="1082"/>
      <c r="E1" s="1082"/>
      <c r="F1" s="1082"/>
      <c r="G1" s="1082"/>
    </row>
    <row r="2" spans="1:7" ht="21" customHeight="1" x14ac:dyDescent="0.3">
      <c r="A2" s="1082"/>
      <c r="B2" s="1082"/>
      <c r="C2" s="1082"/>
      <c r="D2" s="1082"/>
      <c r="E2" s="1082"/>
      <c r="F2" s="1082"/>
      <c r="G2" s="1082"/>
    </row>
    <row r="3" spans="1:7" customFormat="1" ht="18" x14ac:dyDescent="0.35">
      <c r="A3" s="902" t="s">
        <v>3275</v>
      </c>
      <c r="D3" s="3"/>
      <c r="E3" s="56"/>
    </row>
    <row r="4" spans="1:7" customFormat="1" ht="16.2" thickBot="1" x14ac:dyDescent="0.35">
      <c r="D4" s="3"/>
      <c r="E4" s="56"/>
    </row>
    <row r="5" spans="1:7" s="890" customFormat="1" ht="16.2" thickBot="1" x14ac:dyDescent="0.35">
      <c r="A5" s="998" t="s">
        <v>3276</v>
      </c>
      <c r="B5" s="999"/>
      <c r="C5" s="999"/>
      <c r="D5" s="1043"/>
      <c r="E5" s="928"/>
      <c r="F5" s="928"/>
    </row>
    <row r="6" spans="1:7" s="56" customFormat="1" ht="40.200000000000003" thickBot="1" x14ac:dyDescent="0.35">
      <c r="A6" s="1000" t="s">
        <v>772</v>
      </c>
      <c r="B6" s="1101" t="s">
        <v>3277</v>
      </c>
      <c r="C6" s="1102"/>
      <c r="D6" s="1044" t="s">
        <v>3278</v>
      </c>
      <c r="E6" s="928"/>
      <c r="F6" s="928"/>
    </row>
    <row r="7" spans="1:7" s="56" customFormat="1" ht="15.6" x14ac:dyDescent="0.3">
      <c r="A7" s="1079" t="s">
        <v>804</v>
      </c>
      <c r="B7" s="1103" t="s">
        <v>4278</v>
      </c>
      <c r="C7" s="1104"/>
      <c r="D7" s="884">
        <v>13075000</v>
      </c>
      <c r="E7" s="928"/>
      <c r="F7" s="928"/>
    </row>
    <row r="8" spans="1:7" s="56" customFormat="1" ht="15.6" x14ac:dyDescent="0.3">
      <c r="A8" s="1080"/>
      <c r="B8" s="1091" t="s">
        <v>4297</v>
      </c>
      <c r="C8" s="1092"/>
      <c r="D8" s="1045">
        <v>40800000</v>
      </c>
      <c r="E8" s="928"/>
      <c r="F8" s="928"/>
    </row>
    <row r="9" spans="1:7" s="56" customFormat="1" ht="15.6" x14ac:dyDescent="0.3">
      <c r="A9" s="1080"/>
      <c r="B9" s="1091" t="s">
        <v>4306</v>
      </c>
      <c r="C9" s="1092"/>
      <c r="D9" s="1045"/>
      <c r="E9" s="928"/>
      <c r="F9" s="928"/>
    </row>
    <row r="10" spans="1:7" s="56" customFormat="1" ht="15.6" x14ac:dyDescent="0.3">
      <c r="A10" s="1080"/>
      <c r="B10" s="1091" t="s">
        <v>4301</v>
      </c>
      <c r="C10" s="1092"/>
      <c r="D10" s="1045">
        <v>6800000</v>
      </c>
      <c r="E10" s="928"/>
      <c r="F10" s="928"/>
    </row>
    <row r="11" spans="1:7" s="56" customFormat="1" ht="15.6" x14ac:dyDescent="0.3">
      <c r="A11" s="1080"/>
      <c r="B11" s="1091" t="s">
        <v>4303</v>
      </c>
      <c r="C11" s="1092"/>
      <c r="D11" s="1045">
        <v>2890000</v>
      </c>
      <c r="E11" s="928"/>
      <c r="F11" s="928"/>
    </row>
    <row r="12" spans="1:7" s="56" customFormat="1" ht="16.2" thickBot="1" x14ac:dyDescent="0.35">
      <c r="A12" s="1081"/>
      <c r="B12" s="1093" t="s">
        <v>4307</v>
      </c>
      <c r="C12" s="1094"/>
      <c r="D12" s="1046"/>
      <c r="E12" s="928"/>
      <c r="F12" s="928"/>
    </row>
    <row r="13" spans="1:7" s="901" customFormat="1" ht="16.2" thickBot="1" x14ac:dyDescent="0.35">
      <c r="A13" s="1095" t="s">
        <v>2690</v>
      </c>
      <c r="B13" s="1096"/>
      <c r="C13" s="1097"/>
      <c r="D13" s="1047">
        <f>SUM(D7:D12)</f>
        <v>63565000</v>
      </c>
      <c r="E13" s="1004"/>
      <c r="F13" s="1004"/>
    </row>
    <row r="14" spans="1:7" s="901" customFormat="1" ht="16.2" thickBot="1" x14ac:dyDescent="0.35">
      <c r="A14" s="1048"/>
      <c r="B14" s="1004"/>
      <c r="C14" s="1004"/>
      <c r="D14" s="1049"/>
      <c r="E14" s="1004"/>
      <c r="F14" s="1004"/>
    </row>
    <row r="15" spans="1:7" s="890" customFormat="1" ht="16.2" thickBot="1" x14ac:dyDescent="0.35">
      <c r="A15" s="998" t="s">
        <v>3280</v>
      </c>
      <c r="B15" s="999"/>
      <c r="C15" s="999"/>
      <c r="D15" s="1043"/>
      <c r="E15" s="928"/>
      <c r="F15" s="928"/>
    </row>
    <row r="16" spans="1:7" s="890" customFormat="1" ht="16.2" thickBot="1" x14ac:dyDescent="0.35">
      <c r="A16" s="1000" t="s">
        <v>772</v>
      </c>
      <c r="B16" s="1007" t="s">
        <v>142</v>
      </c>
      <c r="C16" s="1007" t="s">
        <v>79</v>
      </c>
      <c r="D16" s="1044" t="s">
        <v>2690</v>
      </c>
      <c r="E16" s="928"/>
      <c r="F16" s="928"/>
    </row>
    <row r="17" spans="1:7" s="56" customFormat="1" ht="15.75" customHeight="1" x14ac:dyDescent="0.3">
      <c r="A17" s="1002" t="s">
        <v>804</v>
      </c>
      <c r="B17" s="1008" t="s">
        <v>4308</v>
      </c>
      <c r="C17" s="1008" t="s">
        <v>3218</v>
      </c>
      <c r="D17" s="884">
        <v>2470135</v>
      </c>
      <c r="E17" s="928"/>
      <c r="F17" s="928"/>
    </row>
    <row r="18" spans="1:7" s="56" customFormat="1" ht="15.75" customHeight="1" x14ac:dyDescent="0.3">
      <c r="A18" s="1009" t="s">
        <v>804</v>
      </c>
      <c r="B18" s="864" t="s">
        <v>4309</v>
      </c>
      <c r="C18" s="864" t="s">
        <v>4021</v>
      </c>
      <c r="D18" s="884">
        <v>7000000</v>
      </c>
      <c r="E18" s="928"/>
      <c r="F18" s="928"/>
    </row>
    <row r="19" spans="1:7" s="56" customFormat="1" ht="15.75" customHeight="1" x14ac:dyDescent="0.3">
      <c r="A19" s="1009" t="s">
        <v>804</v>
      </c>
      <c r="B19" s="864" t="s">
        <v>4310</v>
      </c>
      <c r="C19" s="864" t="s">
        <v>3218</v>
      </c>
      <c r="D19" s="884">
        <v>1766594</v>
      </c>
      <c r="E19" s="928"/>
      <c r="F19" s="928"/>
    </row>
    <row r="20" spans="1:7" s="890" customFormat="1" ht="16.2" thickBot="1" x14ac:dyDescent="0.35">
      <c r="A20" s="1098" t="s">
        <v>2690</v>
      </c>
      <c r="B20" s="1099"/>
      <c r="C20" s="1100"/>
      <c r="D20" s="1050">
        <f>SUM(D17:D19)</f>
        <v>11236729</v>
      </c>
      <c r="E20" s="928"/>
      <c r="F20" s="928"/>
    </row>
    <row r="21" spans="1:7" s="890" customFormat="1" ht="16.2" thickBot="1" x14ac:dyDescent="0.35">
      <c r="A21" s="1005"/>
      <c r="B21" s="928"/>
      <c r="C21" s="928"/>
      <c r="D21" s="1010"/>
      <c r="E21" s="928"/>
      <c r="F21" s="928"/>
    </row>
    <row r="22" spans="1:7" s="890" customFormat="1" ht="16.2" thickBot="1" x14ac:dyDescent="0.35">
      <c r="A22" s="1005"/>
      <c r="B22" s="928"/>
      <c r="C22" s="928"/>
      <c r="D22" s="1010"/>
      <c r="E22" s="928"/>
      <c r="F22" s="928"/>
    </row>
    <row r="23" spans="1:7" s="890" customFormat="1" ht="16.2" thickBot="1" x14ac:dyDescent="0.35">
      <c r="A23" s="1011" t="s">
        <v>3281</v>
      </c>
      <c r="B23" s="1012"/>
      <c r="C23" s="1013"/>
      <c r="D23" s="1014">
        <f>SUM(D13,D20,)</f>
        <v>74801729</v>
      </c>
      <c r="E23" s="928"/>
      <c r="F23" s="928"/>
    </row>
    <row r="24" spans="1:7" s="56" customFormat="1" ht="15.6" x14ac:dyDescent="0.3">
      <c r="A24" s="928"/>
      <c r="B24" s="928"/>
      <c r="C24" s="928"/>
      <c r="D24" s="1010"/>
      <c r="E24" s="928"/>
      <c r="F24" s="928"/>
    </row>
    <row r="25" spans="1:7" customFormat="1" ht="15.6" x14ac:dyDescent="0.3">
      <c r="A25" s="937"/>
      <c r="B25" s="937"/>
      <c r="C25" s="937"/>
      <c r="D25" s="1015"/>
      <c r="E25" s="937"/>
      <c r="F25" s="928"/>
      <c r="G25" s="937"/>
    </row>
    <row r="26" spans="1:7" customFormat="1" ht="15.6" x14ac:dyDescent="0.3">
      <c r="A26" s="937"/>
      <c r="B26" s="937"/>
      <c r="C26" s="937"/>
      <c r="D26" s="1015"/>
      <c r="E26" s="937"/>
      <c r="F26" s="928"/>
      <c r="G26" s="937"/>
    </row>
    <row r="27" spans="1:7" customFormat="1" ht="15.6" x14ac:dyDescent="0.3">
      <c r="A27" s="1016" t="s">
        <v>3282</v>
      </c>
      <c r="B27" s="937"/>
      <c r="C27" s="937"/>
      <c r="D27" s="1015"/>
      <c r="E27" s="937"/>
      <c r="F27" s="928"/>
      <c r="G27" s="937"/>
    </row>
    <row r="28" spans="1:7" customFormat="1" ht="15.6" x14ac:dyDescent="0.3">
      <c r="A28" s="1016"/>
      <c r="B28" s="937"/>
      <c r="C28" s="937"/>
      <c r="D28" s="1015"/>
      <c r="E28" s="937"/>
      <c r="F28" s="928"/>
      <c r="G28" s="937"/>
    </row>
    <row r="29" spans="1:7" customFormat="1" ht="16.2" thickBot="1" x14ac:dyDescent="0.35">
      <c r="A29" s="1016" t="s">
        <v>3283</v>
      </c>
      <c r="B29" s="937"/>
      <c r="C29" s="937"/>
      <c r="D29" s="1015"/>
      <c r="E29" s="937"/>
      <c r="F29" s="928"/>
      <c r="G29" s="937"/>
    </row>
    <row r="30" spans="1:7" s="56" customFormat="1" ht="27" thickBot="1" x14ac:dyDescent="0.35">
      <c r="A30" s="125" t="s">
        <v>804</v>
      </c>
      <c r="B30" s="1024" t="s">
        <v>3284</v>
      </c>
      <c r="C30" s="1017" t="s">
        <v>79</v>
      </c>
      <c r="D30" s="1001" t="s">
        <v>2690</v>
      </c>
      <c r="E30" s="1018" t="s">
        <v>3285</v>
      </c>
      <c r="F30" s="1027" t="s">
        <v>3286</v>
      </c>
      <c r="G30" s="1029" t="s">
        <v>3279</v>
      </c>
    </row>
    <row r="31" spans="1:7" s="56" customFormat="1" ht="15.6" x14ac:dyDescent="0.3">
      <c r="A31" s="1105"/>
      <c r="B31" s="997" t="s">
        <v>4381</v>
      </c>
      <c r="C31" s="1030" t="s">
        <v>4311</v>
      </c>
      <c r="D31" s="1031">
        <v>2420000</v>
      </c>
      <c r="E31" s="1032"/>
      <c r="F31" s="1033"/>
      <c r="G31" s="1034"/>
    </row>
    <row r="32" spans="1:7" s="56" customFormat="1" ht="27" x14ac:dyDescent="0.3">
      <c r="A32" s="1106"/>
      <c r="B32" s="1025" t="s">
        <v>4312</v>
      </c>
      <c r="C32" s="914" t="s">
        <v>4313</v>
      </c>
      <c r="D32" s="1035">
        <f>E32+F32</f>
        <v>26387193</v>
      </c>
      <c r="E32" s="1035">
        <v>11767854</v>
      </c>
      <c r="F32" s="1036">
        <v>14619339</v>
      </c>
      <c r="G32" s="1037" t="s">
        <v>4314</v>
      </c>
    </row>
    <row r="33" spans="1:8" s="56" customFormat="1" ht="27" x14ac:dyDescent="0.3">
      <c r="A33" s="1106"/>
      <c r="B33" s="1025" t="s">
        <v>4315</v>
      </c>
      <c r="C33" s="914" t="s">
        <v>4316</v>
      </c>
      <c r="D33" s="1035">
        <f>E33+F33</f>
        <v>25348491</v>
      </c>
      <c r="E33" s="1035">
        <v>16654619</v>
      </c>
      <c r="F33" s="1036">
        <v>8693872</v>
      </c>
      <c r="G33" s="1037" t="s">
        <v>4314</v>
      </c>
      <c r="H33" s="904"/>
    </row>
    <row r="34" spans="1:8" s="56" customFormat="1" ht="27" x14ac:dyDescent="0.3">
      <c r="A34" s="1106"/>
      <c r="B34" s="1025" t="s">
        <v>4317</v>
      </c>
      <c r="C34" s="914" t="s">
        <v>4318</v>
      </c>
      <c r="D34" s="1035">
        <f>E34+F34</f>
        <v>16017953</v>
      </c>
      <c r="E34" s="1035">
        <v>5834961</v>
      </c>
      <c r="F34" s="1036">
        <v>10182992</v>
      </c>
      <c r="G34" s="1037" t="s">
        <v>4314</v>
      </c>
      <c r="H34" s="904"/>
    </row>
    <row r="35" spans="1:8" s="56" customFormat="1" ht="27.6" thickBot="1" x14ac:dyDescent="0.35">
      <c r="A35" s="1107"/>
      <c r="B35" s="1026" t="s">
        <v>4319</v>
      </c>
      <c r="C35" s="1038" t="s">
        <v>4320</v>
      </c>
      <c r="D35" s="1039">
        <f>E35+F35</f>
        <v>35302497</v>
      </c>
      <c r="E35" s="1039">
        <v>34542647</v>
      </c>
      <c r="F35" s="1040">
        <v>759850</v>
      </c>
      <c r="G35" s="1041" t="s">
        <v>4314</v>
      </c>
      <c r="H35" s="904"/>
    </row>
    <row r="36" spans="1:8" s="890" customFormat="1" ht="16.2" thickBot="1" x14ac:dyDescent="0.35">
      <c r="A36" s="1083" t="s">
        <v>2690</v>
      </c>
      <c r="B36" s="1084"/>
      <c r="C36" s="1084"/>
      <c r="D36" s="1003">
        <f>SUM(D31:D35)</f>
        <v>105476134</v>
      </c>
      <c r="E36" s="1003">
        <f>SUM(E31:E35)</f>
        <v>68800081</v>
      </c>
      <c r="F36" s="1028">
        <f>SUM(F31:F35)</f>
        <v>34256053</v>
      </c>
      <c r="G36" s="1042"/>
    </row>
    <row r="37" spans="1:8" s="890" customFormat="1" ht="15.6" x14ac:dyDescent="0.3">
      <c r="A37" s="1019"/>
      <c r="B37" s="1019"/>
      <c r="C37" s="1019"/>
      <c r="D37" s="1006"/>
      <c r="E37" s="1004"/>
      <c r="F37" s="928"/>
      <c r="G37" s="928"/>
    </row>
    <row r="38" spans="1:8" s="890" customFormat="1" ht="16.2" thickBot="1" x14ac:dyDescent="0.35">
      <c r="A38" s="1019"/>
      <c r="B38" s="1019"/>
      <c r="C38" s="1019"/>
      <c r="D38" s="1006"/>
      <c r="E38" s="1004"/>
      <c r="F38" s="928"/>
      <c r="G38" s="928"/>
    </row>
    <row r="39" spans="1:8" s="890" customFormat="1" ht="33" customHeight="1" thickBot="1" x14ac:dyDescent="0.35">
      <c r="A39" s="1085" t="s">
        <v>3287</v>
      </c>
      <c r="B39" s="1086"/>
      <c r="C39" s="1087"/>
      <c r="D39" s="1020">
        <f>SUM(D36,)</f>
        <v>105476134</v>
      </c>
      <c r="E39" s="1021"/>
      <c r="F39" s="928"/>
      <c r="G39" s="928"/>
    </row>
    <row r="40" spans="1:8" s="890" customFormat="1" ht="15.6" x14ac:dyDescent="0.3">
      <c r="A40" s="1019"/>
      <c r="B40" s="1019"/>
      <c r="C40" s="1019"/>
      <c r="D40" s="1006"/>
      <c r="E40" s="1004"/>
      <c r="F40" s="928"/>
      <c r="G40" s="928"/>
    </row>
    <row r="41" spans="1:8" customFormat="1" ht="15.6" x14ac:dyDescent="0.3">
      <c r="A41" s="937"/>
      <c r="B41" s="937"/>
      <c r="C41" s="937"/>
      <c r="D41" s="1015"/>
      <c r="E41" s="937"/>
      <c r="F41" s="928"/>
      <c r="G41" s="937"/>
    </row>
    <row r="42" spans="1:8" customFormat="1" ht="16.2" thickBot="1" x14ac:dyDescent="0.35">
      <c r="A42" s="937"/>
      <c r="B42" s="937"/>
      <c r="C42" s="937"/>
      <c r="D42" s="1015"/>
      <c r="E42" s="937"/>
      <c r="F42" s="928"/>
      <c r="G42" s="937"/>
    </row>
    <row r="43" spans="1:8" s="905" customFormat="1" ht="31.5" customHeight="1" thickBot="1" x14ac:dyDescent="0.35">
      <c r="A43" s="1088" t="s">
        <v>4321</v>
      </c>
      <c r="B43" s="1089"/>
      <c r="C43" s="1090"/>
      <c r="D43" s="1022">
        <f>SUM(D23,D39)</f>
        <v>180277863</v>
      </c>
      <c r="E43" s="1021"/>
      <c r="F43" s="1021"/>
      <c r="G43" s="1023"/>
    </row>
  </sheetData>
  <mergeCells count="15">
    <mergeCell ref="A7:A12"/>
    <mergeCell ref="A1:G2"/>
    <mergeCell ref="A36:C36"/>
    <mergeCell ref="A39:C39"/>
    <mergeCell ref="A43:C43"/>
    <mergeCell ref="B11:C11"/>
    <mergeCell ref="B12:C12"/>
    <mergeCell ref="A13:C13"/>
    <mergeCell ref="A20:C20"/>
    <mergeCell ref="B6:C6"/>
    <mergeCell ref="B7:C7"/>
    <mergeCell ref="B8:C8"/>
    <mergeCell ref="B9:C9"/>
    <mergeCell ref="B10:C10"/>
    <mergeCell ref="A31:A35"/>
  </mergeCells>
  <pageMargins left="0.70866141732283472" right="0.70866141732283472" top="0.74803149606299213" bottom="0.74803149606299213" header="0.31496062992125984" footer="0.31496062992125984"/>
  <pageSetup paperSize="9" scale="77" orientation="portrait" r:id="rId1"/>
  <headerFooter>
    <oddHeader>&amp;C2021. évi bevételi terv&amp;Radatok eFt-ban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M24"/>
  <sheetViews>
    <sheetView zoomScale="70" zoomScaleNormal="70" workbookViewId="0">
      <selection activeCell="M25" sqref="M25"/>
    </sheetView>
  </sheetViews>
  <sheetFormatPr defaultColWidth="7.77734375" defaultRowHeight="14.4" x14ac:dyDescent="0.3"/>
  <cols>
    <col min="1" max="1" width="7.77734375" style="293" customWidth="1"/>
    <col min="2" max="2" width="16.21875" style="293" customWidth="1"/>
    <col min="3" max="3" width="10.109375" style="293" hidden="1" customWidth="1"/>
    <col min="4" max="4" width="24.21875" style="293" customWidth="1"/>
    <col min="5" max="5" width="9.109375" style="293" customWidth="1"/>
    <col min="6" max="6" width="8.6640625" style="293" customWidth="1"/>
    <col min="7" max="7" width="15.44140625" style="293" customWidth="1"/>
    <col min="8" max="8" width="11.6640625" style="293" customWidth="1"/>
    <col min="9" max="9" width="8.6640625" style="293" customWidth="1"/>
    <col min="10" max="10" width="15.44140625" style="293" customWidth="1"/>
    <col min="11" max="11" width="11.6640625" style="293" customWidth="1"/>
    <col min="12" max="12" width="8.6640625" style="293" customWidth="1"/>
    <col min="13" max="13" width="11.6640625" style="293" customWidth="1"/>
    <col min="14" max="16384" width="7.77734375" style="293"/>
  </cols>
  <sheetData>
    <row r="1" spans="1:13" ht="25.2" customHeight="1" x14ac:dyDescent="0.3">
      <c r="A1" s="1082" t="s">
        <v>4036</v>
      </c>
      <c r="B1" s="1082"/>
      <c r="C1" s="1082"/>
      <c r="D1" s="1082"/>
      <c r="E1" s="1082"/>
      <c r="F1" s="1082"/>
      <c r="G1" s="1082"/>
      <c r="H1" s="1082"/>
      <c r="I1" s="1082"/>
      <c r="J1" s="1082"/>
      <c r="K1" s="1082"/>
      <c r="L1" s="1082"/>
      <c r="M1" s="1082"/>
    </row>
    <row r="2" spans="1:13" ht="15" customHeight="1" thickBot="1" x14ac:dyDescent="0.35">
      <c r="A2" s="294"/>
      <c r="B2" s="294"/>
      <c r="C2" s="294"/>
      <c r="D2" s="294"/>
      <c r="E2" s="294"/>
    </row>
    <row r="3" spans="1:13" s="890" customFormat="1" ht="16.2" thickBot="1" x14ac:dyDescent="0.35">
      <c r="A3" s="888" t="s">
        <v>3288</v>
      </c>
      <c r="B3" s="889"/>
      <c r="C3" s="889"/>
      <c r="D3" s="889"/>
      <c r="E3" s="889"/>
      <c r="F3" s="889"/>
      <c r="G3" s="889"/>
      <c r="H3" s="889"/>
      <c r="I3" s="889"/>
      <c r="J3" s="889"/>
      <c r="K3" s="889"/>
      <c r="L3" s="889"/>
      <c r="M3" s="889"/>
    </row>
    <row r="4" spans="1:13" s="56" customFormat="1" ht="15" customHeight="1" x14ac:dyDescent="0.3">
      <c r="A4" s="1108" t="s">
        <v>804</v>
      </c>
      <c r="B4" s="1110" t="s">
        <v>3277</v>
      </c>
      <c r="C4" s="1112" t="s">
        <v>4277</v>
      </c>
      <c r="D4" s="1114" t="s">
        <v>3289</v>
      </c>
      <c r="E4" s="1114" t="s">
        <v>3290</v>
      </c>
      <c r="F4" s="1110" t="s">
        <v>3291</v>
      </c>
      <c r="G4" s="1110"/>
      <c r="H4" s="1110"/>
      <c r="I4" s="1110" t="s">
        <v>3292</v>
      </c>
      <c r="J4" s="1110"/>
      <c r="K4" s="1110"/>
      <c r="L4" s="1110" t="s">
        <v>2690</v>
      </c>
      <c r="M4" s="1110"/>
    </row>
    <row r="5" spans="1:13" s="893" customFormat="1" ht="29.4" thickBot="1" x14ac:dyDescent="0.35">
      <c r="A5" s="1109"/>
      <c r="B5" s="1111"/>
      <c r="C5" s="1113"/>
      <c r="D5" s="1115"/>
      <c r="E5" s="1115"/>
      <c r="F5" s="994" t="s">
        <v>3293</v>
      </c>
      <c r="G5" s="892" t="s">
        <v>3294</v>
      </c>
      <c r="H5" s="891" t="s">
        <v>3033</v>
      </c>
      <c r="I5" s="994" t="s">
        <v>3293</v>
      </c>
      <c r="J5" s="892" t="s">
        <v>3294</v>
      </c>
      <c r="K5" s="891" t="s">
        <v>3033</v>
      </c>
      <c r="L5" s="994" t="s">
        <v>3293</v>
      </c>
      <c r="M5" s="891" t="s">
        <v>3033</v>
      </c>
    </row>
    <row r="6" spans="1:13" s="56" customFormat="1" ht="15.6" x14ac:dyDescent="0.3">
      <c r="A6" s="894"/>
      <c r="B6" s="62" t="s">
        <v>4278</v>
      </c>
      <c r="C6" s="62" t="s">
        <v>4279</v>
      </c>
      <c r="D6" s="62" t="s">
        <v>4280</v>
      </c>
      <c r="E6" s="62" t="s">
        <v>258</v>
      </c>
      <c r="F6" s="62">
        <v>0</v>
      </c>
      <c r="G6" s="903">
        <v>200000</v>
      </c>
      <c r="H6" s="903">
        <f>F6*G6</f>
        <v>0</v>
      </c>
      <c r="I6" s="903">
        <v>0</v>
      </c>
      <c r="J6" s="903">
        <v>200000</v>
      </c>
      <c r="K6" s="903">
        <f>I6*J6</f>
        <v>0</v>
      </c>
      <c r="L6" s="903"/>
      <c r="M6" s="903">
        <f>H6+K6</f>
        <v>0</v>
      </c>
    </row>
    <row r="7" spans="1:13" s="56" customFormat="1" ht="15.6" x14ac:dyDescent="0.3">
      <c r="A7" s="894"/>
      <c r="B7" s="62" t="s">
        <v>4278</v>
      </c>
      <c r="C7" s="62" t="s">
        <v>4279</v>
      </c>
      <c r="D7" s="62" t="s">
        <v>4280</v>
      </c>
      <c r="E7" s="62" t="s">
        <v>258</v>
      </c>
      <c r="F7" s="62">
        <v>1</v>
      </c>
      <c r="G7" s="903">
        <v>300000</v>
      </c>
      <c r="H7" s="903">
        <f t="shared" ref="H7:H21" si="0">F7*G7</f>
        <v>300000</v>
      </c>
      <c r="I7" s="903">
        <v>3</v>
      </c>
      <c r="J7" s="903">
        <v>300000</v>
      </c>
      <c r="K7" s="903">
        <f t="shared" ref="K7:K21" si="1">I7*J7</f>
        <v>900000</v>
      </c>
      <c r="L7" s="903"/>
      <c r="M7" s="903">
        <f t="shared" ref="M7:M21" si="2">H7+K7</f>
        <v>1200000</v>
      </c>
    </row>
    <row r="8" spans="1:13" s="56" customFormat="1" ht="15.6" x14ac:dyDescent="0.3">
      <c r="A8" s="894"/>
      <c r="B8" s="62" t="s">
        <v>4278</v>
      </c>
      <c r="C8" s="62" t="s">
        <v>4281</v>
      </c>
      <c r="D8" s="62" t="s">
        <v>4280</v>
      </c>
      <c r="E8" s="62" t="s">
        <v>153</v>
      </c>
      <c r="F8" s="62">
        <v>4</v>
      </c>
      <c r="G8" s="903">
        <v>300000</v>
      </c>
      <c r="H8" s="903">
        <f t="shared" si="0"/>
        <v>1200000</v>
      </c>
      <c r="I8" s="903">
        <v>6</v>
      </c>
      <c r="J8" s="903">
        <v>300000</v>
      </c>
      <c r="K8" s="903">
        <f t="shared" si="1"/>
        <v>1800000</v>
      </c>
      <c r="L8" s="903"/>
      <c r="M8" s="903">
        <f t="shared" si="2"/>
        <v>3000000</v>
      </c>
    </row>
    <row r="9" spans="1:13" s="56" customFormat="1" ht="15.6" x14ac:dyDescent="0.3">
      <c r="A9" s="894"/>
      <c r="B9" s="62" t="s">
        <v>4278</v>
      </c>
      <c r="C9" s="62" t="s">
        <v>4282</v>
      </c>
      <c r="D9" s="62" t="s">
        <v>4283</v>
      </c>
      <c r="E9" s="62" t="s">
        <v>153</v>
      </c>
      <c r="F9" s="62">
        <v>1</v>
      </c>
      <c r="G9" s="903">
        <v>100000</v>
      </c>
      <c r="H9" s="903">
        <f t="shared" si="0"/>
        <v>100000</v>
      </c>
      <c r="I9" s="903">
        <v>0</v>
      </c>
      <c r="J9" s="903">
        <v>100000</v>
      </c>
      <c r="K9" s="903">
        <f t="shared" si="1"/>
        <v>0</v>
      </c>
      <c r="L9" s="903"/>
      <c r="M9" s="903">
        <f t="shared" si="2"/>
        <v>100000</v>
      </c>
    </row>
    <row r="10" spans="1:13" s="56" customFormat="1" ht="15.6" x14ac:dyDescent="0.3">
      <c r="A10" s="894"/>
      <c r="B10" s="62" t="s">
        <v>4278</v>
      </c>
      <c r="C10" s="62" t="s">
        <v>4284</v>
      </c>
      <c r="D10" s="62" t="s">
        <v>4285</v>
      </c>
      <c r="E10" s="62" t="s">
        <v>258</v>
      </c>
      <c r="F10" s="62">
        <v>1</v>
      </c>
      <c r="G10" s="903">
        <v>175000</v>
      </c>
      <c r="H10" s="903">
        <f t="shared" si="0"/>
        <v>175000</v>
      </c>
      <c r="I10" s="903">
        <v>0</v>
      </c>
      <c r="J10" s="903">
        <v>175000</v>
      </c>
      <c r="K10" s="903">
        <f t="shared" si="1"/>
        <v>0</v>
      </c>
      <c r="L10" s="903"/>
      <c r="M10" s="903">
        <f t="shared" si="2"/>
        <v>175000</v>
      </c>
    </row>
    <row r="11" spans="1:13" s="56" customFormat="1" ht="15.6" x14ac:dyDescent="0.3">
      <c r="A11" s="894"/>
      <c r="B11" s="62" t="s">
        <v>4278</v>
      </c>
      <c r="C11" s="62" t="s">
        <v>4286</v>
      </c>
      <c r="D11" s="62" t="s">
        <v>4287</v>
      </c>
      <c r="E11" s="62" t="s">
        <v>153</v>
      </c>
      <c r="F11" s="62">
        <v>2</v>
      </c>
      <c r="G11" s="903">
        <v>300000</v>
      </c>
      <c r="H11" s="903">
        <f t="shared" si="0"/>
        <v>600000</v>
      </c>
      <c r="I11" s="903">
        <v>2</v>
      </c>
      <c r="J11" s="903">
        <v>300000</v>
      </c>
      <c r="K11" s="903">
        <f t="shared" si="1"/>
        <v>600000</v>
      </c>
      <c r="L11" s="903"/>
      <c r="M11" s="903">
        <f t="shared" si="2"/>
        <v>1200000</v>
      </c>
    </row>
    <row r="12" spans="1:13" s="56" customFormat="1" ht="15.6" x14ac:dyDescent="0.3">
      <c r="A12" s="894"/>
      <c r="B12" s="62" t="s">
        <v>4278</v>
      </c>
      <c r="C12" s="62" t="s">
        <v>4288</v>
      </c>
      <c r="D12" s="62" t="s">
        <v>4289</v>
      </c>
      <c r="E12" s="62" t="s">
        <v>258</v>
      </c>
      <c r="F12" s="62">
        <v>1</v>
      </c>
      <c r="G12" s="903">
        <v>300000</v>
      </c>
      <c r="H12" s="903">
        <f t="shared" si="0"/>
        <v>300000</v>
      </c>
      <c r="I12" s="903">
        <v>0</v>
      </c>
      <c r="J12" s="903">
        <v>300000</v>
      </c>
      <c r="K12" s="903">
        <f t="shared" si="1"/>
        <v>0</v>
      </c>
      <c r="L12" s="903"/>
      <c r="M12" s="903">
        <f t="shared" si="2"/>
        <v>300000</v>
      </c>
    </row>
    <row r="13" spans="1:13" s="56" customFormat="1" ht="15.6" x14ac:dyDescent="0.3">
      <c r="A13" s="894"/>
      <c r="B13" s="62" t="s">
        <v>4278</v>
      </c>
      <c r="C13" s="62" t="s">
        <v>4290</v>
      </c>
      <c r="D13" s="62" t="s">
        <v>4291</v>
      </c>
      <c r="E13" s="62" t="s">
        <v>153</v>
      </c>
      <c r="F13" s="62">
        <v>1</v>
      </c>
      <c r="G13" s="903">
        <v>350000</v>
      </c>
      <c r="H13" s="903">
        <f t="shared" si="0"/>
        <v>350000</v>
      </c>
      <c r="I13" s="903">
        <v>1</v>
      </c>
      <c r="J13" s="903">
        <v>350000</v>
      </c>
      <c r="K13" s="903">
        <f t="shared" si="1"/>
        <v>350000</v>
      </c>
      <c r="L13" s="903"/>
      <c r="M13" s="903">
        <f t="shared" si="2"/>
        <v>700000</v>
      </c>
    </row>
    <row r="14" spans="1:13" s="56" customFormat="1" ht="15.6" x14ac:dyDescent="0.3">
      <c r="A14" s="894"/>
      <c r="B14" s="62" t="s">
        <v>4278</v>
      </c>
      <c r="C14" s="62" t="s">
        <v>4292</v>
      </c>
      <c r="D14" s="62" t="s">
        <v>4293</v>
      </c>
      <c r="E14" s="62" t="s">
        <v>153</v>
      </c>
      <c r="F14" s="62">
        <v>8</v>
      </c>
      <c r="G14" s="903">
        <v>200000</v>
      </c>
      <c r="H14" s="903">
        <f t="shared" si="0"/>
        <v>1600000</v>
      </c>
      <c r="I14" s="903">
        <v>9</v>
      </c>
      <c r="J14" s="903">
        <v>200000</v>
      </c>
      <c r="K14" s="903">
        <f t="shared" si="1"/>
        <v>1800000</v>
      </c>
      <c r="L14" s="903"/>
      <c r="M14" s="903">
        <f t="shared" si="2"/>
        <v>3400000</v>
      </c>
    </row>
    <row r="15" spans="1:13" s="56" customFormat="1" ht="15.6" x14ac:dyDescent="0.3">
      <c r="A15" s="894"/>
      <c r="B15" s="62" t="s">
        <v>4278</v>
      </c>
      <c r="C15" s="62" t="s">
        <v>4294</v>
      </c>
      <c r="D15" s="62" t="s">
        <v>4295</v>
      </c>
      <c r="E15" s="62" t="s">
        <v>153</v>
      </c>
      <c r="F15" s="62">
        <v>2</v>
      </c>
      <c r="G15" s="903">
        <v>300000</v>
      </c>
      <c r="H15" s="903">
        <f t="shared" si="0"/>
        <v>600000</v>
      </c>
      <c r="I15" s="903">
        <v>4</v>
      </c>
      <c r="J15" s="903">
        <v>300000</v>
      </c>
      <c r="K15" s="903">
        <f t="shared" si="1"/>
        <v>1200000</v>
      </c>
      <c r="L15" s="903"/>
      <c r="M15" s="903">
        <f t="shared" si="2"/>
        <v>1800000</v>
      </c>
    </row>
    <row r="16" spans="1:13" s="56" customFormat="1" ht="15.6" x14ac:dyDescent="0.3">
      <c r="A16" s="894"/>
      <c r="B16" s="62" t="s">
        <v>4278</v>
      </c>
      <c r="C16" s="62" t="s">
        <v>4296</v>
      </c>
      <c r="D16" s="21" t="s">
        <v>4295</v>
      </c>
      <c r="E16" s="21" t="s">
        <v>258</v>
      </c>
      <c r="F16" s="21">
        <v>1</v>
      </c>
      <c r="G16" s="903">
        <v>300000</v>
      </c>
      <c r="H16" s="903">
        <f t="shared" si="0"/>
        <v>300000</v>
      </c>
      <c r="I16" s="903">
        <v>3</v>
      </c>
      <c r="J16" s="903">
        <v>300000</v>
      </c>
      <c r="K16" s="903">
        <f t="shared" si="1"/>
        <v>900000</v>
      </c>
      <c r="L16" s="903"/>
      <c r="M16" s="903">
        <f t="shared" si="2"/>
        <v>1200000</v>
      </c>
    </row>
    <row r="17" spans="1:13" s="56" customFormat="1" ht="15.6" x14ac:dyDescent="0.3">
      <c r="A17" s="895"/>
      <c r="B17" s="21" t="s">
        <v>4297</v>
      </c>
      <c r="C17" s="21" t="s">
        <v>4298</v>
      </c>
      <c r="D17" s="21" t="s">
        <v>4299</v>
      </c>
      <c r="E17" s="21" t="s">
        <v>153</v>
      </c>
      <c r="F17" s="21">
        <v>1</v>
      </c>
      <c r="G17" s="90">
        <v>400000</v>
      </c>
      <c r="H17" s="903">
        <f t="shared" si="0"/>
        <v>400000</v>
      </c>
      <c r="I17" s="90">
        <v>1</v>
      </c>
      <c r="J17" s="90">
        <v>400000</v>
      </c>
      <c r="K17" s="903">
        <f t="shared" si="1"/>
        <v>400000</v>
      </c>
      <c r="L17" s="90"/>
      <c r="M17" s="903">
        <f t="shared" si="2"/>
        <v>800000</v>
      </c>
    </row>
    <row r="18" spans="1:13" s="56" customFormat="1" ht="15.6" x14ac:dyDescent="0.3">
      <c r="A18" s="895"/>
      <c r="B18" s="21" t="s">
        <v>4297</v>
      </c>
      <c r="C18" s="21" t="s">
        <v>4021</v>
      </c>
      <c r="D18" s="21" t="s">
        <v>4300</v>
      </c>
      <c r="E18" s="21" t="s">
        <v>153</v>
      </c>
      <c r="F18" s="21">
        <v>48</v>
      </c>
      <c r="G18" s="90">
        <v>400000</v>
      </c>
      <c r="H18" s="903">
        <f t="shared" si="0"/>
        <v>19200000</v>
      </c>
      <c r="I18" s="90">
        <v>52</v>
      </c>
      <c r="J18" s="90">
        <v>400000</v>
      </c>
      <c r="K18" s="903">
        <f t="shared" si="1"/>
        <v>20800000</v>
      </c>
      <c r="L18" s="90"/>
      <c r="M18" s="903">
        <f t="shared" si="2"/>
        <v>40000000</v>
      </c>
    </row>
    <row r="19" spans="1:13" s="56" customFormat="1" ht="15.6" x14ac:dyDescent="0.3">
      <c r="A19" s="895"/>
      <c r="B19" s="21" t="s">
        <v>4301</v>
      </c>
      <c r="C19" s="21" t="s">
        <v>4021</v>
      </c>
      <c r="D19" s="21" t="s">
        <v>4302</v>
      </c>
      <c r="E19" s="21" t="s">
        <v>258</v>
      </c>
      <c r="F19" s="21">
        <v>4</v>
      </c>
      <c r="G19" s="90">
        <v>400000</v>
      </c>
      <c r="H19" s="903">
        <f t="shared" si="0"/>
        <v>1600000</v>
      </c>
      <c r="I19" s="90">
        <v>3</v>
      </c>
      <c r="J19" s="90">
        <v>400000</v>
      </c>
      <c r="K19" s="903">
        <f t="shared" si="1"/>
        <v>1200000</v>
      </c>
      <c r="L19" s="90"/>
      <c r="M19" s="903">
        <f t="shared" si="2"/>
        <v>2800000</v>
      </c>
    </row>
    <row r="20" spans="1:13" s="56" customFormat="1" ht="15.6" x14ac:dyDescent="0.3">
      <c r="A20" s="895"/>
      <c r="B20" s="21" t="s">
        <v>4301</v>
      </c>
      <c r="C20" s="21" t="s">
        <v>4021</v>
      </c>
      <c r="D20" s="21" t="s">
        <v>4302</v>
      </c>
      <c r="E20" s="21" t="s">
        <v>258</v>
      </c>
      <c r="F20" s="21">
        <v>3</v>
      </c>
      <c r="G20" s="90">
        <v>500000</v>
      </c>
      <c r="H20" s="903">
        <f t="shared" si="0"/>
        <v>1500000</v>
      </c>
      <c r="I20" s="90">
        <v>5</v>
      </c>
      <c r="J20" s="90">
        <v>500000</v>
      </c>
      <c r="K20" s="903">
        <f t="shared" si="1"/>
        <v>2500000</v>
      </c>
      <c r="L20" s="90"/>
      <c r="M20" s="903">
        <f t="shared" si="2"/>
        <v>4000000</v>
      </c>
    </row>
    <row r="21" spans="1:13" s="56" customFormat="1" ht="16.2" thickBot="1" x14ac:dyDescent="0.35">
      <c r="A21" s="895"/>
      <c r="B21" s="21" t="s">
        <v>4303</v>
      </c>
      <c r="C21" s="896" t="s">
        <v>4304</v>
      </c>
      <c r="D21" s="21" t="s">
        <v>4305</v>
      </c>
      <c r="E21" s="21" t="s">
        <v>153</v>
      </c>
      <c r="F21" s="21">
        <v>7</v>
      </c>
      <c r="G21" s="90">
        <v>170000</v>
      </c>
      <c r="H21" s="903">
        <f t="shared" si="0"/>
        <v>1190000</v>
      </c>
      <c r="I21" s="90">
        <v>10</v>
      </c>
      <c r="J21" s="90">
        <v>170000</v>
      </c>
      <c r="K21" s="903">
        <f t="shared" si="1"/>
        <v>1700000</v>
      </c>
      <c r="L21" s="90"/>
      <c r="M21" s="903">
        <f t="shared" si="2"/>
        <v>2890000</v>
      </c>
    </row>
    <row r="22" spans="1:13" s="901" customFormat="1" ht="16.2" thickBot="1" x14ac:dyDescent="0.35">
      <c r="A22" s="897" t="s">
        <v>2690</v>
      </c>
      <c r="B22" s="898"/>
      <c r="C22" s="898"/>
      <c r="D22" s="898"/>
      <c r="E22" s="898"/>
      <c r="F22" s="898"/>
      <c r="G22" s="898"/>
      <c r="H22" s="899">
        <f>SUM(H6:H21)</f>
        <v>29415000</v>
      </c>
      <c r="I22" s="900"/>
      <c r="J22" s="900"/>
      <c r="K22" s="899">
        <f>SUM(K6:K21)</f>
        <v>34150000</v>
      </c>
      <c r="L22" s="900"/>
      <c r="M22" s="899">
        <f>SUM(M6:M21)</f>
        <v>63565000</v>
      </c>
    </row>
    <row r="23" spans="1:13" customFormat="1" ht="15.6" x14ac:dyDescent="0.3"/>
    <row r="24" spans="1:13" customFormat="1" ht="15.6" x14ac:dyDescent="0.3"/>
  </sheetData>
  <mergeCells count="9">
    <mergeCell ref="A1:M1"/>
    <mergeCell ref="A4:A5"/>
    <mergeCell ref="B4:B5"/>
    <mergeCell ref="C4:C5"/>
    <mergeCell ref="D4:D5"/>
    <mergeCell ref="E4:E5"/>
    <mergeCell ref="F4:H4"/>
    <mergeCell ref="I4:K4"/>
    <mergeCell ref="L4:M4"/>
  </mergeCells>
  <pageMargins left="0.39370078740157483" right="0.39370078740157483" top="0.74803149606299213" bottom="0.74803149606299213" header="0.31496062992125984" footer="0.31496062992125984"/>
  <pageSetup paperSize="9" scale="56" orientation="landscape" r:id="rId1"/>
  <headerFooter>
    <oddHeader>&amp;CKépzési bevételek &amp;Radatok Ft-ban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R38"/>
  <sheetViews>
    <sheetView showGridLines="0" zoomScale="85" zoomScaleNormal="85" workbookViewId="0">
      <selection activeCell="A3" sqref="A3:R38"/>
    </sheetView>
  </sheetViews>
  <sheetFormatPr defaultColWidth="7.77734375" defaultRowHeight="13.8" x14ac:dyDescent="0.3"/>
  <cols>
    <col min="1" max="1" width="39.109375" style="297" customWidth="1"/>
    <col min="2" max="13" width="7.6640625" style="295" customWidth="1"/>
    <col min="14" max="15" width="7.6640625" style="296" customWidth="1"/>
    <col min="16" max="16" width="11.109375" style="295" customWidth="1"/>
    <col min="17" max="17" width="7.6640625" style="295" customWidth="1"/>
    <col min="18" max="18" width="11.109375" style="296" customWidth="1"/>
    <col min="19" max="16384" width="7.77734375" style="295"/>
  </cols>
  <sheetData>
    <row r="1" spans="1:18" ht="21" x14ac:dyDescent="0.3">
      <c r="A1" s="795" t="s">
        <v>4216</v>
      </c>
      <c r="B1" s="269"/>
      <c r="C1" s="269"/>
      <c r="D1" s="269"/>
      <c r="E1" s="269"/>
      <c r="F1" s="269"/>
      <c r="G1" s="269"/>
      <c r="H1" s="269"/>
      <c r="I1" s="269"/>
      <c r="J1" s="269"/>
      <c r="K1" s="269"/>
      <c r="L1" s="269"/>
      <c r="M1" s="269"/>
      <c r="N1" s="269"/>
      <c r="O1" s="269"/>
      <c r="P1" s="269"/>
      <c r="Q1" s="269"/>
      <c r="R1" s="269"/>
    </row>
    <row r="2" spans="1:18" ht="14.4" thickBot="1" x14ac:dyDescent="0.35">
      <c r="A2" s="364"/>
      <c r="B2" s="269"/>
      <c r="C2" s="269"/>
      <c r="D2" s="269"/>
      <c r="E2" s="269"/>
      <c r="F2" s="269"/>
      <c r="G2" s="269"/>
      <c r="H2" s="269"/>
      <c r="I2" s="269"/>
      <c r="J2" s="269"/>
      <c r="K2" s="269"/>
      <c r="L2" s="269"/>
      <c r="M2" s="269"/>
      <c r="N2" s="269"/>
      <c r="O2" s="269"/>
      <c r="P2" s="269"/>
      <c r="Q2" s="269"/>
      <c r="R2" s="269"/>
    </row>
    <row r="3" spans="1:18" x14ac:dyDescent="0.3">
      <c r="A3" s="1117" t="s">
        <v>3295</v>
      </c>
      <c r="B3" s="1118"/>
      <c r="C3" s="1118"/>
      <c r="D3" s="1118"/>
      <c r="E3" s="1118"/>
      <c r="F3" s="1118"/>
      <c r="G3" s="1118"/>
      <c r="H3" s="1118"/>
      <c r="I3" s="1118"/>
      <c r="J3" s="1118"/>
      <c r="K3" s="1118"/>
      <c r="L3" s="1118"/>
      <c r="M3" s="1118"/>
      <c r="N3" s="1118"/>
      <c r="O3" s="1118"/>
      <c r="P3" s="1118"/>
      <c r="Q3" s="1118"/>
      <c r="R3" s="1119"/>
    </row>
    <row r="4" spans="1:18" ht="14.4" thickBot="1" x14ac:dyDescent="0.35">
      <c r="A4" s="1120"/>
      <c r="B4" s="1121"/>
      <c r="C4" s="1121"/>
      <c r="D4" s="1121"/>
      <c r="E4" s="1121"/>
      <c r="F4" s="1121"/>
      <c r="G4" s="1121"/>
      <c r="H4" s="1121"/>
      <c r="I4" s="1121"/>
      <c r="J4" s="1121"/>
      <c r="K4" s="1121"/>
      <c r="L4" s="1121"/>
      <c r="M4" s="1121"/>
      <c r="N4" s="1121"/>
      <c r="O4" s="1121"/>
      <c r="P4" s="1121"/>
      <c r="Q4" s="1121"/>
      <c r="R4" s="1122"/>
    </row>
    <row r="5" spans="1:18" ht="38.25" customHeight="1" x14ac:dyDescent="0.3">
      <c r="A5" s="1123" t="s">
        <v>3296</v>
      </c>
      <c r="B5" s="1125" t="s">
        <v>3297</v>
      </c>
      <c r="C5" s="1126"/>
      <c r="D5" s="1126" t="s">
        <v>3298</v>
      </c>
      <c r="E5" s="1126"/>
      <c r="F5" s="1126" t="s">
        <v>3299</v>
      </c>
      <c r="G5" s="1126"/>
      <c r="H5" s="1126" t="s">
        <v>3300</v>
      </c>
      <c r="I5" s="1126"/>
      <c r="J5" s="1127" t="s">
        <v>3301</v>
      </c>
      <c r="K5" s="1125"/>
      <c r="L5" s="1126" t="s">
        <v>3302</v>
      </c>
      <c r="M5" s="1126"/>
      <c r="N5" s="1128" t="s">
        <v>2690</v>
      </c>
      <c r="O5" s="1129"/>
      <c r="P5" s="1132" t="s">
        <v>3303</v>
      </c>
      <c r="Q5" s="796" t="s">
        <v>3304</v>
      </c>
      <c r="R5" s="1123" t="s">
        <v>3305</v>
      </c>
    </row>
    <row r="6" spans="1:18" x14ac:dyDescent="0.3">
      <c r="A6" s="1124"/>
      <c r="B6" s="1134" t="s">
        <v>3306</v>
      </c>
      <c r="C6" s="1116"/>
      <c r="D6" s="1116" t="s">
        <v>3307</v>
      </c>
      <c r="E6" s="1116"/>
      <c r="F6" s="1116" t="s">
        <v>3308</v>
      </c>
      <c r="G6" s="1116"/>
      <c r="H6" s="1116" t="s">
        <v>3309</v>
      </c>
      <c r="I6" s="1116"/>
      <c r="J6" s="1116" t="s">
        <v>3310</v>
      </c>
      <c r="K6" s="1116"/>
      <c r="L6" s="1116" t="s">
        <v>3311</v>
      </c>
      <c r="M6" s="1116"/>
      <c r="N6" s="1130"/>
      <c r="O6" s="1131"/>
      <c r="P6" s="1133"/>
      <c r="Q6" s="797" t="s">
        <v>3312</v>
      </c>
      <c r="R6" s="1124"/>
    </row>
    <row r="7" spans="1:18" ht="14.4" thickBot="1" x14ac:dyDescent="0.35">
      <c r="A7" s="798" t="s">
        <v>3313</v>
      </c>
      <c r="B7" s="799" t="s">
        <v>3314</v>
      </c>
      <c r="C7" s="800" t="s">
        <v>3315</v>
      </c>
      <c r="D7" s="800" t="s">
        <v>3314</v>
      </c>
      <c r="E7" s="800" t="s">
        <v>3315</v>
      </c>
      <c r="F7" s="800" t="s">
        <v>3314</v>
      </c>
      <c r="G7" s="800" t="s">
        <v>3315</v>
      </c>
      <c r="H7" s="800" t="s">
        <v>3314</v>
      </c>
      <c r="I7" s="800" t="s">
        <v>3315</v>
      </c>
      <c r="J7" s="800" t="s">
        <v>3314</v>
      </c>
      <c r="K7" s="800" t="s">
        <v>3315</v>
      </c>
      <c r="L7" s="800" t="s">
        <v>3314</v>
      </c>
      <c r="M7" s="800" t="s">
        <v>3315</v>
      </c>
      <c r="N7" s="800" t="s">
        <v>3314</v>
      </c>
      <c r="O7" s="801" t="s">
        <v>3315</v>
      </c>
      <c r="P7" s="802" t="s">
        <v>3314</v>
      </c>
      <c r="Q7" s="803" t="s">
        <v>3314</v>
      </c>
      <c r="R7" s="804" t="s">
        <v>3314</v>
      </c>
    </row>
    <row r="8" spans="1:18" x14ac:dyDescent="0.3">
      <c r="A8" s="132" t="s">
        <v>3316</v>
      </c>
      <c r="B8" s="805"/>
      <c r="C8" s="806"/>
      <c r="D8" s="806"/>
      <c r="E8" s="806"/>
      <c r="F8" s="806"/>
      <c r="G8" s="806"/>
      <c r="H8" s="806"/>
      <c r="I8" s="806"/>
      <c r="J8" s="806"/>
      <c r="K8" s="806"/>
      <c r="L8" s="806"/>
      <c r="M8" s="806"/>
      <c r="N8" s="806"/>
      <c r="O8" s="807"/>
      <c r="P8" s="805"/>
      <c r="Q8" s="808"/>
      <c r="R8" s="809"/>
    </row>
    <row r="9" spans="1:18" x14ac:dyDescent="0.3">
      <c r="A9" s="810" t="s">
        <v>4217</v>
      </c>
      <c r="B9" s="811"/>
      <c r="C9" s="812"/>
      <c r="D9" s="812"/>
      <c r="E9" s="812"/>
      <c r="F9" s="812"/>
      <c r="G9" s="812"/>
      <c r="H9" s="812"/>
      <c r="I9" s="812"/>
      <c r="J9" s="812"/>
      <c r="K9" s="812"/>
      <c r="L9" s="812"/>
      <c r="M9" s="812"/>
      <c r="N9" s="812"/>
      <c r="O9" s="813"/>
      <c r="P9" s="811"/>
      <c r="Q9" s="814"/>
      <c r="R9" s="815"/>
    </row>
    <row r="10" spans="1:18" x14ac:dyDescent="0.3">
      <c r="A10" s="810" t="s">
        <v>4218</v>
      </c>
      <c r="B10" s="811"/>
      <c r="C10" s="812"/>
      <c r="D10" s="812"/>
      <c r="E10" s="812"/>
      <c r="F10" s="812"/>
      <c r="G10" s="812"/>
      <c r="H10" s="812"/>
      <c r="I10" s="812"/>
      <c r="J10" s="812"/>
      <c r="K10" s="812"/>
      <c r="L10" s="812"/>
      <c r="M10" s="812"/>
      <c r="N10" s="812"/>
      <c r="O10" s="813"/>
      <c r="P10" s="811"/>
      <c r="Q10" s="814"/>
      <c r="R10" s="815"/>
    </row>
    <row r="11" spans="1:18" x14ac:dyDescent="0.3">
      <c r="A11" s="810" t="s">
        <v>4219</v>
      </c>
      <c r="B11" s="811"/>
      <c r="C11" s="812"/>
      <c r="D11" s="812"/>
      <c r="E11" s="812"/>
      <c r="F11" s="812"/>
      <c r="G11" s="812"/>
      <c r="H11" s="812"/>
      <c r="I11" s="812"/>
      <c r="J11" s="812"/>
      <c r="K11" s="812"/>
      <c r="L11" s="812"/>
      <c r="M11" s="812"/>
      <c r="N11" s="812"/>
      <c r="O11" s="813"/>
      <c r="P11" s="811"/>
      <c r="Q11" s="814"/>
      <c r="R11" s="815"/>
    </row>
    <row r="12" spans="1:18" x14ac:dyDescent="0.3">
      <c r="A12" s="816" t="s">
        <v>3037</v>
      </c>
      <c r="B12" s="817"/>
      <c r="C12" s="818"/>
      <c r="D12" s="818"/>
      <c r="E12" s="818"/>
      <c r="F12" s="818"/>
      <c r="G12" s="818"/>
      <c r="H12" s="818"/>
      <c r="I12" s="818"/>
      <c r="J12" s="818"/>
      <c r="K12" s="818"/>
      <c r="L12" s="818"/>
      <c r="M12" s="818"/>
      <c r="N12" s="818"/>
      <c r="O12" s="819"/>
      <c r="P12" s="817"/>
      <c r="Q12" s="820"/>
      <c r="R12" s="821"/>
    </row>
    <row r="13" spans="1:18" x14ac:dyDescent="0.3">
      <c r="A13" s="822" t="s">
        <v>4220</v>
      </c>
      <c r="B13" s="811">
        <v>9</v>
      </c>
      <c r="C13" s="812">
        <v>9</v>
      </c>
      <c r="D13" s="812"/>
      <c r="E13" s="812"/>
      <c r="F13" s="812">
        <v>7</v>
      </c>
      <c r="G13" s="812">
        <v>4</v>
      </c>
      <c r="H13" s="812"/>
      <c r="I13" s="812"/>
      <c r="J13" s="812"/>
      <c r="K13" s="812"/>
      <c r="L13" s="812"/>
      <c r="M13" s="812"/>
      <c r="N13" s="812">
        <f>B13+D13+F13+H13+J13+L13</f>
        <v>16</v>
      </c>
      <c r="O13" s="813">
        <f>C13+E13+G13+K13+M13</f>
        <v>13</v>
      </c>
      <c r="P13" s="811"/>
      <c r="Q13" s="814"/>
      <c r="R13" s="815">
        <f>N13+P13+Q13</f>
        <v>16</v>
      </c>
    </row>
    <row r="14" spans="1:18" x14ac:dyDescent="0.3">
      <c r="A14" s="822" t="s">
        <v>4221</v>
      </c>
      <c r="B14" s="811">
        <v>4</v>
      </c>
      <c r="C14" s="812">
        <v>4</v>
      </c>
      <c r="D14" s="812"/>
      <c r="E14" s="812"/>
      <c r="F14" s="812">
        <v>4</v>
      </c>
      <c r="G14" s="812">
        <v>3</v>
      </c>
      <c r="H14" s="812"/>
      <c r="I14" s="812"/>
      <c r="J14" s="812"/>
      <c r="K14" s="812"/>
      <c r="L14" s="812"/>
      <c r="M14" s="812"/>
      <c r="N14" s="812">
        <f t="shared" ref="N14:N26" si="0">B14+D14+F14+H14+J14+L14</f>
        <v>8</v>
      </c>
      <c r="O14" s="813">
        <f t="shared" ref="O14:O26" si="1">C14+E14+G14+K14+M14</f>
        <v>7</v>
      </c>
      <c r="P14" s="811"/>
      <c r="Q14" s="814"/>
      <c r="R14" s="815">
        <f t="shared" ref="R14:R26" si="2">N14+P14+Q14</f>
        <v>8</v>
      </c>
    </row>
    <row r="15" spans="1:18" x14ac:dyDescent="0.3">
      <c r="A15" s="822" t="s">
        <v>4222</v>
      </c>
      <c r="B15" s="811">
        <v>5</v>
      </c>
      <c r="C15" s="812">
        <v>4.5</v>
      </c>
      <c r="D15" s="812"/>
      <c r="E15" s="812"/>
      <c r="F15" s="812">
        <v>1</v>
      </c>
      <c r="G15" s="812">
        <v>1</v>
      </c>
      <c r="H15" s="812"/>
      <c r="I15" s="812"/>
      <c r="J15" s="812"/>
      <c r="K15" s="812"/>
      <c r="L15" s="812"/>
      <c r="M15" s="812"/>
      <c r="N15" s="812">
        <f t="shared" si="0"/>
        <v>6</v>
      </c>
      <c r="O15" s="813">
        <f t="shared" si="1"/>
        <v>5.5</v>
      </c>
      <c r="P15" s="811"/>
      <c r="Q15" s="814"/>
      <c r="R15" s="815">
        <f t="shared" si="2"/>
        <v>6</v>
      </c>
    </row>
    <row r="16" spans="1:18" x14ac:dyDescent="0.3">
      <c r="A16" s="822" t="s">
        <v>4223</v>
      </c>
      <c r="B16" s="811">
        <v>3</v>
      </c>
      <c r="C16" s="812">
        <v>3</v>
      </c>
      <c r="D16" s="812"/>
      <c r="E16" s="812"/>
      <c r="F16" s="812"/>
      <c r="G16" s="812"/>
      <c r="H16" s="812"/>
      <c r="I16" s="812"/>
      <c r="J16" s="812"/>
      <c r="K16" s="812"/>
      <c r="L16" s="812"/>
      <c r="M16" s="812"/>
      <c r="N16" s="812">
        <f t="shared" si="0"/>
        <v>3</v>
      </c>
      <c r="O16" s="813">
        <f t="shared" si="1"/>
        <v>3</v>
      </c>
      <c r="P16" s="811"/>
      <c r="Q16" s="814"/>
      <c r="R16" s="815">
        <f t="shared" si="2"/>
        <v>3</v>
      </c>
    </row>
    <row r="17" spans="1:18" x14ac:dyDescent="0.3">
      <c r="A17" s="822" t="s">
        <v>4224</v>
      </c>
      <c r="B17" s="811">
        <v>8</v>
      </c>
      <c r="C17" s="812">
        <v>8</v>
      </c>
      <c r="D17" s="812"/>
      <c r="E17" s="812"/>
      <c r="F17" s="812"/>
      <c r="G17" s="812"/>
      <c r="H17" s="812"/>
      <c r="I17" s="812"/>
      <c r="J17" s="812"/>
      <c r="K17" s="812"/>
      <c r="L17" s="812"/>
      <c r="M17" s="812"/>
      <c r="N17" s="812">
        <f t="shared" si="0"/>
        <v>8</v>
      </c>
      <c r="O17" s="813">
        <f t="shared" si="1"/>
        <v>8</v>
      </c>
      <c r="P17" s="811"/>
      <c r="Q17" s="814"/>
      <c r="R17" s="815">
        <f t="shared" si="2"/>
        <v>8</v>
      </c>
    </row>
    <row r="18" spans="1:18" s="298" customFormat="1" x14ac:dyDescent="0.3">
      <c r="A18" s="822" t="s">
        <v>4225</v>
      </c>
      <c r="B18" s="811">
        <v>2</v>
      </c>
      <c r="C18" s="812">
        <v>2</v>
      </c>
      <c r="D18" s="812"/>
      <c r="E18" s="812"/>
      <c r="F18" s="812">
        <v>2</v>
      </c>
      <c r="G18" s="812">
        <v>2</v>
      </c>
      <c r="H18" s="812"/>
      <c r="I18" s="812"/>
      <c r="J18" s="812"/>
      <c r="K18" s="812"/>
      <c r="L18" s="812"/>
      <c r="M18" s="812"/>
      <c r="N18" s="812">
        <f t="shared" si="0"/>
        <v>4</v>
      </c>
      <c r="O18" s="813">
        <f t="shared" si="1"/>
        <v>4</v>
      </c>
      <c r="P18" s="811">
        <v>1</v>
      </c>
      <c r="Q18" s="814"/>
      <c r="R18" s="823">
        <f t="shared" si="2"/>
        <v>5</v>
      </c>
    </row>
    <row r="19" spans="1:18" x14ac:dyDescent="0.3">
      <c r="A19" s="822" t="s">
        <v>4226</v>
      </c>
      <c r="B19" s="811">
        <v>8</v>
      </c>
      <c r="C19" s="812">
        <v>8</v>
      </c>
      <c r="D19" s="812"/>
      <c r="E19" s="812"/>
      <c r="F19" s="812"/>
      <c r="G19" s="812"/>
      <c r="H19" s="812"/>
      <c r="I19" s="812"/>
      <c r="J19" s="812"/>
      <c r="K19" s="812"/>
      <c r="L19" s="812"/>
      <c r="M19" s="812"/>
      <c r="N19" s="812">
        <f t="shared" si="0"/>
        <v>8</v>
      </c>
      <c r="O19" s="813">
        <f t="shared" si="1"/>
        <v>8</v>
      </c>
      <c r="P19" s="811"/>
      <c r="Q19" s="814"/>
      <c r="R19" s="815">
        <f t="shared" si="2"/>
        <v>8</v>
      </c>
    </row>
    <row r="20" spans="1:18" x14ac:dyDescent="0.3">
      <c r="A20" s="822" t="s">
        <v>4227</v>
      </c>
      <c r="B20" s="811">
        <v>5</v>
      </c>
      <c r="C20" s="812">
        <v>5</v>
      </c>
      <c r="D20" s="812"/>
      <c r="E20" s="812"/>
      <c r="F20" s="812"/>
      <c r="G20" s="812"/>
      <c r="H20" s="812"/>
      <c r="I20" s="812"/>
      <c r="J20" s="812"/>
      <c r="K20" s="812"/>
      <c r="L20" s="812"/>
      <c r="M20" s="812"/>
      <c r="N20" s="812">
        <f t="shared" si="0"/>
        <v>5</v>
      </c>
      <c r="O20" s="813">
        <f t="shared" si="1"/>
        <v>5</v>
      </c>
      <c r="P20" s="811"/>
      <c r="Q20" s="814"/>
      <c r="R20" s="815">
        <f t="shared" si="2"/>
        <v>5</v>
      </c>
    </row>
    <row r="21" spans="1:18" s="298" customFormat="1" x14ac:dyDescent="0.3">
      <c r="A21" s="822" t="s">
        <v>4228</v>
      </c>
      <c r="B21" s="811">
        <v>8</v>
      </c>
      <c r="C21" s="812">
        <v>8</v>
      </c>
      <c r="D21" s="812"/>
      <c r="E21" s="812"/>
      <c r="F21" s="812">
        <v>1</v>
      </c>
      <c r="G21" s="812">
        <v>0.5</v>
      </c>
      <c r="H21" s="812"/>
      <c r="I21" s="812"/>
      <c r="J21" s="812"/>
      <c r="K21" s="812"/>
      <c r="L21" s="812"/>
      <c r="M21" s="812"/>
      <c r="N21" s="812">
        <f t="shared" si="0"/>
        <v>9</v>
      </c>
      <c r="O21" s="813">
        <f t="shared" si="1"/>
        <v>8.5</v>
      </c>
      <c r="P21" s="811"/>
      <c r="Q21" s="814"/>
      <c r="R21" s="815">
        <f t="shared" si="2"/>
        <v>9</v>
      </c>
    </row>
    <row r="22" spans="1:18" x14ac:dyDescent="0.3">
      <c r="A22" s="822" t="s">
        <v>4229</v>
      </c>
      <c r="B22" s="811">
        <v>4</v>
      </c>
      <c r="C22" s="812">
        <v>4</v>
      </c>
      <c r="D22" s="812"/>
      <c r="E22" s="812"/>
      <c r="F22" s="812"/>
      <c r="G22" s="812"/>
      <c r="H22" s="812"/>
      <c r="I22" s="812"/>
      <c r="J22" s="812"/>
      <c r="K22" s="812"/>
      <c r="L22" s="812"/>
      <c r="M22" s="812"/>
      <c r="N22" s="812">
        <f t="shared" si="0"/>
        <v>4</v>
      </c>
      <c r="O22" s="813">
        <f t="shared" si="1"/>
        <v>4</v>
      </c>
      <c r="P22" s="811"/>
      <c r="Q22" s="814"/>
      <c r="R22" s="815">
        <f t="shared" si="2"/>
        <v>4</v>
      </c>
    </row>
    <row r="23" spans="1:18" x14ac:dyDescent="0.3">
      <c r="A23" s="822" t="s">
        <v>4230</v>
      </c>
      <c r="B23" s="811">
        <v>9</v>
      </c>
      <c r="C23" s="812">
        <v>8.5</v>
      </c>
      <c r="D23" s="812"/>
      <c r="E23" s="812"/>
      <c r="F23" s="812">
        <v>1</v>
      </c>
      <c r="G23" s="812">
        <v>1</v>
      </c>
      <c r="H23" s="812"/>
      <c r="I23" s="812"/>
      <c r="J23" s="812"/>
      <c r="K23" s="812"/>
      <c r="L23" s="812"/>
      <c r="M23" s="812"/>
      <c r="N23" s="812">
        <f t="shared" si="0"/>
        <v>10</v>
      </c>
      <c r="O23" s="813">
        <f t="shared" si="1"/>
        <v>9.5</v>
      </c>
      <c r="P23" s="811"/>
      <c r="Q23" s="814"/>
      <c r="R23" s="815">
        <f t="shared" si="2"/>
        <v>10</v>
      </c>
    </row>
    <row r="24" spans="1:18" x14ac:dyDescent="0.3">
      <c r="A24" s="822" t="s">
        <v>4231</v>
      </c>
      <c r="B24" s="811">
        <v>1</v>
      </c>
      <c r="C24" s="812">
        <v>1</v>
      </c>
      <c r="D24" s="812"/>
      <c r="E24" s="812"/>
      <c r="F24" s="812">
        <v>1</v>
      </c>
      <c r="G24" s="812">
        <v>1</v>
      </c>
      <c r="H24" s="812"/>
      <c r="I24" s="812"/>
      <c r="J24" s="812"/>
      <c r="K24" s="812"/>
      <c r="L24" s="812"/>
      <c r="M24" s="812"/>
      <c r="N24" s="812">
        <f t="shared" si="0"/>
        <v>2</v>
      </c>
      <c r="O24" s="813">
        <f t="shared" si="1"/>
        <v>2</v>
      </c>
      <c r="P24" s="811"/>
      <c r="Q24" s="814"/>
      <c r="R24" s="815">
        <f t="shared" si="2"/>
        <v>2</v>
      </c>
    </row>
    <row r="25" spans="1:18" x14ac:dyDescent="0.3">
      <c r="A25" s="822" t="s">
        <v>4232</v>
      </c>
      <c r="B25" s="811">
        <v>4</v>
      </c>
      <c r="C25" s="812">
        <v>4</v>
      </c>
      <c r="D25" s="812">
        <v>2</v>
      </c>
      <c r="E25" s="812">
        <v>2</v>
      </c>
      <c r="F25" s="812"/>
      <c r="G25" s="812"/>
      <c r="H25" s="812"/>
      <c r="I25" s="812"/>
      <c r="J25" s="812"/>
      <c r="K25" s="812"/>
      <c r="L25" s="812"/>
      <c r="M25" s="812"/>
      <c r="N25" s="812">
        <f t="shared" si="0"/>
        <v>6</v>
      </c>
      <c r="O25" s="813">
        <f t="shared" si="1"/>
        <v>6</v>
      </c>
      <c r="P25" s="811"/>
      <c r="Q25" s="814"/>
      <c r="R25" s="815">
        <f t="shared" si="2"/>
        <v>6</v>
      </c>
    </row>
    <row r="26" spans="1:18" x14ac:dyDescent="0.3">
      <c r="A26" s="822" t="s">
        <v>4233</v>
      </c>
      <c r="B26" s="811"/>
      <c r="C26" s="812"/>
      <c r="D26" s="812"/>
      <c r="E26" s="812"/>
      <c r="F26" s="812"/>
      <c r="G26" s="812"/>
      <c r="H26" s="812"/>
      <c r="I26" s="812"/>
      <c r="J26" s="812">
        <v>9</v>
      </c>
      <c r="K26" s="812">
        <v>9</v>
      </c>
      <c r="L26" s="812"/>
      <c r="M26" s="812"/>
      <c r="N26" s="812">
        <f t="shared" si="0"/>
        <v>9</v>
      </c>
      <c r="O26" s="813">
        <f t="shared" si="1"/>
        <v>9</v>
      </c>
      <c r="P26" s="811"/>
      <c r="Q26" s="814"/>
      <c r="R26" s="815">
        <f t="shared" si="2"/>
        <v>9</v>
      </c>
    </row>
    <row r="27" spans="1:18" x14ac:dyDescent="0.3">
      <c r="A27" s="816" t="s">
        <v>17</v>
      </c>
      <c r="B27" s="817">
        <f t="shared" ref="B27:R27" si="3">SUM(B13:B26)</f>
        <v>70</v>
      </c>
      <c r="C27" s="817">
        <f t="shared" si="3"/>
        <v>69</v>
      </c>
      <c r="D27" s="817">
        <f t="shared" si="3"/>
        <v>2</v>
      </c>
      <c r="E27" s="817">
        <f t="shared" si="3"/>
        <v>2</v>
      </c>
      <c r="F27" s="817">
        <f t="shared" si="3"/>
        <v>17</v>
      </c>
      <c r="G27" s="817">
        <f t="shared" si="3"/>
        <v>12.5</v>
      </c>
      <c r="H27" s="817">
        <f t="shared" si="3"/>
        <v>0</v>
      </c>
      <c r="I27" s="817">
        <f t="shared" si="3"/>
        <v>0</v>
      </c>
      <c r="J27" s="817">
        <f t="shared" si="3"/>
        <v>9</v>
      </c>
      <c r="K27" s="817">
        <f t="shared" si="3"/>
        <v>9</v>
      </c>
      <c r="L27" s="817">
        <f t="shared" si="3"/>
        <v>0</v>
      </c>
      <c r="M27" s="817">
        <f t="shared" si="3"/>
        <v>0</v>
      </c>
      <c r="N27" s="817">
        <f t="shared" si="3"/>
        <v>98</v>
      </c>
      <c r="O27" s="817">
        <f t="shared" si="3"/>
        <v>92.5</v>
      </c>
      <c r="P27" s="817">
        <f t="shared" si="3"/>
        <v>1</v>
      </c>
      <c r="Q27" s="817">
        <f t="shared" si="3"/>
        <v>0</v>
      </c>
      <c r="R27" s="817">
        <f t="shared" si="3"/>
        <v>99</v>
      </c>
    </row>
    <row r="28" spans="1:18" x14ac:dyDescent="0.3">
      <c r="A28" s="135" t="s">
        <v>3317</v>
      </c>
      <c r="B28" s="824"/>
      <c r="C28" s="825"/>
      <c r="D28" s="825"/>
      <c r="E28" s="825"/>
      <c r="F28" s="825"/>
      <c r="G28" s="825"/>
      <c r="H28" s="825"/>
      <c r="I28" s="825"/>
      <c r="J28" s="825"/>
      <c r="K28" s="825"/>
      <c r="L28" s="825"/>
      <c r="M28" s="825"/>
      <c r="N28" s="825"/>
      <c r="O28" s="826"/>
      <c r="P28" s="824"/>
      <c r="Q28" s="827"/>
      <c r="R28" s="828"/>
    </row>
    <row r="29" spans="1:18" x14ac:dyDescent="0.3">
      <c r="A29" s="829" t="s">
        <v>3318</v>
      </c>
      <c r="B29" s="824">
        <f t="shared" ref="B29:R29" si="4">SUM(B30:B36)</f>
        <v>0</v>
      </c>
      <c r="C29" s="824">
        <f t="shared" si="4"/>
        <v>0</v>
      </c>
      <c r="D29" s="824">
        <f t="shared" si="4"/>
        <v>0</v>
      </c>
      <c r="E29" s="824">
        <f t="shared" si="4"/>
        <v>0</v>
      </c>
      <c r="F29" s="824">
        <f t="shared" si="4"/>
        <v>0</v>
      </c>
      <c r="G29" s="824">
        <f t="shared" si="4"/>
        <v>0</v>
      </c>
      <c r="H29" s="824">
        <f t="shared" si="4"/>
        <v>0</v>
      </c>
      <c r="I29" s="824">
        <f t="shared" si="4"/>
        <v>0</v>
      </c>
      <c r="J29" s="824">
        <f t="shared" si="4"/>
        <v>32</v>
      </c>
      <c r="K29" s="824">
        <f t="shared" si="4"/>
        <v>31.75</v>
      </c>
      <c r="L29" s="824">
        <f t="shared" si="4"/>
        <v>0</v>
      </c>
      <c r="M29" s="824">
        <f t="shared" si="4"/>
        <v>0</v>
      </c>
      <c r="N29" s="824">
        <f t="shared" si="4"/>
        <v>32</v>
      </c>
      <c r="O29" s="824">
        <f t="shared" si="4"/>
        <v>31.75</v>
      </c>
      <c r="P29" s="824">
        <f t="shared" si="4"/>
        <v>0</v>
      </c>
      <c r="Q29" s="824">
        <f t="shared" si="4"/>
        <v>0</v>
      </c>
      <c r="R29" s="824">
        <f t="shared" si="4"/>
        <v>32</v>
      </c>
    </row>
    <row r="30" spans="1:18" x14ac:dyDescent="0.3">
      <c r="A30" s="830" t="s">
        <v>108</v>
      </c>
      <c r="B30" s="831"/>
      <c r="C30" s="832"/>
      <c r="D30" s="832"/>
      <c r="E30" s="832"/>
      <c r="F30" s="832"/>
      <c r="G30" s="832"/>
      <c r="H30" s="832"/>
      <c r="I30" s="832"/>
      <c r="J30" s="832">
        <v>6</v>
      </c>
      <c r="K30" s="832">
        <v>6</v>
      </c>
      <c r="L30" s="832"/>
      <c r="M30" s="832"/>
      <c r="N30" s="832">
        <f t="shared" ref="N30:N36" si="5">B30+D30+F30+H30+J30+L30</f>
        <v>6</v>
      </c>
      <c r="O30" s="833">
        <f t="shared" ref="O30:O36" si="6">C30+E30+G30+K30+M30</f>
        <v>6</v>
      </c>
      <c r="P30" s="831"/>
      <c r="Q30" s="834"/>
      <c r="R30" s="835">
        <v>6</v>
      </c>
    </row>
    <row r="31" spans="1:18" x14ac:dyDescent="0.3">
      <c r="A31" s="830" t="s">
        <v>4234</v>
      </c>
      <c r="B31" s="831"/>
      <c r="C31" s="832"/>
      <c r="D31" s="832"/>
      <c r="E31" s="832"/>
      <c r="F31" s="832"/>
      <c r="G31" s="832"/>
      <c r="H31" s="832"/>
      <c r="I31" s="832"/>
      <c r="J31" s="832">
        <v>3</v>
      </c>
      <c r="K31" s="832">
        <v>3</v>
      </c>
      <c r="L31" s="832"/>
      <c r="M31" s="832"/>
      <c r="N31" s="832">
        <f t="shared" si="5"/>
        <v>3</v>
      </c>
      <c r="O31" s="833">
        <f t="shared" si="6"/>
        <v>3</v>
      </c>
      <c r="P31" s="831"/>
      <c r="Q31" s="834"/>
      <c r="R31" s="835">
        <v>4</v>
      </c>
    </row>
    <row r="32" spans="1:18" x14ac:dyDescent="0.3">
      <c r="A32" s="830" t="s">
        <v>107</v>
      </c>
      <c r="B32" s="831"/>
      <c r="C32" s="832"/>
      <c r="D32" s="832"/>
      <c r="E32" s="832"/>
      <c r="F32" s="832"/>
      <c r="G32" s="832"/>
      <c r="H32" s="832"/>
      <c r="I32" s="832"/>
      <c r="J32" s="832">
        <v>8</v>
      </c>
      <c r="K32" s="832">
        <v>7.75</v>
      </c>
      <c r="L32" s="832"/>
      <c r="M32" s="832"/>
      <c r="N32" s="832">
        <f t="shared" si="5"/>
        <v>8</v>
      </c>
      <c r="O32" s="833">
        <f t="shared" si="6"/>
        <v>7.75</v>
      </c>
      <c r="P32" s="831"/>
      <c r="Q32" s="834"/>
      <c r="R32" s="835">
        <v>8</v>
      </c>
    </row>
    <row r="33" spans="1:18" x14ac:dyDescent="0.3">
      <c r="A33" s="830" t="s">
        <v>4235</v>
      </c>
      <c r="B33" s="831"/>
      <c r="C33" s="832"/>
      <c r="D33" s="832"/>
      <c r="E33" s="832"/>
      <c r="F33" s="832"/>
      <c r="G33" s="832"/>
      <c r="H33" s="832"/>
      <c r="I33" s="832"/>
      <c r="J33" s="832">
        <v>4</v>
      </c>
      <c r="K33" s="832">
        <v>4</v>
      </c>
      <c r="L33" s="832"/>
      <c r="M33" s="832"/>
      <c r="N33" s="832">
        <f t="shared" si="5"/>
        <v>4</v>
      </c>
      <c r="O33" s="833">
        <f t="shared" si="6"/>
        <v>4</v>
      </c>
      <c r="P33" s="831"/>
      <c r="Q33" s="834"/>
      <c r="R33" s="835">
        <v>3</v>
      </c>
    </row>
    <row r="34" spans="1:18" x14ac:dyDescent="0.3">
      <c r="A34" s="830" t="s">
        <v>4236</v>
      </c>
      <c r="B34" s="831"/>
      <c r="C34" s="832"/>
      <c r="D34" s="832"/>
      <c r="E34" s="832"/>
      <c r="F34" s="832"/>
      <c r="G34" s="832"/>
      <c r="H34" s="832"/>
      <c r="I34" s="832"/>
      <c r="J34" s="832">
        <v>1</v>
      </c>
      <c r="K34" s="832">
        <v>1</v>
      </c>
      <c r="L34" s="832"/>
      <c r="M34" s="832"/>
      <c r="N34" s="832">
        <f t="shared" si="5"/>
        <v>1</v>
      </c>
      <c r="O34" s="833">
        <f t="shared" si="6"/>
        <v>1</v>
      </c>
      <c r="P34" s="831"/>
      <c r="Q34" s="834"/>
      <c r="R34" s="835">
        <v>1</v>
      </c>
    </row>
    <row r="35" spans="1:18" x14ac:dyDescent="0.3">
      <c r="A35" s="830" t="s">
        <v>4237</v>
      </c>
      <c r="B35" s="831"/>
      <c r="C35" s="832"/>
      <c r="D35" s="832"/>
      <c r="E35" s="832"/>
      <c r="F35" s="832"/>
      <c r="G35" s="832"/>
      <c r="H35" s="832"/>
      <c r="I35" s="832"/>
      <c r="J35" s="832">
        <v>7</v>
      </c>
      <c r="K35" s="832">
        <v>7</v>
      </c>
      <c r="L35" s="832"/>
      <c r="M35" s="832"/>
      <c r="N35" s="832">
        <f t="shared" si="5"/>
        <v>7</v>
      </c>
      <c r="O35" s="833">
        <f t="shared" si="6"/>
        <v>7</v>
      </c>
      <c r="P35" s="831"/>
      <c r="Q35" s="834"/>
      <c r="R35" s="835">
        <v>7</v>
      </c>
    </row>
    <row r="36" spans="1:18" x14ac:dyDescent="0.3">
      <c r="A36" s="830" t="s">
        <v>4238</v>
      </c>
      <c r="B36" s="831"/>
      <c r="C36" s="832"/>
      <c r="D36" s="832"/>
      <c r="E36" s="832"/>
      <c r="F36" s="832"/>
      <c r="G36" s="832"/>
      <c r="H36" s="832"/>
      <c r="I36" s="832"/>
      <c r="J36" s="832">
        <v>3</v>
      </c>
      <c r="K36" s="832">
        <v>3</v>
      </c>
      <c r="L36" s="832"/>
      <c r="M36" s="832"/>
      <c r="N36" s="832">
        <f t="shared" si="5"/>
        <v>3</v>
      </c>
      <c r="O36" s="833">
        <f t="shared" si="6"/>
        <v>3</v>
      </c>
      <c r="P36" s="831"/>
      <c r="Q36" s="834"/>
      <c r="R36" s="835">
        <v>3</v>
      </c>
    </row>
    <row r="37" spans="1:18" ht="14.4" thickBot="1" x14ac:dyDescent="0.35">
      <c r="A37" s="143" t="s">
        <v>3319</v>
      </c>
      <c r="B37" s="836"/>
      <c r="C37" s="837"/>
      <c r="D37" s="837"/>
      <c r="E37" s="837"/>
      <c r="F37" s="837"/>
      <c r="G37" s="837"/>
      <c r="H37" s="837"/>
      <c r="I37" s="837"/>
      <c r="J37" s="837"/>
      <c r="K37" s="837"/>
      <c r="L37" s="837"/>
      <c r="M37" s="837"/>
      <c r="N37" s="837"/>
      <c r="O37" s="838"/>
      <c r="P37" s="836"/>
      <c r="Q37" s="839"/>
      <c r="R37" s="840"/>
    </row>
    <row r="38" spans="1:18" ht="14.4" thickBot="1" x14ac:dyDescent="0.35">
      <c r="A38" s="841" t="s">
        <v>2690</v>
      </c>
      <c r="B38" s="842">
        <f>B27+B29</f>
        <v>70</v>
      </c>
      <c r="C38" s="842">
        <f t="shared" ref="C38:R38" si="7">C27+C29</f>
        <v>69</v>
      </c>
      <c r="D38" s="842">
        <f t="shared" si="7"/>
        <v>2</v>
      </c>
      <c r="E38" s="842">
        <f t="shared" si="7"/>
        <v>2</v>
      </c>
      <c r="F38" s="842">
        <f t="shared" si="7"/>
        <v>17</v>
      </c>
      <c r="G38" s="842">
        <f t="shared" si="7"/>
        <v>12.5</v>
      </c>
      <c r="H38" s="842">
        <f t="shared" si="7"/>
        <v>0</v>
      </c>
      <c r="I38" s="842">
        <f t="shared" si="7"/>
        <v>0</v>
      </c>
      <c r="J38" s="842">
        <f t="shared" si="7"/>
        <v>41</v>
      </c>
      <c r="K38" s="842">
        <f t="shared" si="7"/>
        <v>40.75</v>
      </c>
      <c r="L38" s="842">
        <f t="shared" si="7"/>
        <v>0</v>
      </c>
      <c r="M38" s="842">
        <f t="shared" si="7"/>
        <v>0</v>
      </c>
      <c r="N38" s="842">
        <f t="shared" si="7"/>
        <v>130</v>
      </c>
      <c r="O38" s="842">
        <f t="shared" si="7"/>
        <v>124.25</v>
      </c>
      <c r="P38" s="842">
        <f t="shared" si="7"/>
        <v>1</v>
      </c>
      <c r="Q38" s="842">
        <f t="shared" si="7"/>
        <v>0</v>
      </c>
      <c r="R38" s="842">
        <f t="shared" si="7"/>
        <v>131</v>
      </c>
    </row>
  </sheetData>
  <mergeCells count="17">
    <mergeCell ref="J6:K6"/>
    <mergeCell ref="L6:M6"/>
    <mergeCell ref="A3:R4"/>
    <mergeCell ref="A5:A6"/>
    <mergeCell ref="B5:C5"/>
    <mergeCell ref="D5:E5"/>
    <mergeCell ref="F5:G5"/>
    <mergeCell ref="H5:I5"/>
    <mergeCell ref="J5:K5"/>
    <mergeCell ref="L5:M5"/>
    <mergeCell ref="N5:O6"/>
    <mergeCell ref="P5:P6"/>
    <mergeCell ref="R5:R6"/>
    <mergeCell ref="B6:C6"/>
    <mergeCell ref="D6:E6"/>
    <mergeCell ref="F6:G6"/>
    <mergeCell ref="H6:I6"/>
  </mergeCells>
  <conditionalFormatting sqref="B9:R17 B24:R26 B19:R20">
    <cfRule type="cellIs" dxfId="15" priority="1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R70"/>
  <sheetViews>
    <sheetView showGridLines="0" zoomScale="85" zoomScaleNormal="85" workbookViewId="0">
      <selection activeCell="N32" sqref="N32"/>
    </sheetView>
  </sheetViews>
  <sheetFormatPr defaultColWidth="8.88671875" defaultRowHeight="13.8" x14ac:dyDescent="0.3"/>
  <cols>
    <col min="1" max="1" width="25" style="269" customWidth="1"/>
    <col min="2" max="3" width="8.33203125" style="269" customWidth="1"/>
    <col min="4" max="4" width="7.88671875" style="269" customWidth="1"/>
    <col min="5" max="5" width="7.6640625" style="269" customWidth="1"/>
    <col min="6" max="6" width="8.33203125" style="269" customWidth="1"/>
    <col min="7" max="7" width="7.44140625" style="269" customWidth="1"/>
    <col min="8" max="10" width="8.33203125" style="269" customWidth="1"/>
    <col min="11" max="11" width="10.88671875" style="269" customWidth="1"/>
    <col min="12" max="12" width="12.44140625" style="269" customWidth="1"/>
    <col min="13" max="15" width="8.88671875" style="269"/>
    <col min="16" max="16" width="13" style="269" customWidth="1"/>
    <col min="17" max="16384" width="8.88671875" style="269"/>
  </cols>
  <sheetData>
    <row r="1" spans="1:18" ht="21" x14ac:dyDescent="0.4">
      <c r="A1" s="18" t="s">
        <v>4239</v>
      </c>
    </row>
    <row r="2" spans="1:18" ht="14.4" thickBot="1" x14ac:dyDescent="0.35"/>
    <row r="3" spans="1:18" x14ac:dyDescent="0.3">
      <c r="A3" s="1117" t="s">
        <v>3364</v>
      </c>
      <c r="B3" s="1118"/>
      <c r="C3" s="1118"/>
      <c r="D3" s="1118"/>
      <c r="E3" s="1118"/>
      <c r="F3" s="1118"/>
      <c r="G3" s="1118"/>
      <c r="H3" s="1118"/>
      <c r="I3" s="1118"/>
      <c r="J3" s="1118"/>
      <c r="K3" s="1118"/>
      <c r="L3" s="1118"/>
      <c r="M3" s="1118"/>
      <c r="N3" s="1118"/>
      <c r="O3" s="1118"/>
      <c r="P3" s="1118"/>
      <c r="Q3" s="1118"/>
      <c r="R3" s="1119"/>
    </row>
    <row r="4" spans="1:18" ht="14.4" thickBot="1" x14ac:dyDescent="0.35">
      <c r="A4" s="1120"/>
      <c r="B4" s="1121"/>
      <c r="C4" s="1121"/>
      <c r="D4" s="1121"/>
      <c r="E4" s="1121"/>
      <c r="F4" s="1121"/>
      <c r="G4" s="1121"/>
      <c r="H4" s="1121"/>
      <c r="I4" s="1121"/>
      <c r="J4" s="1121"/>
      <c r="K4" s="1121"/>
      <c r="L4" s="1121"/>
      <c r="M4" s="1121"/>
      <c r="N4" s="1121"/>
      <c r="O4" s="1121"/>
      <c r="P4" s="1121"/>
      <c r="Q4" s="1121"/>
      <c r="R4" s="1122"/>
    </row>
    <row r="5" spans="1:18" ht="27" customHeight="1" x14ac:dyDescent="0.3">
      <c r="A5" s="1123" t="s">
        <v>3296</v>
      </c>
      <c r="B5" s="1125" t="s">
        <v>3297</v>
      </c>
      <c r="C5" s="1126"/>
      <c r="D5" s="1126" t="s">
        <v>3298</v>
      </c>
      <c r="E5" s="1126"/>
      <c r="F5" s="1126" t="s">
        <v>3299</v>
      </c>
      <c r="G5" s="1126"/>
      <c r="H5" s="1126" t="s">
        <v>3300</v>
      </c>
      <c r="I5" s="1126"/>
      <c r="J5" s="1127" t="s">
        <v>3301</v>
      </c>
      <c r="K5" s="1125"/>
      <c r="L5" s="1126" t="s">
        <v>3302</v>
      </c>
      <c r="M5" s="1126"/>
      <c r="N5" s="1128" t="s">
        <v>2690</v>
      </c>
      <c r="O5" s="1129"/>
      <c r="P5" s="1132" t="s">
        <v>3303</v>
      </c>
      <c r="Q5" s="796" t="s">
        <v>3304</v>
      </c>
      <c r="R5" s="1123" t="s">
        <v>3305</v>
      </c>
    </row>
    <row r="6" spans="1:18" x14ac:dyDescent="0.3">
      <c r="A6" s="1124"/>
      <c r="B6" s="1134" t="s">
        <v>3306</v>
      </c>
      <c r="C6" s="1116"/>
      <c r="D6" s="1116" t="s">
        <v>3307</v>
      </c>
      <c r="E6" s="1116"/>
      <c r="F6" s="1116" t="s">
        <v>3308</v>
      </c>
      <c r="G6" s="1116"/>
      <c r="H6" s="1116" t="s">
        <v>3309</v>
      </c>
      <c r="I6" s="1116"/>
      <c r="J6" s="1116" t="s">
        <v>3310</v>
      </c>
      <c r="K6" s="1116"/>
      <c r="L6" s="1116" t="s">
        <v>3311</v>
      </c>
      <c r="M6" s="1116"/>
      <c r="N6" s="1130"/>
      <c r="O6" s="1131"/>
      <c r="P6" s="1133"/>
      <c r="Q6" s="797" t="s">
        <v>3312</v>
      </c>
      <c r="R6" s="1124"/>
    </row>
    <row r="7" spans="1:18" ht="14.4" thickBot="1" x14ac:dyDescent="0.35">
      <c r="A7" s="798" t="s">
        <v>3313</v>
      </c>
      <c r="B7" s="799" t="s">
        <v>3314</v>
      </c>
      <c r="C7" s="800" t="s">
        <v>3315</v>
      </c>
      <c r="D7" s="800" t="s">
        <v>3314</v>
      </c>
      <c r="E7" s="800" t="s">
        <v>3315</v>
      </c>
      <c r="F7" s="800" t="s">
        <v>3314</v>
      </c>
      <c r="G7" s="800" t="s">
        <v>3315</v>
      </c>
      <c r="H7" s="800" t="s">
        <v>3314</v>
      </c>
      <c r="I7" s="800" t="s">
        <v>3315</v>
      </c>
      <c r="J7" s="800" t="s">
        <v>3314</v>
      </c>
      <c r="K7" s="800" t="s">
        <v>3315</v>
      </c>
      <c r="L7" s="800" t="s">
        <v>3314</v>
      </c>
      <c r="M7" s="800" t="s">
        <v>3315</v>
      </c>
      <c r="N7" s="800" t="s">
        <v>3314</v>
      </c>
      <c r="O7" s="801" t="s">
        <v>3315</v>
      </c>
      <c r="P7" s="802" t="s">
        <v>3314</v>
      </c>
      <c r="Q7" s="803" t="s">
        <v>3314</v>
      </c>
      <c r="R7" s="804" t="s">
        <v>3314</v>
      </c>
    </row>
    <row r="8" spans="1:18" x14ac:dyDescent="0.3">
      <c r="A8" s="843" t="s">
        <v>3316</v>
      </c>
      <c r="B8" s="811"/>
      <c r="C8" s="812"/>
      <c r="D8" s="812"/>
      <c r="E8" s="812"/>
      <c r="F8" s="812"/>
      <c r="G8" s="812"/>
      <c r="H8" s="812"/>
      <c r="I8" s="812"/>
      <c r="J8" s="812"/>
      <c r="K8" s="812"/>
      <c r="L8" s="812"/>
      <c r="M8" s="812"/>
      <c r="N8" s="812"/>
      <c r="O8" s="813"/>
      <c r="P8" s="811"/>
      <c r="Q8" s="814"/>
      <c r="R8" s="815"/>
    </row>
    <row r="9" spans="1:18" x14ac:dyDescent="0.3">
      <c r="A9" s="822" t="s">
        <v>4220</v>
      </c>
      <c r="B9" s="811"/>
      <c r="C9" s="812"/>
      <c r="D9" s="812"/>
      <c r="E9" s="812"/>
      <c r="F9" s="812"/>
      <c r="G9" s="812"/>
      <c r="H9" s="812"/>
      <c r="I9" s="812"/>
      <c r="J9" s="812"/>
      <c r="K9" s="812"/>
      <c r="L9" s="812"/>
      <c r="M9" s="812"/>
      <c r="N9" s="812">
        <f>B9+D9+F9+H9+J9+L9</f>
        <v>0</v>
      </c>
      <c r="O9" s="813">
        <f>C9+E9+G9+K9+M9</f>
        <v>0</v>
      </c>
      <c r="P9" s="811"/>
      <c r="Q9" s="814"/>
      <c r="R9" s="815">
        <f>N9+P9+Q9</f>
        <v>0</v>
      </c>
    </row>
    <row r="10" spans="1:18" x14ac:dyDescent="0.3">
      <c r="A10" s="822" t="s">
        <v>4221</v>
      </c>
      <c r="B10" s="811"/>
      <c r="C10" s="812"/>
      <c r="D10" s="812"/>
      <c r="E10" s="812"/>
      <c r="F10" s="812"/>
      <c r="G10" s="812"/>
      <c r="H10" s="812"/>
      <c r="I10" s="812"/>
      <c r="J10" s="812"/>
      <c r="K10" s="812"/>
      <c r="L10" s="812"/>
      <c r="M10" s="812"/>
      <c r="N10" s="812">
        <f t="shared" ref="N10:N22" si="0">B10+D10+F10+H10+J10+L10</f>
        <v>0</v>
      </c>
      <c r="O10" s="813">
        <f t="shared" ref="O10:O22" si="1">C10+E10+G10+K10+M10</f>
        <v>0</v>
      </c>
      <c r="P10" s="811"/>
      <c r="Q10" s="814"/>
      <c r="R10" s="815">
        <f t="shared" ref="R10:R22" si="2">N10+P10+Q10</f>
        <v>0</v>
      </c>
    </row>
    <row r="11" spans="1:18" x14ac:dyDescent="0.3">
      <c r="A11" s="822" t="s">
        <v>4222</v>
      </c>
      <c r="B11" s="811"/>
      <c r="C11" s="812"/>
      <c r="D11" s="812"/>
      <c r="E11" s="812"/>
      <c r="F11" s="812"/>
      <c r="G11" s="812"/>
      <c r="H11" s="812"/>
      <c r="I11" s="812"/>
      <c r="J11" s="812"/>
      <c r="K11" s="812"/>
      <c r="L11" s="812"/>
      <c r="M11" s="812"/>
      <c r="N11" s="812">
        <f t="shared" si="0"/>
        <v>0</v>
      </c>
      <c r="O11" s="813">
        <f t="shared" si="1"/>
        <v>0</v>
      </c>
      <c r="P11" s="811"/>
      <c r="Q11" s="814"/>
      <c r="R11" s="815">
        <f t="shared" si="2"/>
        <v>0</v>
      </c>
    </row>
    <row r="12" spans="1:18" x14ac:dyDescent="0.3">
      <c r="A12" s="822" t="s">
        <v>4223</v>
      </c>
      <c r="B12" s="811"/>
      <c r="C12" s="812"/>
      <c r="D12" s="812"/>
      <c r="E12" s="812"/>
      <c r="F12" s="812"/>
      <c r="G12" s="812"/>
      <c r="H12" s="812"/>
      <c r="I12" s="812"/>
      <c r="J12" s="812"/>
      <c r="K12" s="812"/>
      <c r="L12" s="812"/>
      <c r="M12" s="812"/>
      <c r="N12" s="812">
        <f t="shared" si="0"/>
        <v>0</v>
      </c>
      <c r="O12" s="813">
        <f t="shared" si="1"/>
        <v>0</v>
      </c>
      <c r="P12" s="811"/>
      <c r="Q12" s="814"/>
      <c r="R12" s="815">
        <f t="shared" si="2"/>
        <v>0</v>
      </c>
    </row>
    <row r="13" spans="1:18" x14ac:dyDescent="0.3">
      <c r="A13" s="822" t="s">
        <v>4224</v>
      </c>
      <c r="B13" s="811"/>
      <c r="C13" s="812"/>
      <c r="D13" s="812"/>
      <c r="E13" s="812"/>
      <c r="F13" s="812"/>
      <c r="G13" s="812"/>
      <c r="H13" s="812"/>
      <c r="I13" s="812"/>
      <c r="J13" s="812"/>
      <c r="K13" s="812"/>
      <c r="L13" s="812"/>
      <c r="M13" s="812"/>
      <c r="N13" s="812">
        <f t="shared" si="0"/>
        <v>0</v>
      </c>
      <c r="O13" s="813">
        <f t="shared" si="1"/>
        <v>0</v>
      </c>
      <c r="P13" s="811"/>
      <c r="Q13" s="814"/>
      <c r="R13" s="815">
        <f t="shared" si="2"/>
        <v>0</v>
      </c>
    </row>
    <row r="14" spans="1:18" x14ac:dyDescent="0.3">
      <c r="A14" s="822" t="s">
        <v>4225</v>
      </c>
      <c r="B14" s="811"/>
      <c r="C14" s="812"/>
      <c r="D14" s="812"/>
      <c r="E14" s="812"/>
      <c r="F14" s="812"/>
      <c r="G14" s="812"/>
      <c r="H14" s="812"/>
      <c r="I14" s="812"/>
      <c r="J14" s="812"/>
      <c r="K14" s="812"/>
      <c r="L14" s="812"/>
      <c r="M14" s="812"/>
      <c r="N14" s="812">
        <f t="shared" si="0"/>
        <v>0</v>
      </c>
      <c r="O14" s="813">
        <f t="shared" si="1"/>
        <v>0</v>
      </c>
      <c r="P14" s="811"/>
      <c r="Q14" s="814"/>
      <c r="R14" s="815">
        <f t="shared" si="2"/>
        <v>0</v>
      </c>
    </row>
    <row r="15" spans="1:18" x14ac:dyDescent="0.3">
      <c r="A15" s="822" t="s">
        <v>4226</v>
      </c>
      <c r="B15" s="811"/>
      <c r="C15" s="812"/>
      <c r="D15" s="812"/>
      <c r="E15" s="812"/>
      <c r="F15" s="812"/>
      <c r="G15" s="812"/>
      <c r="H15" s="812"/>
      <c r="I15" s="812"/>
      <c r="J15" s="812"/>
      <c r="K15" s="812"/>
      <c r="L15" s="812"/>
      <c r="M15" s="812"/>
      <c r="N15" s="812">
        <f t="shared" si="0"/>
        <v>0</v>
      </c>
      <c r="O15" s="813">
        <f t="shared" si="1"/>
        <v>0</v>
      </c>
      <c r="P15" s="811"/>
      <c r="Q15" s="814"/>
      <c r="R15" s="815">
        <f t="shared" si="2"/>
        <v>0</v>
      </c>
    </row>
    <row r="16" spans="1:18" x14ac:dyDescent="0.3">
      <c r="A16" s="822" t="s">
        <v>4227</v>
      </c>
      <c r="B16" s="811"/>
      <c r="C16" s="812"/>
      <c r="D16" s="812"/>
      <c r="E16" s="812"/>
      <c r="F16" s="812"/>
      <c r="G16" s="812"/>
      <c r="H16" s="812"/>
      <c r="I16" s="812"/>
      <c r="J16" s="812"/>
      <c r="K16" s="812"/>
      <c r="L16" s="812"/>
      <c r="M16" s="812"/>
      <c r="N16" s="812">
        <f t="shared" si="0"/>
        <v>0</v>
      </c>
      <c r="O16" s="813">
        <f t="shared" si="1"/>
        <v>0</v>
      </c>
      <c r="P16" s="811"/>
      <c r="Q16" s="814"/>
      <c r="R16" s="815">
        <f t="shared" si="2"/>
        <v>0</v>
      </c>
    </row>
    <row r="17" spans="1:18" x14ac:dyDescent="0.3">
      <c r="A17" s="822" t="s">
        <v>4228</v>
      </c>
      <c r="B17" s="811"/>
      <c r="C17" s="812"/>
      <c r="D17" s="812"/>
      <c r="E17" s="812"/>
      <c r="F17" s="812"/>
      <c r="G17" s="812"/>
      <c r="H17" s="812"/>
      <c r="I17" s="812"/>
      <c r="J17" s="812"/>
      <c r="K17" s="812"/>
      <c r="L17" s="812"/>
      <c r="M17" s="812"/>
      <c r="N17" s="812">
        <f t="shared" si="0"/>
        <v>0</v>
      </c>
      <c r="O17" s="813">
        <f t="shared" si="1"/>
        <v>0</v>
      </c>
      <c r="P17" s="811"/>
      <c r="Q17" s="814"/>
      <c r="R17" s="815">
        <f t="shared" si="2"/>
        <v>0</v>
      </c>
    </row>
    <row r="18" spans="1:18" x14ac:dyDescent="0.3">
      <c r="A18" s="822" t="s">
        <v>4229</v>
      </c>
      <c r="B18" s="811"/>
      <c r="C18" s="812"/>
      <c r="D18" s="812"/>
      <c r="E18" s="812"/>
      <c r="F18" s="812"/>
      <c r="G18" s="812"/>
      <c r="H18" s="812"/>
      <c r="I18" s="812"/>
      <c r="J18" s="812"/>
      <c r="K18" s="812"/>
      <c r="L18" s="812"/>
      <c r="M18" s="812"/>
      <c r="N18" s="812">
        <f t="shared" si="0"/>
        <v>0</v>
      </c>
      <c r="O18" s="813">
        <f t="shared" si="1"/>
        <v>0</v>
      </c>
      <c r="P18" s="811"/>
      <c r="Q18" s="814"/>
      <c r="R18" s="815">
        <f t="shared" si="2"/>
        <v>0</v>
      </c>
    </row>
    <row r="19" spans="1:18" x14ac:dyDescent="0.3">
      <c r="A19" s="822" t="s">
        <v>4230</v>
      </c>
      <c r="B19" s="811"/>
      <c r="C19" s="812"/>
      <c r="D19" s="812"/>
      <c r="E19" s="812"/>
      <c r="F19" s="812"/>
      <c r="G19" s="812"/>
      <c r="H19" s="812"/>
      <c r="I19" s="812"/>
      <c r="J19" s="812"/>
      <c r="K19" s="812"/>
      <c r="L19" s="812"/>
      <c r="M19" s="812"/>
      <c r="N19" s="812">
        <f t="shared" si="0"/>
        <v>0</v>
      </c>
      <c r="O19" s="813">
        <f t="shared" si="1"/>
        <v>0</v>
      </c>
      <c r="P19" s="811"/>
      <c r="Q19" s="814"/>
      <c r="R19" s="815">
        <f t="shared" si="2"/>
        <v>0</v>
      </c>
    </row>
    <row r="20" spans="1:18" x14ac:dyDescent="0.3">
      <c r="A20" s="822" t="s">
        <v>4231</v>
      </c>
      <c r="B20" s="811"/>
      <c r="C20" s="812"/>
      <c r="D20" s="812"/>
      <c r="E20" s="812"/>
      <c r="F20" s="812"/>
      <c r="G20" s="812"/>
      <c r="H20" s="812"/>
      <c r="I20" s="812"/>
      <c r="J20" s="812"/>
      <c r="K20" s="812"/>
      <c r="L20" s="812"/>
      <c r="M20" s="812"/>
      <c r="N20" s="812">
        <f t="shared" si="0"/>
        <v>0</v>
      </c>
      <c r="O20" s="813">
        <f t="shared" si="1"/>
        <v>0</v>
      </c>
      <c r="P20" s="811"/>
      <c r="Q20" s="814"/>
      <c r="R20" s="815">
        <f t="shared" si="2"/>
        <v>0</v>
      </c>
    </row>
    <row r="21" spans="1:18" x14ac:dyDescent="0.3">
      <c r="A21" s="822" t="s">
        <v>4232</v>
      </c>
      <c r="B21" s="811"/>
      <c r="C21" s="812"/>
      <c r="D21" s="812"/>
      <c r="E21" s="812"/>
      <c r="F21" s="812"/>
      <c r="G21" s="812"/>
      <c r="H21" s="812"/>
      <c r="I21" s="812"/>
      <c r="J21" s="812"/>
      <c r="K21" s="812"/>
      <c r="L21" s="812"/>
      <c r="M21" s="812"/>
      <c r="N21" s="812">
        <f t="shared" si="0"/>
        <v>0</v>
      </c>
      <c r="O21" s="813">
        <f t="shared" si="1"/>
        <v>0</v>
      </c>
      <c r="P21" s="811"/>
      <c r="Q21" s="814"/>
      <c r="R21" s="815">
        <f t="shared" si="2"/>
        <v>0</v>
      </c>
    </row>
    <row r="22" spans="1:18" x14ac:dyDescent="0.3">
      <c r="A22" s="822" t="s">
        <v>4233</v>
      </c>
      <c r="B22" s="811"/>
      <c r="C22" s="812"/>
      <c r="D22" s="812"/>
      <c r="E22" s="812"/>
      <c r="F22" s="812"/>
      <c r="G22" s="812"/>
      <c r="H22" s="812"/>
      <c r="I22" s="812"/>
      <c r="J22" s="812">
        <v>1</v>
      </c>
      <c r="K22" s="812">
        <v>1</v>
      </c>
      <c r="L22" s="812"/>
      <c r="M22" s="812"/>
      <c r="N22" s="812">
        <f t="shared" si="0"/>
        <v>1</v>
      </c>
      <c r="O22" s="813">
        <f t="shared" si="1"/>
        <v>1</v>
      </c>
      <c r="P22" s="811"/>
      <c r="Q22" s="814"/>
      <c r="R22" s="815">
        <f t="shared" si="2"/>
        <v>1</v>
      </c>
    </row>
    <row r="23" spans="1:18" x14ac:dyDescent="0.3">
      <c r="A23" s="816" t="s">
        <v>17</v>
      </c>
      <c r="B23" s="817">
        <f t="shared" ref="B23:R23" si="3">SUM(B9:B22)</f>
        <v>0</v>
      </c>
      <c r="C23" s="817">
        <f t="shared" si="3"/>
        <v>0</v>
      </c>
      <c r="D23" s="817">
        <f t="shared" si="3"/>
        <v>0</v>
      </c>
      <c r="E23" s="817">
        <f t="shared" si="3"/>
        <v>0</v>
      </c>
      <c r="F23" s="817">
        <f t="shared" si="3"/>
        <v>0</v>
      </c>
      <c r="G23" s="817">
        <f t="shared" si="3"/>
        <v>0</v>
      </c>
      <c r="H23" s="817">
        <f t="shared" si="3"/>
        <v>0</v>
      </c>
      <c r="I23" s="817">
        <f t="shared" si="3"/>
        <v>0</v>
      </c>
      <c r="J23" s="817">
        <f t="shared" si="3"/>
        <v>1</v>
      </c>
      <c r="K23" s="817">
        <f t="shared" si="3"/>
        <v>1</v>
      </c>
      <c r="L23" s="817">
        <f t="shared" si="3"/>
        <v>0</v>
      </c>
      <c r="M23" s="817">
        <f t="shared" si="3"/>
        <v>0</v>
      </c>
      <c r="N23" s="817">
        <f t="shared" si="3"/>
        <v>1</v>
      </c>
      <c r="O23" s="817">
        <f t="shared" si="3"/>
        <v>1</v>
      </c>
      <c r="P23" s="817">
        <f t="shared" si="3"/>
        <v>0</v>
      </c>
      <c r="Q23" s="817">
        <f t="shared" si="3"/>
        <v>0</v>
      </c>
      <c r="R23" s="817">
        <f t="shared" si="3"/>
        <v>1</v>
      </c>
    </row>
    <row r="24" spans="1:18" x14ac:dyDescent="0.3">
      <c r="A24" s="135" t="s">
        <v>3317</v>
      </c>
      <c r="B24" s="824"/>
      <c r="C24" s="825"/>
      <c r="D24" s="825"/>
      <c r="E24" s="825"/>
      <c r="F24" s="825"/>
      <c r="G24" s="825"/>
      <c r="H24" s="825"/>
      <c r="I24" s="825"/>
      <c r="J24" s="825"/>
      <c r="K24" s="825"/>
      <c r="L24" s="825"/>
      <c r="M24" s="825"/>
      <c r="N24" s="825"/>
      <c r="O24" s="826"/>
      <c r="P24" s="824"/>
      <c r="Q24" s="827"/>
      <c r="R24" s="828"/>
    </row>
    <row r="25" spans="1:18" x14ac:dyDescent="0.3">
      <c r="A25" s="829" t="s">
        <v>3318</v>
      </c>
      <c r="B25" s="824">
        <f t="shared" ref="B25:R25" si="4">SUM(B26:B32)</f>
        <v>0</v>
      </c>
      <c r="C25" s="824">
        <f t="shared" si="4"/>
        <v>0</v>
      </c>
      <c r="D25" s="824">
        <f t="shared" si="4"/>
        <v>0</v>
      </c>
      <c r="E25" s="824">
        <f t="shared" si="4"/>
        <v>0</v>
      </c>
      <c r="F25" s="824">
        <f t="shared" si="4"/>
        <v>0</v>
      </c>
      <c r="G25" s="824">
        <f t="shared" si="4"/>
        <v>0</v>
      </c>
      <c r="H25" s="824">
        <f t="shared" si="4"/>
        <v>0</v>
      </c>
      <c r="I25" s="824">
        <f t="shared" si="4"/>
        <v>0</v>
      </c>
      <c r="J25" s="824">
        <f t="shared" si="4"/>
        <v>0</v>
      </c>
      <c r="K25" s="824">
        <f t="shared" si="4"/>
        <v>0</v>
      </c>
      <c r="L25" s="824">
        <f t="shared" si="4"/>
        <v>0</v>
      </c>
      <c r="M25" s="824">
        <f t="shared" si="4"/>
        <v>0</v>
      </c>
      <c r="N25" s="824">
        <f t="shared" si="4"/>
        <v>0</v>
      </c>
      <c r="O25" s="824">
        <f t="shared" si="4"/>
        <v>0</v>
      </c>
      <c r="P25" s="824">
        <f t="shared" si="4"/>
        <v>0</v>
      </c>
      <c r="Q25" s="824">
        <f t="shared" si="4"/>
        <v>0</v>
      </c>
      <c r="R25" s="824">
        <f t="shared" si="4"/>
        <v>0</v>
      </c>
    </row>
    <row r="26" spans="1:18" x14ac:dyDescent="0.3">
      <c r="A26" s="830" t="s">
        <v>108</v>
      </c>
      <c r="B26" s="831"/>
      <c r="C26" s="832"/>
      <c r="D26" s="832"/>
      <c r="E26" s="832"/>
      <c r="F26" s="832"/>
      <c r="G26" s="832"/>
      <c r="H26" s="832"/>
      <c r="I26" s="832"/>
      <c r="J26" s="832"/>
      <c r="K26" s="832"/>
      <c r="L26" s="832"/>
      <c r="M26" s="832"/>
      <c r="N26" s="832"/>
      <c r="O26" s="833"/>
      <c r="P26" s="831"/>
      <c r="Q26" s="834"/>
      <c r="R26" s="835"/>
    </row>
    <row r="27" spans="1:18" x14ac:dyDescent="0.3">
      <c r="A27" s="830" t="s">
        <v>4234</v>
      </c>
      <c r="B27" s="831"/>
      <c r="C27" s="832"/>
      <c r="D27" s="832"/>
      <c r="E27" s="832"/>
      <c r="F27" s="832"/>
      <c r="G27" s="832"/>
      <c r="H27" s="832"/>
      <c r="I27" s="832"/>
      <c r="J27" s="832"/>
      <c r="K27" s="832"/>
      <c r="L27" s="832"/>
      <c r="M27" s="832"/>
      <c r="N27" s="832"/>
      <c r="O27" s="833"/>
      <c r="P27" s="831"/>
      <c r="Q27" s="834"/>
      <c r="R27" s="835"/>
    </row>
    <row r="28" spans="1:18" x14ac:dyDescent="0.3">
      <c r="A28" s="830" t="s">
        <v>107</v>
      </c>
      <c r="B28" s="831"/>
      <c r="C28" s="832"/>
      <c r="D28" s="832"/>
      <c r="E28" s="832"/>
      <c r="F28" s="832"/>
      <c r="G28" s="832"/>
      <c r="H28" s="832"/>
      <c r="I28" s="832"/>
      <c r="J28" s="832"/>
      <c r="K28" s="832"/>
      <c r="L28" s="832"/>
      <c r="M28" s="832"/>
      <c r="N28" s="832"/>
      <c r="O28" s="833"/>
      <c r="P28" s="831"/>
      <c r="Q28" s="834"/>
      <c r="R28" s="835"/>
    </row>
    <row r="29" spans="1:18" x14ac:dyDescent="0.3">
      <c r="A29" s="830" t="s">
        <v>4235</v>
      </c>
      <c r="B29" s="831"/>
      <c r="C29" s="832"/>
      <c r="D29" s="832"/>
      <c r="E29" s="832"/>
      <c r="F29" s="832"/>
      <c r="G29" s="832"/>
      <c r="H29" s="832"/>
      <c r="I29" s="832"/>
      <c r="J29" s="832"/>
      <c r="K29" s="832"/>
      <c r="L29" s="832"/>
      <c r="M29" s="832"/>
      <c r="N29" s="832"/>
      <c r="O29" s="833"/>
      <c r="P29" s="831"/>
      <c r="Q29" s="834"/>
      <c r="R29" s="835"/>
    </row>
    <row r="30" spans="1:18" x14ac:dyDescent="0.3">
      <c r="A30" s="830" t="s">
        <v>4236</v>
      </c>
      <c r="B30" s="831"/>
      <c r="C30" s="832"/>
      <c r="D30" s="832"/>
      <c r="E30" s="832"/>
      <c r="F30" s="832"/>
      <c r="G30" s="832"/>
      <c r="H30" s="832"/>
      <c r="I30" s="832"/>
      <c r="J30" s="832"/>
      <c r="K30" s="832"/>
      <c r="L30" s="832"/>
      <c r="M30" s="832"/>
      <c r="N30" s="832"/>
      <c r="O30" s="833"/>
      <c r="P30" s="831"/>
      <c r="Q30" s="834"/>
      <c r="R30" s="835"/>
    </row>
    <row r="31" spans="1:18" x14ac:dyDescent="0.3">
      <c r="A31" s="830" t="s">
        <v>4237</v>
      </c>
      <c r="B31" s="831"/>
      <c r="C31" s="832"/>
      <c r="D31" s="832"/>
      <c r="E31" s="832"/>
      <c r="F31" s="832"/>
      <c r="G31" s="832"/>
      <c r="H31" s="832"/>
      <c r="I31" s="832"/>
      <c r="J31" s="832"/>
      <c r="K31" s="832"/>
      <c r="L31" s="832"/>
      <c r="M31" s="832"/>
      <c r="N31" s="832"/>
      <c r="O31" s="833"/>
      <c r="P31" s="831"/>
      <c r="Q31" s="834"/>
      <c r="R31" s="835"/>
    </row>
    <row r="32" spans="1:18" x14ac:dyDescent="0.3">
      <c r="A32" s="830" t="s">
        <v>4238</v>
      </c>
      <c r="B32" s="831"/>
      <c r="C32" s="832"/>
      <c r="D32" s="832"/>
      <c r="E32" s="832"/>
      <c r="F32" s="832"/>
      <c r="G32" s="832"/>
      <c r="H32" s="832"/>
      <c r="I32" s="832"/>
      <c r="J32" s="832"/>
      <c r="K32" s="832"/>
      <c r="L32" s="832"/>
      <c r="M32" s="832"/>
      <c r="N32" s="832"/>
      <c r="O32" s="833"/>
      <c r="P32" s="831"/>
      <c r="Q32" s="834"/>
      <c r="R32" s="835"/>
    </row>
    <row r="33" spans="1:18" ht="14.4" thickBot="1" x14ac:dyDescent="0.35">
      <c r="A33" s="844" t="s">
        <v>3319</v>
      </c>
      <c r="B33" s="831"/>
      <c r="C33" s="832"/>
      <c r="D33" s="832"/>
      <c r="E33" s="832"/>
      <c r="F33" s="832"/>
      <c r="G33" s="832"/>
      <c r="H33" s="832"/>
      <c r="I33" s="832"/>
      <c r="J33" s="832"/>
      <c r="K33" s="832"/>
      <c r="L33" s="832"/>
      <c r="M33" s="832"/>
      <c r="N33" s="832"/>
      <c r="O33" s="833"/>
      <c r="P33" s="831"/>
      <c r="Q33" s="834"/>
      <c r="R33" s="835"/>
    </row>
    <row r="34" spans="1:18" ht="14.4" thickBot="1" x14ac:dyDescent="0.35">
      <c r="A34" s="841" t="s">
        <v>2690</v>
      </c>
      <c r="B34" s="842"/>
      <c r="C34" s="845"/>
      <c r="D34" s="845"/>
      <c r="E34" s="845"/>
      <c r="F34" s="845"/>
      <c r="G34" s="845"/>
      <c r="H34" s="845"/>
      <c r="I34" s="845"/>
      <c r="J34" s="845"/>
      <c r="K34" s="845"/>
      <c r="L34" s="845"/>
      <c r="M34" s="845"/>
      <c r="N34" s="845"/>
      <c r="O34" s="846"/>
      <c r="P34" s="842"/>
      <c r="Q34" s="847"/>
      <c r="R34" s="848"/>
    </row>
    <row r="36" spans="1:18" ht="14.4" thickBot="1" x14ac:dyDescent="0.35"/>
    <row r="37" spans="1:18" x14ac:dyDescent="0.3">
      <c r="A37" s="1117" t="s">
        <v>3365</v>
      </c>
      <c r="B37" s="1118"/>
      <c r="C37" s="1118"/>
      <c r="D37" s="1118"/>
      <c r="E37" s="1118"/>
      <c r="F37" s="1118"/>
      <c r="G37" s="1118"/>
      <c r="H37" s="1118"/>
      <c r="I37" s="1118"/>
      <c r="J37" s="1118"/>
      <c r="K37" s="1118"/>
      <c r="L37" s="1118"/>
      <c r="M37" s="1118"/>
      <c r="N37" s="1118"/>
      <c r="O37" s="1118"/>
      <c r="P37" s="1118"/>
      <c r="Q37" s="1118"/>
      <c r="R37" s="1119"/>
    </row>
    <row r="38" spans="1:18" ht="14.4" thickBot="1" x14ac:dyDescent="0.35">
      <c r="A38" s="1120"/>
      <c r="B38" s="1121"/>
      <c r="C38" s="1121"/>
      <c r="D38" s="1121"/>
      <c r="E38" s="1121"/>
      <c r="F38" s="1121"/>
      <c r="G38" s="1121"/>
      <c r="H38" s="1121"/>
      <c r="I38" s="1121"/>
      <c r="J38" s="1121"/>
      <c r="K38" s="1121"/>
      <c r="L38" s="1121"/>
      <c r="M38" s="1121"/>
      <c r="N38" s="1121"/>
      <c r="O38" s="1121"/>
      <c r="P38" s="1121"/>
      <c r="Q38" s="1121"/>
      <c r="R38" s="1122"/>
    </row>
    <row r="39" spans="1:18" ht="26.25" customHeight="1" x14ac:dyDescent="0.3">
      <c r="A39" s="1123" t="s">
        <v>3296</v>
      </c>
      <c r="B39" s="1125" t="s">
        <v>3297</v>
      </c>
      <c r="C39" s="1126"/>
      <c r="D39" s="1126" t="s">
        <v>3298</v>
      </c>
      <c r="E39" s="1126"/>
      <c r="F39" s="1126" t="s">
        <v>3299</v>
      </c>
      <c r="G39" s="1126"/>
      <c r="H39" s="1126" t="s">
        <v>3300</v>
      </c>
      <c r="I39" s="1126"/>
      <c r="J39" s="1127" t="s">
        <v>3301</v>
      </c>
      <c r="K39" s="1125"/>
      <c r="L39" s="1126" t="s">
        <v>3302</v>
      </c>
      <c r="M39" s="1126"/>
      <c r="N39" s="1128" t="s">
        <v>2690</v>
      </c>
      <c r="O39" s="1129"/>
      <c r="P39" s="1132" t="s">
        <v>3303</v>
      </c>
      <c r="Q39" s="796" t="s">
        <v>3304</v>
      </c>
      <c r="R39" s="1123" t="s">
        <v>3305</v>
      </c>
    </row>
    <row r="40" spans="1:18" x14ac:dyDescent="0.3">
      <c r="A40" s="1124"/>
      <c r="B40" s="1134" t="s">
        <v>3306</v>
      </c>
      <c r="C40" s="1116"/>
      <c r="D40" s="1116" t="s">
        <v>3307</v>
      </c>
      <c r="E40" s="1116"/>
      <c r="F40" s="1116" t="s">
        <v>3308</v>
      </c>
      <c r="G40" s="1116"/>
      <c r="H40" s="1116" t="s">
        <v>3309</v>
      </c>
      <c r="I40" s="1116"/>
      <c r="J40" s="1116" t="s">
        <v>3310</v>
      </c>
      <c r="K40" s="1116"/>
      <c r="L40" s="1116" t="s">
        <v>3311</v>
      </c>
      <c r="M40" s="1116"/>
      <c r="N40" s="1130"/>
      <c r="O40" s="1131"/>
      <c r="P40" s="1133"/>
      <c r="Q40" s="797" t="s">
        <v>3312</v>
      </c>
      <c r="R40" s="1124"/>
    </row>
    <row r="41" spans="1:18" ht="14.4" thickBot="1" x14ac:dyDescent="0.35">
      <c r="A41" s="798" t="s">
        <v>3313</v>
      </c>
      <c r="B41" s="799" t="s">
        <v>3314</v>
      </c>
      <c r="C41" s="800" t="s">
        <v>3315</v>
      </c>
      <c r="D41" s="800" t="s">
        <v>3314</v>
      </c>
      <c r="E41" s="800" t="s">
        <v>3315</v>
      </c>
      <c r="F41" s="800" t="s">
        <v>3314</v>
      </c>
      <c r="G41" s="800" t="s">
        <v>3315</v>
      </c>
      <c r="H41" s="800" t="s">
        <v>3314</v>
      </c>
      <c r="I41" s="800" t="s">
        <v>3315</v>
      </c>
      <c r="J41" s="800" t="s">
        <v>3314</v>
      </c>
      <c r="K41" s="800" t="s">
        <v>3315</v>
      </c>
      <c r="L41" s="800" t="s">
        <v>3314</v>
      </c>
      <c r="M41" s="800" t="s">
        <v>3315</v>
      </c>
      <c r="N41" s="800" t="s">
        <v>3314</v>
      </c>
      <c r="O41" s="801" t="s">
        <v>3315</v>
      </c>
      <c r="P41" s="802" t="s">
        <v>3314</v>
      </c>
      <c r="Q41" s="803" t="s">
        <v>3314</v>
      </c>
      <c r="R41" s="804" t="s">
        <v>3314</v>
      </c>
    </row>
    <row r="42" spans="1:18" x14ac:dyDescent="0.3">
      <c r="A42" s="843" t="s">
        <v>3316</v>
      </c>
      <c r="B42" s="811"/>
      <c r="C42" s="812"/>
      <c r="D42" s="812"/>
      <c r="E42" s="812"/>
      <c r="F42" s="812"/>
      <c r="G42" s="812"/>
      <c r="H42" s="812"/>
      <c r="I42" s="812"/>
      <c r="J42" s="812"/>
      <c r="K42" s="812"/>
      <c r="L42" s="812"/>
      <c r="M42" s="812"/>
      <c r="N42" s="812"/>
      <c r="O42" s="813"/>
      <c r="P42" s="811"/>
      <c r="Q42" s="814"/>
      <c r="R42" s="815"/>
    </row>
    <row r="43" spans="1:18" x14ac:dyDescent="0.3">
      <c r="A43" s="822" t="s">
        <v>4220</v>
      </c>
      <c r="B43" s="811"/>
      <c r="C43" s="812"/>
      <c r="D43" s="812"/>
      <c r="E43" s="812"/>
      <c r="F43" s="812"/>
      <c r="G43" s="812"/>
      <c r="H43" s="812"/>
      <c r="I43" s="812"/>
      <c r="J43" s="812"/>
      <c r="K43" s="812"/>
      <c r="L43" s="812"/>
      <c r="M43" s="812"/>
      <c r="N43" s="812">
        <f>B43+D43+F43+H43+J43+L43</f>
        <v>0</v>
      </c>
      <c r="O43" s="813">
        <f>C43+E43+G43+K43+M43</f>
        <v>0</v>
      </c>
      <c r="P43" s="811"/>
      <c r="Q43" s="814"/>
      <c r="R43" s="815">
        <f>N43+P43+Q43</f>
        <v>0</v>
      </c>
    </row>
    <row r="44" spans="1:18" x14ac:dyDescent="0.3">
      <c r="A44" s="822" t="s">
        <v>4221</v>
      </c>
      <c r="B44" s="811"/>
      <c r="C44" s="812"/>
      <c r="D44" s="812"/>
      <c r="E44" s="812"/>
      <c r="F44" s="812"/>
      <c r="G44" s="812"/>
      <c r="H44" s="812"/>
      <c r="I44" s="812"/>
      <c r="J44" s="812"/>
      <c r="K44" s="812"/>
      <c r="L44" s="812"/>
      <c r="M44" s="812"/>
      <c r="N44" s="812">
        <f t="shared" ref="N44:N58" si="5">B44+D44+F44+H44+J44+L44</f>
        <v>0</v>
      </c>
      <c r="O44" s="813">
        <f t="shared" ref="O44:O58" si="6">C44+E44+G44+K44+M44</f>
        <v>0</v>
      </c>
      <c r="P44" s="811"/>
      <c r="Q44" s="814"/>
      <c r="R44" s="815">
        <f t="shared" ref="R44:R58" si="7">N44+P44+Q44</f>
        <v>0</v>
      </c>
    </row>
    <row r="45" spans="1:18" x14ac:dyDescent="0.3">
      <c r="A45" s="822" t="s">
        <v>4222</v>
      </c>
      <c r="B45" s="811"/>
      <c r="C45" s="812"/>
      <c r="D45" s="812"/>
      <c r="E45" s="812"/>
      <c r="F45" s="812"/>
      <c r="G45" s="812"/>
      <c r="H45" s="812"/>
      <c r="I45" s="812"/>
      <c r="J45" s="812"/>
      <c r="K45" s="812"/>
      <c r="L45" s="812"/>
      <c r="M45" s="812"/>
      <c r="N45" s="812">
        <f t="shared" si="5"/>
        <v>0</v>
      </c>
      <c r="O45" s="813">
        <f t="shared" si="6"/>
        <v>0</v>
      </c>
      <c r="P45" s="811"/>
      <c r="Q45" s="814"/>
      <c r="R45" s="815">
        <f t="shared" si="7"/>
        <v>0</v>
      </c>
    </row>
    <row r="46" spans="1:18" x14ac:dyDescent="0.3">
      <c r="A46" s="822" t="s">
        <v>4223</v>
      </c>
      <c r="B46" s="811"/>
      <c r="C46" s="812"/>
      <c r="D46" s="812"/>
      <c r="E46" s="812"/>
      <c r="F46" s="812"/>
      <c r="G46" s="812"/>
      <c r="H46" s="812"/>
      <c r="I46" s="812"/>
      <c r="J46" s="812"/>
      <c r="K46" s="812"/>
      <c r="L46" s="812"/>
      <c r="M46" s="812"/>
      <c r="N46" s="812">
        <f t="shared" si="5"/>
        <v>0</v>
      </c>
      <c r="O46" s="813">
        <f t="shared" si="6"/>
        <v>0</v>
      </c>
      <c r="P46" s="811"/>
      <c r="Q46" s="814"/>
      <c r="R46" s="815">
        <f t="shared" si="7"/>
        <v>0</v>
      </c>
    </row>
    <row r="47" spans="1:18" x14ac:dyDescent="0.3">
      <c r="A47" s="822" t="s">
        <v>4224</v>
      </c>
      <c r="B47" s="811"/>
      <c r="C47" s="812"/>
      <c r="D47" s="812"/>
      <c r="E47" s="812"/>
      <c r="F47" s="812"/>
      <c r="G47" s="812"/>
      <c r="H47" s="812"/>
      <c r="I47" s="812"/>
      <c r="J47" s="812"/>
      <c r="K47" s="812"/>
      <c r="L47" s="812"/>
      <c r="M47" s="812"/>
      <c r="N47" s="812">
        <f t="shared" si="5"/>
        <v>0</v>
      </c>
      <c r="O47" s="813">
        <f t="shared" si="6"/>
        <v>0</v>
      </c>
      <c r="P47" s="811"/>
      <c r="Q47" s="814"/>
      <c r="R47" s="815">
        <f t="shared" si="7"/>
        <v>0</v>
      </c>
    </row>
    <row r="48" spans="1:18" x14ac:dyDescent="0.3">
      <c r="A48" s="822" t="s">
        <v>4225</v>
      </c>
      <c r="B48" s="811"/>
      <c r="C48" s="812"/>
      <c r="D48" s="812"/>
      <c r="E48" s="812"/>
      <c r="F48" s="812"/>
      <c r="G48" s="812"/>
      <c r="H48" s="812"/>
      <c r="I48" s="812"/>
      <c r="J48" s="812"/>
      <c r="K48" s="812"/>
      <c r="L48" s="812"/>
      <c r="M48" s="812"/>
      <c r="N48" s="812">
        <f t="shared" si="5"/>
        <v>0</v>
      </c>
      <c r="O48" s="813">
        <f t="shared" si="6"/>
        <v>0</v>
      </c>
      <c r="P48" s="811"/>
      <c r="Q48" s="814"/>
      <c r="R48" s="815">
        <f t="shared" si="7"/>
        <v>0</v>
      </c>
    </row>
    <row r="49" spans="1:18" x14ac:dyDescent="0.3">
      <c r="A49" s="822" t="s">
        <v>4226</v>
      </c>
      <c r="B49" s="811"/>
      <c r="C49" s="812"/>
      <c r="D49" s="812"/>
      <c r="E49" s="812"/>
      <c r="F49" s="812"/>
      <c r="G49" s="812"/>
      <c r="H49" s="812"/>
      <c r="I49" s="812"/>
      <c r="J49" s="812"/>
      <c r="K49" s="812"/>
      <c r="L49" s="812"/>
      <c r="M49" s="812"/>
      <c r="N49" s="812">
        <f t="shared" si="5"/>
        <v>0</v>
      </c>
      <c r="O49" s="813">
        <f t="shared" si="6"/>
        <v>0</v>
      </c>
      <c r="P49" s="811"/>
      <c r="Q49" s="814"/>
      <c r="R49" s="815">
        <f t="shared" si="7"/>
        <v>0</v>
      </c>
    </row>
    <row r="50" spans="1:18" x14ac:dyDescent="0.3">
      <c r="A50" s="822" t="s">
        <v>4227</v>
      </c>
      <c r="B50" s="811"/>
      <c r="C50" s="812"/>
      <c r="D50" s="812"/>
      <c r="E50" s="812"/>
      <c r="F50" s="812"/>
      <c r="G50" s="812"/>
      <c r="H50" s="812"/>
      <c r="I50" s="812"/>
      <c r="J50" s="812"/>
      <c r="K50" s="812"/>
      <c r="L50" s="812"/>
      <c r="M50" s="812"/>
      <c r="N50" s="812">
        <f t="shared" si="5"/>
        <v>0</v>
      </c>
      <c r="O50" s="813">
        <f t="shared" si="6"/>
        <v>0</v>
      </c>
      <c r="P50" s="811"/>
      <c r="Q50" s="814"/>
      <c r="R50" s="815">
        <f t="shared" si="7"/>
        <v>0</v>
      </c>
    </row>
    <row r="51" spans="1:18" x14ac:dyDescent="0.3">
      <c r="A51" s="822" t="s">
        <v>4240</v>
      </c>
      <c r="B51" s="811"/>
      <c r="C51" s="812"/>
      <c r="D51" s="812"/>
      <c r="E51" s="812"/>
      <c r="F51" s="812"/>
      <c r="G51" s="812"/>
      <c r="H51" s="812"/>
      <c r="I51" s="812"/>
      <c r="J51" s="812"/>
      <c r="K51" s="812"/>
      <c r="L51" s="812"/>
      <c r="M51" s="812"/>
      <c r="N51" s="812">
        <f t="shared" si="5"/>
        <v>0</v>
      </c>
      <c r="O51" s="813">
        <f t="shared" si="6"/>
        <v>0</v>
      </c>
      <c r="P51" s="811"/>
      <c r="Q51" s="814"/>
      <c r="R51" s="815">
        <f t="shared" si="7"/>
        <v>0</v>
      </c>
    </row>
    <row r="52" spans="1:18" x14ac:dyDescent="0.3">
      <c r="A52" s="822" t="s">
        <v>4228</v>
      </c>
      <c r="B52" s="811"/>
      <c r="C52" s="812"/>
      <c r="D52" s="812"/>
      <c r="E52" s="812"/>
      <c r="F52" s="812"/>
      <c r="G52" s="812"/>
      <c r="H52" s="812"/>
      <c r="I52" s="812"/>
      <c r="J52" s="812"/>
      <c r="K52" s="812"/>
      <c r="L52" s="812"/>
      <c r="M52" s="812"/>
      <c r="N52" s="812">
        <f t="shared" si="5"/>
        <v>0</v>
      </c>
      <c r="O52" s="813">
        <f t="shared" si="6"/>
        <v>0</v>
      </c>
      <c r="P52" s="811"/>
      <c r="Q52" s="814"/>
      <c r="R52" s="815">
        <f t="shared" si="7"/>
        <v>0</v>
      </c>
    </row>
    <row r="53" spans="1:18" x14ac:dyDescent="0.3">
      <c r="A53" s="822" t="s">
        <v>4229</v>
      </c>
      <c r="B53" s="811"/>
      <c r="C53" s="812"/>
      <c r="D53" s="812"/>
      <c r="E53" s="812"/>
      <c r="F53" s="812"/>
      <c r="G53" s="812"/>
      <c r="H53" s="812"/>
      <c r="I53" s="812"/>
      <c r="J53" s="812"/>
      <c r="K53" s="812"/>
      <c r="L53" s="812"/>
      <c r="M53" s="812"/>
      <c r="N53" s="812">
        <f t="shared" si="5"/>
        <v>0</v>
      </c>
      <c r="O53" s="813">
        <f t="shared" si="6"/>
        <v>0</v>
      </c>
      <c r="P53" s="811"/>
      <c r="Q53" s="814"/>
      <c r="R53" s="815">
        <f t="shared" si="7"/>
        <v>0</v>
      </c>
    </row>
    <row r="54" spans="1:18" x14ac:dyDescent="0.3">
      <c r="A54" s="822" t="s">
        <v>4230</v>
      </c>
      <c r="B54" s="811"/>
      <c r="C54" s="812"/>
      <c r="D54" s="812"/>
      <c r="E54" s="812"/>
      <c r="F54" s="812"/>
      <c r="G54" s="812"/>
      <c r="H54" s="812"/>
      <c r="I54" s="812"/>
      <c r="J54" s="812"/>
      <c r="K54" s="812"/>
      <c r="L54" s="812"/>
      <c r="M54" s="812"/>
      <c r="N54" s="812">
        <f t="shared" si="5"/>
        <v>0</v>
      </c>
      <c r="O54" s="813">
        <f t="shared" si="6"/>
        <v>0</v>
      </c>
      <c r="P54" s="811"/>
      <c r="Q54" s="814"/>
      <c r="R54" s="815">
        <f t="shared" si="7"/>
        <v>0</v>
      </c>
    </row>
    <row r="55" spans="1:18" x14ac:dyDescent="0.3">
      <c r="A55" s="822" t="s">
        <v>4231</v>
      </c>
      <c r="B55" s="811"/>
      <c r="C55" s="812"/>
      <c r="D55" s="812"/>
      <c r="E55" s="812"/>
      <c r="F55" s="812"/>
      <c r="G55" s="812"/>
      <c r="H55" s="812"/>
      <c r="I55" s="812"/>
      <c r="J55" s="812"/>
      <c r="K55" s="812"/>
      <c r="L55" s="812"/>
      <c r="M55" s="812"/>
      <c r="N55" s="812">
        <f t="shared" si="5"/>
        <v>0</v>
      </c>
      <c r="O55" s="813">
        <f t="shared" si="6"/>
        <v>0</v>
      </c>
      <c r="P55" s="811"/>
      <c r="Q55" s="814"/>
      <c r="R55" s="815">
        <f t="shared" si="7"/>
        <v>0</v>
      </c>
    </row>
    <row r="56" spans="1:18" x14ac:dyDescent="0.3">
      <c r="A56" s="822" t="s">
        <v>4232</v>
      </c>
      <c r="B56" s="811"/>
      <c r="C56" s="812"/>
      <c r="D56" s="812"/>
      <c r="E56" s="812"/>
      <c r="F56" s="812"/>
      <c r="G56" s="812"/>
      <c r="H56" s="812"/>
      <c r="I56" s="812"/>
      <c r="J56" s="812"/>
      <c r="K56" s="812"/>
      <c r="L56" s="812"/>
      <c r="M56" s="812"/>
      <c r="N56" s="812">
        <f t="shared" si="5"/>
        <v>0</v>
      </c>
      <c r="O56" s="813">
        <f t="shared" si="6"/>
        <v>0</v>
      </c>
      <c r="P56" s="811"/>
      <c r="Q56" s="814"/>
      <c r="R56" s="815">
        <f t="shared" si="7"/>
        <v>0</v>
      </c>
    </row>
    <row r="57" spans="1:18" x14ac:dyDescent="0.3">
      <c r="A57" s="822" t="s">
        <v>4233</v>
      </c>
      <c r="B57" s="811"/>
      <c r="C57" s="812"/>
      <c r="D57" s="812"/>
      <c r="E57" s="812"/>
      <c r="F57" s="812"/>
      <c r="G57" s="812"/>
      <c r="H57" s="812"/>
      <c r="I57" s="812"/>
      <c r="J57" s="812"/>
      <c r="K57" s="812"/>
      <c r="L57" s="812"/>
      <c r="M57" s="812"/>
      <c r="N57" s="812">
        <f t="shared" si="5"/>
        <v>0</v>
      </c>
      <c r="O57" s="813">
        <f t="shared" si="6"/>
        <v>0</v>
      </c>
      <c r="P57" s="811"/>
      <c r="Q57" s="814"/>
      <c r="R57" s="815">
        <f t="shared" si="7"/>
        <v>0</v>
      </c>
    </row>
    <row r="58" spans="1:18" x14ac:dyDescent="0.3">
      <c r="A58" s="822" t="s">
        <v>4241</v>
      </c>
      <c r="B58" s="811"/>
      <c r="C58" s="812"/>
      <c r="D58" s="812"/>
      <c r="E58" s="812"/>
      <c r="F58" s="812"/>
      <c r="G58" s="812"/>
      <c r="H58" s="812"/>
      <c r="I58" s="812"/>
      <c r="J58" s="812"/>
      <c r="K58" s="812"/>
      <c r="L58" s="812"/>
      <c r="M58" s="812"/>
      <c r="N58" s="812">
        <f t="shared" si="5"/>
        <v>0</v>
      </c>
      <c r="O58" s="813">
        <f t="shared" si="6"/>
        <v>0</v>
      </c>
      <c r="P58" s="811"/>
      <c r="Q58" s="814"/>
      <c r="R58" s="815">
        <f t="shared" si="7"/>
        <v>0</v>
      </c>
    </row>
    <row r="59" spans="1:18" x14ac:dyDescent="0.3">
      <c r="A59" s="816" t="s">
        <v>17</v>
      </c>
      <c r="B59" s="817">
        <f t="shared" ref="B59:R59" si="8">SUM(B43:B58)</f>
        <v>0</v>
      </c>
      <c r="C59" s="817">
        <f t="shared" si="8"/>
        <v>0</v>
      </c>
      <c r="D59" s="817">
        <f t="shared" si="8"/>
        <v>0</v>
      </c>
      <c r="E59" s="817">
        <f t="shared" si="8"/>
        <v>0</v>
      </c>
      <c r="F59" s="817">
        <f t="shared" si="8"/>
        <v>0</v>
      </c>
      <c r="G59" s="817">
        <f t="shared" si="8"/>
        <v>0</v>
      </c>
      <c r="H59" s="817">
        <f t="shared" si="8"/>
        <v>0</v>
      </c>
      <c r="I59" s="817">
        <f t="shared" si="8"/>
        <v>0</v>
      </c>
      <c r="J59" s="817">
        <f t="shared" si="8"/>
        <v>0</v>
      </c>
      <c r="K59" s="817">
        <f t="shared" si="8"/>
        <v>0</v>
      </c>
      <c r="L59" s="817">
        <f t="shared" si="8"/>
        <v>0</v>
      </c>
      <c r="M59" s="817">
        <f t="shared" si="8"/>
        <v>0</v>
      </c>
      <c r="N59" s="817">
        <f t="shared" si="8"/>
        <v>0</v>
      </c>
      <c r="O59" s="817">
        <f t="shared" si="8"/>
        <v>0</v>
      </c>
      <c r="P59" s="817">
        <f t="shared" si="8"/>
        <v>0</v>
      </c>
      <c r="Q59" s="817">
        <f t="shared" si="8"/>
        <v>0</v>
      </c>
      <c r="R59" s="817">
        <f t="shared" si="8"/>
        <v>0</v>
      </c>
    </row>
    <row r="60" spans="1:18" x14ac:dyDescent="0.3">
      <c r="A60" s="135" t="s">
        <v>3317</v>
      </c>
      <c r="B60" s="824"/>
      <c r="C60" s="825"/>
      <c r="D60" s="825"/>
      <c r="E60" s="825"/>
      <c r="F60" s="825"/>
      <c r="G60" s="825"/>
      <c r="H60" s="825"/>
      <c r="I60" s="825"/>
      <c r="J60" s="825"/>
      <c r="K60" s="825"/>
      <c r="L60" s="825"/>
      <c r="M60" s="825"/>
      <c r="N60" s="825"/>
      <c r="O60" s="826"/>
      <c r="P60" s="824"/>
      <c r="Q60" s="827"/>
      <c r="R60" s="828"/>
    </row>
    <row r="61" spans="1:18" x14ac:dyDescent="0.3">
      <c r="A61" s="829" t="s">
        <v>3318</v>
      </c>
      <c r="B61" s="824">
        <f t="shared" ref="B61:R61" si="9">SUM(B62:B68)</f>
        <v>0</v>
      </c>
      <c r="C61" s="824">
        <f t="shared" si="9"/>
        <v>0</v>
      </c>
      <c r="D61" s="824">
        <f t="shared" si="9"/>
        <v>0</v>
      </c>
      <c r="E61" s="824">
        <f t="shared" si="9"/>
        <v>0</v>
      </c>
      <c r="F61" s="824">
        <f t="shared" si="9"/>
        <v>0</v>
      </c>
      <c r="G61" s="824">
        <f t="shared" si="9"/>
        <v>0</v>
      </c>
      <c r="H61" s="824">
        <f t="shared" si="9"/>
        <v>0</v>
      </c>
      <c r="I61" s="824">
        <f t="shared" si="9"/>
        <v>0</v>
      </c>
      <c r="J61" s="824">
        <f t="shared" si="9"/>
        <v>0</v>
      </c>
      <c r="K61" s="824">
        <f t="shared" si="9"/>
        <v>0</v>
      </c>
      <c r="L61" s="824">
        <f t="shared" si="9"/>
        <v>0</v>
      </c>
      <c r="M61" s="824">
        <f t="shared" si="9"/>
        <v>0</v>
      </c>
      <c r="N61" s="824">
        <f t="shared" si="9"/>
        <v>0</v>
      </c>
      <c r="O61" s="824">
        <f t="shared" si="9"/>
        <v>0</v>
      </c>
      <c r="P61" s="824">
        <f t="shared" si="9"/>
        <v>0</v>
      </c>
      <c r="Q61" s="824">
        <f t="shared" si="9"/>
        <v>0</v>
      </c>
      <c r="R61" s="824">
        <f t="shared" si="9"/>
        <v>0</v>
      </c>
    </row>
    <row r="62" spans="1:18" x14ac:dyDescent="0.3">
      <c r="A62" s="830" t="s">
        <v>108</v>
      </c>
      <c r="B62" s="831"/>
      <c r="C62" s="832"/>
      <c r="D62" s="832"/>
      <c r="E62" s="832"/>
      <c r="F62" s="832"/>
      <c r="G62" s="832"/>
      <c r="H62" s="832"/>
      <c r="I62" s="832"/>
      <c r="J62" s="832"/>
      <c r="K62" s="832"/>
      <c r="L62" s="832"/>
      <c r="M62" s="832"/>
      <c r="N62" s="832"/>
      <c r="O62" s="833"/>
      <c r="P62" s="831"/>
      <c r="Q62" s="834"/>
      <c r="R62" s="835"/>
    </row>
    <row r="63" spans="1:18" x14ac:dyDescent="0.3">
      <c r="A63" s="830" t="s">
        <v>4234</v>
      </c>
      <c r="B63" s="831"/>
      <c r="C63" s="832"/>
      <c r="D63" s="832"/>
      <c r="E63" s="832"/>
      <c r="F63" s="832"/>
      <c r="G63" s="832"/>
      <c r="H63" s="832"/>
      <c r="I63" s="832"/>
      <c r="J63" s="832"/>
      <c r="K63" s="832"/>
      <c r="L63" s="832"/>
      <c r="M63" s="832"/>
      <c r="N63" s="832"/>
      <c r="O63" s="833"/>
      <c r="P63" s="831"/>
      <c r="Q63" s="834"/>
      <c r="R63" s="835"/>
    </row>
    <row r="64" spans="1:18" x14ac:dyDescent="0.3">
      <c r="A64" s="830" t="s">
        <v>107</v>
      </c>
      <c r="B64" s="831"/>
      <c r="C64" s="832"/>
      <c r="D64" s="832"/>
      <c r="E64" s="832"/>
      <c r="F64" s="832"/>
      <c r="G64" s="832"/>
      <c r="H64" s="832"/>
      <c r="I64" s="832"/>
      <c r="J64" s="832"/>
      <c r="K64" s="832"/>
      <c r="L64" s="832"/>
      <c r="M64" s="832"/>
      <c r="N64" s="832"/>
      <c r="O64" s="833"/>
      <c r="P64" s="831"/>
      <c r="Q64" s="834"/>
      <c r="R64" s="835"/>
    </row>
    <row r="65" spans="1:18" x14ac:dyDescent="0.3">
      <c r="A65" s="830" t="s">
        <v>4235</v>
      </c>
      <c r="B65" s="831"/>
      <c r="C65" s="832"/>
      <c r="D65" s="832"/>
      <c r="E65" s="832"/>
      <c r="F65" s="832"/>
      <c r="G65" s="832"/>
      <c r="H65" s="832"/>
      <c r="I65" s="832"/>
      <c r="J65" s="832"/>
      <c r="K65" s="832"/>
      <c r="L65" s="832"/>
      <c r="M65" s="832"/>
      <c r="N65" s="832"/>
      <c r="O65" s="833"/>
      <c r="P65" s="831"/>
      <c r="Q65" s="834"/>
      <c r="R65" s="835"/>
    </row>
    <row r="66" spans="1:18" x14ac:dyDescent="0.3">
      <c r="A66" s="830" t="s">
        <v>4236</v>
      </c>
      <c r="B66" s="831"/>
      <c r="C66" s="832"/>
      <c r="D66" s="832"/>
      <c r="E66" s="832"/>
      <c r="F66" s="832"/>
      <c r="G66" s="832"/>
      <c r="H66" s="832"/>
      <c r="I66" s="832"/>
      <c r="J66" s="832"/>
      <c r="K66" s="832"/>
      <c r="L66" s="832"/>
      <c r="M66" s="832"/>
      <c r="N66" s="832"/>
      <c r="O66" s="833"/>
      <c r="P66" s="831"/>
      <c r="Q66" s="834"/>
      <c r="R66" s="835"/>
    </row>
    <row r="67" spans="1:18" x14ac:dyDescent="0.3">
      <c r="A67" s="830" t="s">
        <v>4237</v>
      </c>
      <c r="B67" s="831"/>
      <c r="C67" s="832"/>
      <c r="D67" s="832"/>
      <c r="E67" s="832"/>
      <c r="F67" s="832"/>
      <c r="G67" s="832"/>
      <c r="H67" s="832"/>
      <c r="I67" s="832"/>
      <c r="J67" s="832"/>
      <c r="K67" s="832"/>
      <c r="L67" s="832"/>
      <c r="M67" s="832"/>
      <c r="N67" s="832"/>
      <c r="O67" s="833"/>
      <c r="P67" s="831"/>
      <c r="Q67" s="834"/>
      <c r="R67" s="835"/>
    </row>
    <row r="68" spans="1:18" x14ac:dyDescent="0.3">
      <c r="A68" s="830" t="s">
        <v>4238</v>
      </c>
      <c r="B68" s="831"/>
      <c r="C68" s="832"/>
      <c r="D68" s="832"/>
      <c r="E68" s="832"/>
      <c r="F68" s="832"/>
      <c r="G68" s="832"/>
      <c r="H68" s="832"/>
      <c r="I68" s="832"/>
      <c r="J68" s="832"/>
      <c r="K68" s="832"/>
      <c r="L68" s="832"/>
      <c r="M68" s="832"/>
      <c r="N68" s="832"/>
      <c r="O68" s="833"/>
      <c r="P68" s="831"/>
      <c r="Q68" s="834"/>
      <c r="R68" s="835"/>
    </row>
    <row r="69" spans="1:18" ht="14.4" thickBot="1" x14ac:dyDescent="0.35">
      <c r="A69" s="844" t="s">
        <v>3319</v>
      </c>
      <c r="B69" s="831"/>
      <c r="C69" s="832"/>
      <c r="D69" s="832"/>
      <c r="E69" s="832"/>
      <c r="F69" s="832"/>
      <c r="G69" s="832"/>
      <c r="H69" s="832"/>
      <c r="I69" s="832"/>
      <c r="J69" s="832"/>
      <c r="K69" s="832"/>
      <c r="L69" s="832"/>
      <c r="M69" s="832"/>
      <c r="N69" s="832"/>
      <c r="O69" s="833"/>
      <c r="P69" s="831"/>
      <c r="Q69" s="834"/>
      <c r="R69" s="835"/>
    </row>
    <row r="70" spans="1:18" ht="14.4" thickBot="1" x14ac:dyDescent="0.35">
      <c r="A70" s="841" t="s">
        <v>2690</v>
      </c>
      <c r="B70" s="842"/>
      <c r="C70" s="845"/>
      <c r="D70" s="845"/>
      <c r="E70" s="845"/>
      <c r="F70" s="845"/>
      <c r="G70" s="845"/>
      <c r="H70" s="845"/>
      <c r="I70" s="845"/>
      <c r="J70" s="845"/>
      <c r="K70" s="845"/>
      <c r="L70" s="845"/>
      <c r="M70" s="845"/>
      <c r="N70" s="845"/>
      <c r="O70" s="846"/>
      <c r="P70" s="842"/>
      <c r="Q70" s="847"/>
      <c r="R70" s="848"/>
    </row>
  </sheetData>
  <mergeCells count="34">
    <mergeCell ref="A3:R4"/>
    <mergeCell ref="A5:A6"/>
    <mergeCell ref="B5:C5"/>
    <mergeCell ref="D5:E5"/>
    <mergeCell ref="F5:G5"/>
    <mergeCell ref="H5:I5"/>
    <mergeCell ref="J5:K5"/>
    <mergeCell ref="L5:M5"/>
    <mergeCell ref="N5:O6"/>
    <mergeCell ref="P5:P6"/>
    <mergeCell ref="R5:R6"/>
    <mergeCell ref="B6:C6"/>
    <mergeCell ref="N39:O40"/>
    <mergeCell ref="P39:P40"/>
    <mergeCell ref="J6:K6"/>
    <mergeCell ref="D6:E6"/>
    <mergeCell ref="D40:E40"/>
    <mergeCell ref="H40:I40"/>
    <mergeCell ref="R39:R40"/>
    <mergeCell ref="B40:C40"/>
    <mergeCell ref="L6:M6"/>
    <mergeCell ref="H6:I6"/>
    <mergeCell ref="J40:K40"/>
    <mergeCell ref="F40:G40"/>
    <mergeCell ref="F6:G6"/>
    <mergeCell ref="L40:M40"/>
    <mergeCell ref="A37:R38"/>
    <mergeCell ref="A39:A40"/>
    <mergeCell ref="B39:C39"/>
    <mergeCell ref="D39:E39"/>
    <mergeCell ref="F39:G39"/>
    <mergeCell ref="H39:I39"/>
    <mergeCell ref="J39:K39"/>
    <mergeCell ref="L39:M39"/>
  </mergeCells>
  <conditionalFormatting sqref="B52:I52 K52 P23:Q23">
    <cfRule type="cellIs" dxfId="14" priority="16" operator="equal">
      <formula>0</formula>
    </cfRule>
  </conditionalFormatting>
  <conditionalFormatting sqref="B35:M39 B50:M50 B41:M47 B53:M53 L52:M52 B51:I51 K51:M51">
    <cfRule type="cellIs" dxfId="13" priority="15" operator="equal">
      <formula>0</formula>
    </cfRule>
  </conditionalFormatting>
  <conditionalFormatting sqref="P35:Q39 P41:Q44">
    <cfRule type="cellIs" dxfId="12" priority="14" operator="equal">
      <formula>0</formula>
    </cfRule>
  </conditionalFormatting>
  <conditionalFormatting sqref="P45:Q47">
    <cfRule type="cellIs" dxfId="11" priority="13" operator="equal">
      <formula>0</formula>
    </cfRule>
  </conditionalFormatting>
  <conditionalFormatting sqref="P50:Q53">
    <cfRule type="cellIs" dxfId="10" priority="12" operator="equal">
      <formula>0</formula>
    </cfRule>
  </conditionalFormatting>
  <conditionalFormatting sqref="B40:M40">
    <cfRule type="cellIs" dxfId="9" priority="11" operator="equal">
      <formula>0</formula>
    </cfRule>
  </conditionalFormatting>
  <conditionalFormatting sqref="P40:Q40">
    <cfRule type="cellIs" dxfId="8" priority="10" operator="equal">
      <formula>0</formula>
    </cfRule>
  </conditionalFormatting>
  <conditionalFormatting sqref="J51:J52">
    <cfRule type="cellIs" dxfId="7" priority="9" operator="equal">
      <formula>0</formula>
    </cfRule>
  </conditionalFormatting>
  <conditionalFormatting sqref="B9:M13 B15:M21 B23:M23">
    <cfRule type="cellIs" dxfId="6" priority="7" operator="equal">
      <formula>0</formula>
    </cfRule>
  </conditionalFormatting>
  <conditionalFormatting sqref="P9:Q13 P15:Q18">
    <cfRule type="cellIs" dxfId="5" priority="6" operator="equal">
      <formula>0</formula>
    </cfRule>
  </conditionalFormatting>
  <conditionalFormatting sqref="P19:Q21">
    <cfRule type="cellIs" dxfId="4" priority="5" operator="equal">
      <formula>0</formula>
    </cfRule>
  </conditionalFormatting>
  <conditionalFormatting sqref="B14:M14">
    <cfRule type="cellIs" dxfId="3" priority="3" operator="equal">
      <formula>0</formula>
    </cfRule>
  </conditionalFormatting>
  <conditionalFormatting sqref="P14:Q14">
    <cfRule type="cellIs" dxfId="2" priority="2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8" scale="9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X38"/>
  <sheetViews>
    <sheetView zoomScale="85" zoomScaleNormal="85" workbookViewId="0">
      <pane xSplit="2" ySplit="5" topLeftCell="C32" activePane="bottomRight" state="frozen"/>
      <selection pane="topRight" activeCell="C1" sqref="C1"/>
      <selection pane="bottomLeft" activeCell="A7" sqref="A7"/>
      <selection pane="bottomRight" activeCell="X33" sqref="X33"/>
    </sheetView>
  </sheetViews>
  <sheetFormatPr defaultRowHeight="15.6" x14ac:dyDescent="0.3"/>
  <cols>
    <col min="1" max="1" width="14.44140625" customWidth="1"/>
    <col min="2" max="2" width="8.109375" customWidth="1"/>
    <col min="3" max="3" width="24.44140625" customWidth="1"/>
    <col min="4" max="4" width="17.6640625" customWidth="1"/>
    <col min="5" max="5" width="12.109375" hidden="1" customWidth="1"/>
    <col min="6" max="6" width="4.6640625" hidden="1" customWidth="1"/>
    <col min="7" max="7" width="12.44140625" hidden="1" customWidth="1"/>
    <col min="8" max="8" width="12" hidden="1" customWidth="1"/>
    <col min="9" max="9" width="12.33203125" hidden="1" customWidth="1"/>
    <col min="10" max="10" width="12.88671875" hidden="1" customWidth="1"/>
    <col min="11" max="11" width="12.44140625" hidden="1" customWidth="1"/>
    <col min="12" max="12" width="13.33203125" hidden="1" customWidth="1"/>
    <col min="13" max="13" width="7.33203125" hidden="1" customWidth="1"/>
    <col min="14" max="14" width="12.33203125" hidden="1" customWidth="1"/>
    <col min="15" max="16" width="12.44140625" hidden="1" customWidth="1"/>
    <col min="17" max="17" width="11.6640625" hidden="1" customWidth="1"/>
    <col min="18" max="18" width="12.33203125" hidden="1" customWidth="1"/>
    <col min="19" max="19" width="10.44140625" hidden="1" customWidth="1"/>
    <col min="20" max="20" width="11" hidden="1" customWidth="1"/>
    <col min="21" max="21" width="12.6640625" customWidth="1"/>
    <col min="22" max="22" width="11.33203125" hidden="1" customWidth="1"/>
    <col min="23" max="23" width="11.6640625" style="16" customWidth="1"/>
    <col min="24" max="24" width="11.109375" bestFit="1" customWidth="1"/>
  </cols>
  <sheetData>
    <row r="1" spans="1:24" ht="21.6" thickBot="1" x14ac:dyDescent="0.45">
      <c r="A1" s="18" t="s">
        <v>4242</v>
      </c>
      <c r="B1" s="18"/>
      <c r="U1" t="s">
        <v>51</v>
      </c>
    </row>
    <row r="2" spans="1:24" ht="40.5" customHeight="1" x14ac:dyDescent="0.3">
      <c r="A2" s="1143" t="s">
        <v>3320</v>
      </c>
      <c r="B2" s="1144"/>
      <c r="C2" s="1145"/>
      <c r="D2" s="849" t="s">
        <v>3321</v>
      </c>
      <c r="E2" s="1149" t="s">
        <v>3350</v>
      </c>
      <c r="F2" s="1149" t="s">
        <v>3351</v>
      </c>
      <c r="G2" s="1149" t="s">
        <v>3352</v>
      </c>
      <c r="H2" s="1149" t="s">
        <v>3353</v>
      </c>
      <c r="I2" s="1149" t="s">
        <v>4243</v>
      </c>
      <c r="J2" s="1149" t="s">
        <v>3354</v>
      </c>
      <c r="K2" s="1149" t="s">
        <v>3355</v>
      </c>
      <c r="L2" s="1149" t="s">
        <v>3356</v>
      </c>
      <c r="M2" s="1149" t="s">
        <v>3357</v>
      </c>
      <c r="N2" s="1149" t="s">
        <v>203</v>
      </c>
      <c r="O2" s="1149" t="s">
        <v>3358</v>
      </c>
      <c r="P2" s="1149" t="s">
        <v>4244</v>
      </c>
      <c r="Q2" s="1149" t="s">
        <v>2690</v>
      </c>
      <c r="R2" s="1149" t="s">
        <v>4245</v>
      </c>
      <c r="S2" s="1149" t="s">
        <v>4246</v>
      </c>
      <c r="T2" s="1149" t="s">
        <v>3359</v>
      </c>
      <c r="U2" s="1149" t="s">
        <v>3360</v>
      </c>
      <c r="V2" s="1151" t="s">
        <v>4247</v>
      </c>
      <c r="W2" s="1153" t="s">
        <v>4248</v>
      </c>
    </row>
    <row r="3" spans="1:24" ht="79.8" thickBot="1" x14ac:dyDescent="0.35">
      <c r="A3" s="850" t="s">
        <v>3336</v>
      </c>
      <c r="B3" s="851" t="s">
        <v>3337</v>
      </c>
      <c r="C3" s="852" t="s">
        <v>141</v>
      </c>
      <c r="D3" s="853" t="s">
        <v>4249</v>
      </c>
      <c r="E3" s="1150"/>
      <c r="F3" s="1150"/>
      <c r="G3" s="1150"/>
      <c r="H3" s="1150"/>
      <c r="I3" s="1150"/>
      <c r="J3" s="1150"/>
      <c r="K3" s="1150"/>
      <c r="L3" s="1150"/>
      <c r="M3" s="1150"/>
      <c r="N3" s="1150"/>
      <c r="O3" s="1150"/>
      <c r="P3" s="1150"/>
      <c r="Q3" s="1150"/>
      <c r="R3" s="1150"/>
      <c r="S3" s="1150"/>
      <c r="T3" s="1150"/>
      <c r="U3" s="1150"/>
      <c r="V3" s="1152"/>
      <c r="W3" s="1154"/>
    </row>
    <row r="4" spans="1:24" ht="15" customHeight="1" thickBot="1" x14ac:dyDescent="0.35">
      <c r="A4" s="1135" t="s">
        <v>3038</v>
      </c>
      <c r="B4" s="1136"/>
      <c r="C4" s="1136"/>
      <c r="D4" s="1137"/>
      <c r="E4" s="956">
        <f t="shared" ref="E4:T4" si="0">SUM(E5:E23)</f>
        <v>425464428</v>
      </c>
      <c r="F4" s="879">
        <f t="shared" si="0"/>
        <v>0</v>
      </c>
      <c r="G4" s="879">
        <f t="shared" si="0"/>
        <v>4672000</v>
      </c>
      <c r="H4" s="879">
        <f t="shared" si="0"/>
        <v>5760000</v>
      </c>
      <c r="I4" s="879">
        <f t="shared" si="0"/>
        <v>1216430</v>
      </c>
      <c r="J4" s="879">
        <f t="shared" si="0"/>
        <v>6148100</v>
      </c>
      <c r="K4" s="879">
        <f t="shared" si="0"/>
        <v>7459037</v>
      </c>
      <c r="L4" s="879">
        <f t="shared" si="0"/>
        <v>0</v>
      </c>
      <c r="M4" s="879">
        <f t="shared" si="0"/>
        <v>0</v>
      </c>
      <c r="N4" s="879">
        <f t="shared" si="0"/>
        <v>7640300</v>
      </c>
      <c r="O4" s="879">
        <f t="shared" si="0"/>
        <v>0</v>
      </c>
      <c r="P4" s="879">
        <f t="shared" si="0"/>
        <v>3220000</v>
      </c>
      <c r="Q4" s="879">
        <f t="shared" si="0"/>
        <v>461580295</v>
      </c>
      <c r="R4" s="879">
        <f t="shared" si="0"/>
        <v>59674294.140000001</v>
      </c>
      <c r="S4" s="879">
        <f t="shared" si="0"/>
        <v>8550000</v>
      </c>
      <c r="T4" s="879">
        <f t="shared" si="0"/>
        <v>68224294.140000001</v>
      </c>
      <c r="U4" s="879">
        <f>SUM(U5:U23)</f>
        <v>529804589.14000005</v>
      </c>
      <c r="V4" s="879">
        <f t="shared" ref="V4:W4" si="1">SUM(V5:V23)</f>
        <v>42844292</v>
      </c>
      <c r="W4" s="879">
        <f t="shared" si="1"/>
        <v>529804589.14000005</v>
      </c>
      <c r="X4" s="23"/>
    </row>
    <row r="5" spans="1:24" x14ac:dyDescent="0.3">
      <c r="A5" s="1053" t="s">
        <v>3986</v>
      </c>
      <c r="B5" s="965" t="s">
        <v>3997</v>
      </c>
      <c r="C5" s="965" t="s">
        <v>4370</v>
      </c>
      <c r="D5" s="966" t="s">
        <v>4250</v>
      </c>
      <c r="E5" s="959">
        <f>51109919</f>
        <v>51109919</v>
      </c>
      <c r="F5" s="855"/>
      <c r="G5" s="855">
        <v>2152000</v>
      </c>
      <c r="H5" s="855">
        <v>480000</v>
      </c>
      <c r="I5" s="855">
        <v>155892</v>
      </c>
      <c r="J5" s="855">
        <v>1084000</v>
      </c>
      <c r="K5" s="855"/>
      <c r="L5" s="855"/>
      <c r="M5" s="855"/>
      <c r="N5" s="855">
        <v>720800</v>
      </c>
      <c r="O5" s="855"/>
      <c r="P5" s="859"/>
      <c r="Q5" s="859">
        <f>SUM(E5:P5)</f>
        <v>55702611</v>
      </c>
      <c r="R5" s="859">
        <f>6896247+279760</f>
        <v>7176007</v>
      </c>
      <c r="S5" s="859">
        <v>1170000</v>
      </c>
      <c r="T5" s="859">
        <f>SUM(R5:S5)</f>
        <v>8346007</v>
      </c>
      <c r="U5" s="859">
        <f>Q5+T5</f>
        <v>64048618</v>
      </c>
      <c r="V5" s="953"/>
      <c r="W5" s="1051">
        <f>U5-V5</f>
        <v>64048618</v>
      </c>
    </row>
    <row r="6" spans="1:24" x14ac:dyDescent="0.3">
      <c r="A6" s="1054" t="s">
        <v>4017</v>
      </c>
      <c r="B6" s="963" t="s">
        <v>3997</v>
      </c>
      <c r="C6" s="963" t="s">
        <v>4220</v>
      </c>
      <c r="D6" s="967" t="s">
        <v>4251</v>
      </c>
      <c r="E6" s="959">
        <v>11496400</v>
      </c>
      <c r="F6" s="855"/>
      <c r="G6" s="855"/>
      <c r="H6" s="855"/>
      <c r="I6" s="855">
        <v>28344</v>
      </c>
      <c r="J6" s="855"/>
      <c r="K6" s="855"/>
      <c r="L6" s="855"/>
      <c r="M6" s="855"/>
      <c r="N6" s="855"/>
      <c r="O6" s="855"/>
      <c r="P6" s="856">
        <v>1680000</v>
      </c>
      <c r="Q6" s="856">
        <f t="shared" ref="Q6:Q23" si="2">SUM(E6:P6)</f>
        <v>13204744</v>
      </c>
      <c r="R6" s="856">
        <v>1739460</v>
      </c>
      <c r="S6" s="856">
        <v>270000</v>
      </c>
      <c r="T6" s="856">
        <f>SUM(R6:S6)</f>
        <v>2009460</v>
      </c>
      <c r="U6" s="856">
        <f>Q6+T6</f>
        <v>15214204</v>
      </c>
      <c r="V6" s="856">
        <v>15214204</v>
      </c>
      <c r="W6" s="1055">
        <f>+V6</f>
        <v>15214204</v>
      </c>
    </row>
    <row r="7" spans="1:24" x14ac:dyDescent="0.3">
      <c r="A7" s="1054" t="s">
        <v>3634</v>
      </c>
      <c r="B7" s="963" t="s">
        <v>4006</v>
      </c>
      <c r="C7" s="963" t="s">
        <v>4221</v>
      </c>
      <c r="D7" s="967" t="s">
        <v>4250</v>
      </c>
      <c r="E7" s="960">
        <v>24147509</v>
      </c>
      <c r="F7" s="856"/>
      <c r="G7" s="856"/>
      <c r="H7" s="856">
        <v>480000</v>
      </c>
      <c r="I7" s="856">
        <v>70860</v>
      </c>
      <c r="J7" s="856">
        <v>350000</v>
      </c>
      <c r="K7" s="856"/>
      <c r="L7" s="856"/>
      <c r="M7" s="856"/>
      <c r="N7" s="856">
        <v>836000</v>
      </c>
      <c r="O7" s="856"/>
      <c r="P7" s="856"/>
      <c r="Q7" s="856">
        <f t="shared" si="2"/>
        <v>25884369</v>
      </c>
      <c r="R7" s="856">
        <v>3359083</v>
      </c>
      <c r="S7" s="856">
        <v>630000</v>
      </c>
      <c r="T7" s="856">
        <f>SUM(R7:S7)</f>
        <v>3989083</v>
      </c>
      <c r="U7" s="856">
        <f>Q7+T7</f>
        <v>29873452</v>
      </c>
      <c r="V7" s="858"/>
      <c r="W7" s="1055">
        <f t="shared" ref="W7:W23" si="3">U7-V7</f>
        <v>29873452</v>
      </c>
    </row>
    <row r="8" spans="1:24" x14ac:dyDescent="0.3">
      <c r="A8" s="1054" t="s">
        <v>4017</v>
      </c>
      <c r="B8" s="963" t="s">
        <v>4006</v>
      </c>
      <c r="C8" s="963" t="s">
        <v>4221</v>
      </c>
      <c r="D8" s="967" t="s">
        <v>4251</v>
      </c>
      <c r="E8" s="960">
        <v>4330171</v>
      </c>
      <c r="F8" s="856"/>
      <c r="G8" s="856"/>
      <c r="H8" s="856"/>
      <c r="I8" s="856">
        <v>24801</v>
      </c>
      <c r="J8" s="856"/>
      <c r="K8" s="856"/>
      <c r="L8" s="856"/>
      <c r="M8" s="856"/>
      <c r="N8" s="856"/>
      <c r="O8" s="856"/>
      <c r="P8" s="856">
        <v>700000</v>
      </c>
      <c r="Q8" s="859">
        <f t="shared" si="2"/>
        <v>5054972</v>
      </c>
      <c r="R8" s="856">
        <v>660051</v>
      </c>
      <c r="S8" s="856">
        <v>180000</v>
      </c>
      <c r="T8" s="856">
        <f t="shared" ref="T8:T23" si="4">SUM(R8:S8)</f>
        <v>840051</v>
      </c>
      <c r="U8" s="856">
        <f t="shared" ref="U8:U23" si="5">Q8+T8</f>
        <v>5895023</v>
      </c>
      <c r="V8" s="858">
        <v>5895023</v>
      </c>
      <c r="W8" s="1055">
        <f>+V8</f>
        <v>5895023</v>
      </c>
    </row>
    <row r="9" spans="1:24" x14ac:dyDescent="0.3">
      <c r="A9" s="1054" t="s">
        <v>3990</v>
      </c>
      <c r="B9" s="963" t="s">
        <v>4002</v>
      </c>
      <c r="C9" s="963" t="s">
        <v>4222</v>
      </c>
      <c r="D9" s="967" t="s">
        <v>4250</v>
      </c>
      <c r="E9" s="960">
        <v>31593400</v>
      </c>
      <c r="F9" s="856"/>
      <c r="G9" s="856"/>
      <c r="H9" s="856">
        <v>480000</v>
      </c>
      <c r="I9" s="856">
        <v>85032</v>
      </c>
      <c r="J9" s="856">
        <v>840000</v>
      </c>
      <c r="K9" s="856">
        <v>283097</v>
      </c>
      <c r="L9" s="856"/>
      <c r="M9" s="856"/>
      <c r="N9" s="856"/>
      <c r="O9" s="856"/>
      <c r="P9" s="856"/>
      <c r="Q9" s="856">
        <f t="shared" si="2"/>
        <v>33281529</v>
      </c>
      <c r="R9" s="856">
        <f>4233618.31+36803</f>
        <v>4270421.3099999996</v>
      </c>
      <c r="S9" s="856">
        <v>540000</v>
      </c>
      <c r="T9" s="856">
        <f t="shared" si="4"/>
        <v>4810421.3099999996</v>
      </c>
      <c r="U9" s="856">
        <f t="shared" si="5"/>
        <v>38091950.310000002</v>
      </c>
      <c r="V9" s="858"/>
      <c r="W9" s="1055">
        <f t="shared" si="3"/>
        <v>38091950.310000002</v>
      </c>
    </row>
    <row r="10" spans="1:24" ht="15" customHeight="1" x14ac:dyDescent="0.3">
      <c r="A10" s="1054" t="s">
        <v>3991</v>
      </c>
      <c r="B10" s="963" t="s">
        <v>4003</v>
      </c>
      <c r="C10" s="963" t="s">
        <v>4223</v>
      </c>
      <c r="D10" s="967" t="s">
        <v>4250</v>
      </c>
      <c r="E10" s="960">
        <v>11113600</v>
      </c>
      <c r="F10" s="856"/>
      <c r="G10" s="856"/>
      <c r="H10" s="856">
        <v>480000</v>
      </c>
      <c r="I10" s="856">
        <v>28344</v>
      </c>
      <c r="J10" s="856">
        <v>260000</v>
      </c>
      <c r="K10" s="856">
        <v>496903</v>
      </c>
      <c r="L10" s="856"/>
      <c r="M10" s="856"/>
      <c r="N10" s="856"/>
      <c r="O10" s="856"/>
      <c r="P10" s="856"/>
      <c r="Q10" s="856">
        <f t="shared" si="2"/>
        <v>12378847</v>
      </c>
      <c r="R10" s="856">
        <f>1530069.27+64597</f>
        <v>1594666.27</v>
      </c>
      <c r="S10" s="856">
        <v>180000</v>
      </c>
      <c r="T10" s="856">
        <f t="shared" si="4"/>
        <v>1774666.27</v>
      </c>
      <c r="U10" s="856">
        <f t="shared" si="5"/>
        <v>14153513.27</v>
      </c>
      <c r="V10" s="858"/>
      <c r="W10" s="1055">
        <f t="shared" si="3"/>
        <v>14153513.27</v>
      </c>
    </row>
    <row r="11" spans="1:24" ht="15" customHeight="1" x14ac:dyDescent="0.3">
      <c r="A11" s="1054" t="s">
        <v>4017</v>
      </c>
      <c r="B11" s="963" t="s">
        <v>4003</v>
      </c>
      <c r="C11" s="963" t="s">
        <v>4223</v>
      </c>
      <c r="D11" s="967" t="s">
        <v>4251</v>
      </c>
      <c r="E11" s="960">
        <v>4241600</v>
      </c>
      <c r="F11" s="856"/>
      <c r="G11" s="856"/>
      <c r="H11" s="856"/>
      <c r="I11" s="856">
        <v>14172</v>
      </c>
      <c r="J11" s="856"/>
      <c r="K11" s="856"/>
      <c r="L11" s="856"/>
      <c r="M11" s="856"/>
      <c r="N11" s="856"/>
      <c r="O11" s="856"/>
      <c r="P11" s="856"/>
      <c r="Q11" s="856">
        <f>SUM(E11:P11)</f>
        <v>4255772</v>
      </c>
      <c r="R11" s="856">
        <v>560210</v>
      </c>
      <c r="S11" s="856">
        <v>90000</v>
      </c>
      <c r="T11" s="856">
        <f>SUM(R11:S11)</f>
        <v>650210</v>
      </c>
      <c r="U11" s="856">
        <f>Q11+T11</f>
        <v>4905982</v>
      </c>
      <c r="V11" s="858">
        <v>4905982</v>
      </c>
      <c r="W11" s="1055">
        <f>+V11</f>
        <v>4905982</v>
      </c>
    </row>
    <row r="12" spans="1:24" x14ac:dyDescent="0.3">
      <c r="A12" s="1054" t="s">
        <v>3993</v>
      </c>
      <c r="B12" s="963" t="s">
        <v>4005</v>
      </c>
      <c r="C12" s="963" t="s">
        <v>4371</v>
      </c>
      <c r="D12" s="967" t="s">
        <v>4250</v>
      </c>
      <c r="E12" s="960">
        <v>34914000</v>
      </c>
      <c r="F12" s="856"/>
      <c r="G12" s="856"/>
      <c r="H12" s="856">
        <v>480000</v>
      </c>
      <c r="I12" s="856">
        <v>99204</v>
      </c>
      <c r="J12" s="856">
        <v>1106000</v>
      </c>
      <c r="K12" s="856">
        <v>2814037</v>
      </c>
      <c r="L12" s="856"/>
      <c r="M12" s="856"/>
      <c r="N12" s="856"/>
      <c r="O12" s="856"/>
      <c r="P12" s="856"/>
      <c r="Q12" s="856">
        <f t="shared" si="2"/>
        <v>39413241</v>
      </c>
      <c r="R12" s="856">
        <f>4672468.195+365825</f>
        <v>5038293.1950000003</v>
      </c>
      <c r="S12" s="856">
        <v>720000</v>
      </c>
      <c r="T12" s="856">
        <f t="shared" si="4"/>
        <v>5758293.1950000003</v>
      </c>
      <c r="U12" s="856">
        <f t="shared" si="5"/>
        <v>45171534.195</v>
      </c>
      <c r="V12" s="858"/>
      <c r="W12" s="1055">
        <f t="shared" si="3"/>
        <v>45171534.195</v>
      </c>
    </row>
    <row r="13" spans="1:24" ht="15" customHeight="1" x14ac:dyDescent="0.3">
      <c r="A13" s="1054" t="s">
        <v>3994</v>
      </c>
      <c r="B13" s="963" t="s">
        <v>4007</v>
      </c>
      <c r="C13" s="963" t="s">
        <v>2979</v>
      </c>
      <c r="D13" s="967" t="s">
        <v>4250</v>
      </c>
      <c r="E13" s="960">
        <v>10887420</v>
      </c>
      <c r="F13" s="856"/>
      <c r="G13" s="856"/>
      <c r="H13" s="856">
        <v>480000</v>
      </c>
      <c r="I13" s="856">
        <v>56688</v>
      </c>
      <c r="J13" s="856"/>
      <c r="K13" s="856"/>
      <c r="L13" s="856"/>
      <c r="M13" s="856"/>
      <c r="N13" s="856"/>
      <c r="O13" s="856"/>
      <c r="P13" s="856"/>
      <c r="Q13" s="856">
        <f t="shared" si="2"/>
        <v>11424108</v>
      </c>
      <c r="R13" s="856">
        <v>1515299.6900000002</v>
      </c>
      <c r="S13" s="856">
        <v>360000</v>
      </c>
      <c r="T13" s="856">
        <f t="shared" si="4"/>
        <v>1875299.6900000002</v>
      </c>
      <c r="U13" s="856">
        <f t="shared" si="5"/>
        <v>13299407.689999999</v>
      </c>
      <c r="V13" s="858"/>
      <c r="W13" s="1055">
        <f t="shared" si="3"/>
        <v>13299407.689999999</v>
      </c>
    </row>
    <row r="14" spans="1:24" ht="15" customHeight="1" x14ac:dyDescent="0.3">
      <c r="A14" s="1054" t="s">
        <v>4017</v>
      </c>
      <c r="B14" s="963" t="s">
        <v>4007</v>
      </c>
      <c r="C14" s="963" t="s">
        <v>2979</v>
      </c>
      <c r="D14" s="967" t="s">
        <v>4251</v>
      </c>
      <c r="E14" s="960">
        <v>7027600</v>
      </c>
      <c r="F14" s="856"/>
      <c r="G14" s="856"/>
      <c r="H14" s="856"/>
      <c r="I14" s="856">
        <v>28344</v>
      </c>
      <c r="J14" s="856">
        <v>0</v>
      </c>
      <c r="K14" s="856">
        <v>2040000</v>
      </c>
      <c r="L14" s="856"/>
      <c r="M14" s="856"/>
      <c r="N14" s="856"/>
      <c r="O14" s="856"/>
      <c r="P14" s="856">
        <v>840000</v>
      </c>
      <c r="Q14" s="856">
        <f t="shared" si="2"/>
        <v>9935944</v>
      </c>
      <c r="R14" s="856">
        <v>1039907</v>
      </c>
      <c r="S14" s="856">
        <v>180000</v>
      </c>
      <c r="T14" s="856">
        <f>SUM(R14:S14)</f>
        <v>1219907</v>
      </c>
      <c r="U14" s="856">
        <f t="shared" si="5"/>
        <v>11155851</v>
      </c>
      <c r="V14" s="858">
        <v>11155851</v>
      </c>
      <c r="W14" s="1055">
        <f>+V14</f>
        <v>11155851</v>
      </c>
    </row>
    <row r="15" spans="1:24" x14ac:dyDescent="0.3">
      <c r="A15" s="1054" t="s">
        <v>3995</v>
      </c>
      <c r="B15" s="963" t="s">
        <v>4008</v>
      </c>
      <c r="C15" s="963" t="s">
        <v>2980</v>
      </c>
      <c r="D15" s="967" t="s">
        <v>4250</v>
      </c>
      <c r="E15" s="960">
        <v>38781900</v>
      </c>
      <c r="F15" s="856"/>
      <c r="G15" s="856"/>
      <c r="H15" s="856">
        <v>480000</v>
      </c>
      <c r="I15" s="856">
        <v>99204</v>
      </c>
      <c r="J15" s="856">
        <v>453000</v>
      </c>
      <c r="K15" s="856">
        <v>885000</v>
      </c>
      <c r="L15" s="856"/>
      <c r="M15" s="856"/>
      <c r="N15" s="856"/>
      <c r="O15" s="856"/>
      <c r="P15" s="856"/>
      <c r="Q15" s="856">
        <f t="shared" si="2"/>
        <v>40699104</v>
      </c>
      <c r="R15" s="856">
        <f>5180032.695+115050</f>
        <v>5295082.6950000003</v>
      </c>
      <c r="S15" s="856">
        <v>630000</v>
      </c>
      <c r="T15" s="856">
        <f t="shared" si="4"/>
        <v>5925082.6950000003</v>
      </c>
      <c r="U15" s="856">
        <f t="shared" si="5"/>
        <v>46624186.695</v>
      </c>
      <c r="V15" s="858"/>
      <c r="W15" s="1055">
        <f t="shared" si="3"/>
        <v>46624186.695</v>
      </c>
    </row>
    <row r="16" spans="1:24" x14ac:dyDescent="0.3">
      <c r="A16" s="1054" t="s">
        <v>4017</v>
      </c>
      <c r="B16" s="963" t="s">
        <v>4008</v>
      </c>
      <c r="C16" s="963" t="s">
        <v>2980</v>
      </c>
      <c r="D16" s="967" t="s">
        <v>4251</v>
      </c>
      <c r="E16" s="960">
        <v>4919600</v>
      </c>
      <c r="F16" s="856"/>
      <c r="G16" s="856"/>
      <c r="H16" s="856"/>
      <c r="I16" s="856">
        <v>14172</v>
      </c>
      <c r="J16" s="856"/>
      <c r="K16" s="856"/>
      <c r="L16" s="856"/>
      <c r="M16" s="856"/>
      <c r="N16" s="856"/>
      <c r="O16" s="856"/>
      <c r="P16" s="856"/>
      <c r="Q16" s="856">
        <f t="shared" si="2"/>
        <v>4933772</v>
      </c>
      <c r="R16" s="856">
        <v>649460</v>
      </c>
      <c r="S16" s="856">
        <v>90000</v>
      </c>
      <c r="T16" s="856">
        <f>SUM(R16:S16)</f>
        <v>739460</v>
      </c>
      <c r="U16" s="856">
        <f t="shared" si="5"/>
        <v>5673232</v>
      </c>
      <c r="V16" s="858">
        <v>5673232</v>
      </c>
      <c r="W16" s="1055">
        <f>+V16</f>
        <v>5673232</v>
      </c>
    </row>
    <row r="17" spans="1:23" x14ac:dyDescent="0.3">
      <c r="A17" s="1054" t="s">
        <v>3996</v>
      </c>
      <c r="B17" s="963" t="s">
        <v>4009</v>
      </c>
      <c r="C17" s="963" t="s">
        <v>4372</v>
      </c>
      <c r="D17" s="967" t="s">
        <v>4250</v>
      </c>
      <c r="E17" s="960">
        <v>26640309</v>
      </c>
      <c r="F17" s="856"/>
      <c r="G17" s="856">
        <v>175000</v>
      </c>
      <c r="H17" s="856">
        <v>480000</v>
      </c>
      <c r="I17" s="856">
        <v>85032</v>
      </c>
      <c r="J17" s="856">
        <v>184300</v>
      </c>
      <c r="K17" s="856"/>
      <c r="L17" s="856"/>
      <c r="M17" s="856"/>
      <c r="N17" s="856">
        <v>1766500</v>
      </c>
      <c r="O17" s="856"/>
      <c r="P17" s="856"/>
      <c r="Q17" s="856">
        <f t="shared" si="2"/>
        <v>29331141</v>
      </c>
      <c r="R17" s="856">
        <f>3812743.98+22750</f>
        <v>3835493.98</v>
      </c>
      <c r="S17" s="856">
        <v>540000</v>
      </c>
      <c r="T17" s="856">
        <f t="shared" si="4"/>
        <v>4375493.9800000004</v>
      </c>
      <c r="U17" s="856">
        <f t="shared" si="5"/>
        <v>33706634.980000004</v>
      </c>
      <c r="V17" s="858"/>
      <c r="W17" s="1055">
        <f t="shared" si="3"/>
        <v>33706634.980000004</v>
      </c>
    </row>
    <row r="18" spans="1:23" s="16" customFormat="1" ht="15" customHeight="1" x14ac:dyDescent="0.3">
      <c r="A18" s="1056" t="s">
        <v>4020</v>
      </c>
      <c r="B18" s="964" t="s">
        <v>4023</v>
      </c>
      <c r="C18" s="964" t="s">
        <v>4373</v>
      </c>
      <c r="D18" s="968"/>
      <c r="E18" s="961">
        <v>255200</v>
      </c>
      <c r="F18" s="860"/>
      <c r="G18" s="860"/>
      <c r="H18" s="860"/>
      <c r="I18" s="860">
        <v>1181</v>
      </c>
      <c r="J18" s="860"/>
      <c r="K18" s="860"/>
      <c r="L18" s="860"/>
      <c r="M18" s="860"/>
      <c r="N18" s="860"/>
      <c r="O18" s="860"/>
      <c r="P18" s="860"/>
      <c r="Q18" s="860">
        <f t="shared" si="2"/>
        <v>256381</v>
      </c>
      <c r="R18" s="860">
        <v>39739</v>
      </c>
      <c r="S18" s="860">
        <v>90000</v>
      </c>
      <c r="T18" s="860">
        <f t="shared" si="4"/>
        <v>129739</v>
      </c>
      <c r="U18" s="860">
        <f t="shared" si="5"/>
        <v>386120</v>
      </c>
      <c r="V18" s="861"/>
      <c r="W18" s="1055">
        <f t="shared" si="3"/>
        <v>386120</v>
      </c>
    </row>
    <row r="19" spans="1:23" x14ac:dyDescent="0.3">
      <c r="A19" s="1054" t="s">
        <v>1159</v>
      </c>
      <c r="B19" s="963" t="s">
        <v>3998</v>
      </c>
      <c r="C19" s="963" t="s">
        <v>4374</v>
      </c>
      <c r="D19" s="967" t="s">
        <v>4250</v>
      </c>
      <c r="E19" s="960">
        <v>53971100</v>
      </c>
      <c r="F19" s="856"/>
      <c r="G19" s="856"/>
      <c r="H19" s="856">
        <v>480000</v>
      </c>
      <c r="I19" s="856">
        <v>113376</v>
      </c>
      <c r="J19" s="856">
        <v>296800</v>
      </c>
      <c r="K19" s="856"/>
      <c r="L19" s="856"/>
      <c r="M19" s="856"/>
      <c r="N19" s="856">
        <v>3063000</v>
      </c>
      <c r="O19" s="856"/>
      <c r="P19" s="856"/>
      <c r="Q19" s="856">
        <f t="shared" si="2"/>
        <v>57924276</v>
      </c>
      <c r="R19" s="856">
        <v>7577911</v>
      </c>
      <c r="S19" s="856">
        <v>810000</v>
      </c>
      <c r="T19" s="856">
        <f t="shared" si="4"/>
        <v>8387911</v>
      </c>
      <c r="U19" s="856">
        <f t="shared" si="5"/>
        <v>66312187</v>
      </c>
      <c r="V19" s="858"/>
      <c r="W19" s="1055">
        <f t="shared" si="3"/>
        <v>66312187</v>
      </c>
    </row>
    <row r="20" spans="1:23" ht="15" customHeight="1" x14ac:dyDescent="0.3">
      <c r="A20" s="1054" t="s">
        <v>3989</v>
      </c>
      <c r="B20" s="963" t="s">
        <v>4001</v>
      </c>
      <c r="C20" s="963" t="s">
        <v>2974</v>
      </c>
      <c r="D20" s="967" t="s">
        <v>4250</v>
      </c>
      <c r="E20" s="960">
        <v>19255600</v>
      </c>
      <c r="F20" s="856"/>
      <c r="G20" s="856"/>
      <c r="H20" s="856"/>
      <c r="I20" s="856">
        <v>56688</v>
      </c>
      <c r="J20" s="856">
        <v>320000</v>
      </c>
      <c r="K20" s="856"/>
      <c r="L20" s="856"/>
      <c r="M20" s="856"/>
      <c r="N20" s="856"/>
      <c r="O20" s="856"/>
      <c r="P20" s="856"/>
      <c r="Q20" s="856">
        <f t="shared" si="2"/>
        <v>19632288</v>
      </c>
      <c r="R20" s="856">
        <v>2542178</v>
      </c>
      <c r="S20" s="856">
        <v>360000</v>
      </c>
      <c r="T20" s="856">
        <f t="shared" si="4"/>
        <v>2902178</v>
      </c>
      <c r="U20" s="856">
        <f t="shared" si="5"/>
        <v>22534466</v>
      </c>
      <c r="V20" s="858"/>
      <c r="W20" s="1055">
        <f t="shared" si="3"/>
        <v>22534466</v>
      </c>
    </row>
    <row r="21" spans="1:23" x14ac:dyDescent="0.3">
      <c r="A21" s="1054" t="s">
        <v>3988</v>
      </c>
      <c r="B21" s="963" t="s">
        <v>4000</v>
      </c>
      <c r="C21" s="963" t="s">
        <v>2973</v>
      </c>
      <c r="D21" s="967" t="s">
        <v>4250</v>
      </c>
      <c r="E21" s="960">
        <v>51045800</v>
      </c>
      <c r="F21" s="856"/>
      <c r="G21" s="856">
        <v>480000</v>
      </c>
      <c r="H21" s="856">
        <v>960000</v>
      </c>
      <c r="I21" s="856">
        <v>141720</v>
      </c>
      <c r="J21" s="856">
        <v>664000</v>
      </c>
      <c r="K21" s="856"/>
      <c r="L21" s="856"/>
      <c r="M21" s="856"/>
      <c r="N21" s="856">
        <v>1254000</v>
      </c>
      <c r="O21" s="856"/>
      <c r="P21" s="856"/>
      <c r="Q21" s="856">
        <f t="shared" si="2"/>
        <v>54545520</v>
      </c>
      <c r="R21" s="856">
        <v>7100135</v>
      </c>
      <c r="S21" s="856">
        <v>900000</v>
      </c>
      <c r="T21" s="856">
        <f t="shared" si="4"/>
        <v>8000135</v>
      </c>
      <c r="U21" s="856">
        <f t="shared" si="5"/>
        <v>62545655</v>
      </c>
      <c r="V21" s="858"/>
      <c r="W21" s="1055">
        <f t="shared" si="3"/>
        <v>62545655</v>
      </c>
    </row>
    <row r="22" spans="1:23" x14ac:dyDescent="0.3">
      <c r="A22" s="1054" t="s">
        <v>3987</v>
      </c>
      <c r="B22" s="963" t="s">
        <v>3999</v>
      </c>
      <c r="C22" s="963" t="s">
        <v>2972</v>
      </c>
      <c r="D22" s="967" t="s">
        <v>4250</v>
      </c>
      <c r="E22" s="960">
        <v>9541400</v>
      </c>
      <c r="F22" s="856"/>
      <c r="G22" s="856">
        <v>260000</v>
      </c>
      <c r="H22" s="856"/>
      <c r="I22" s="856">
        <v>28344</v>
      </c>
      <c r="J22" s="856">
        <v>121000</v>
      </c>
      <c r="K22" s="856"/>
      <c r="L22" s="856"/>
      <c r="M22" s="856"/>
      <c r="N22" s="856"/>
      <c r="O22" s="856"/>
      <c r="P22" s="856"/>
      <c r="Q22" s="856">
        <f t="shared" si="2"/>
        <v>9950744</v>
      </c>
      <c r="R22" s="856">
        <f>1259828+33800</f>
        <v>1293628</v>
      </c>
      <c r="S22" s="856">
        <v>180000</v>
      </c>
      <c r="T22" s="856">
        <f t="shared" si="4"/>
        <v>1473628</v>
      </c>
      <c r="U22" s="856">
        <f t="shared" si="5"/>
        <v>11424372</v>
      </c>
      <c r="V22" s="858"/>
      <c r="W22" s="1055">
        <f t="shared" si="3"/>
        <v>11424372</v>
      </c>
    </row>
    <row r="23" spans="1:23" ht="15" customHeight="1" thickBot="1" x14ac:dyDescent="0.35">
      <c r="A23" s="1057" t="s">
        <v>3992</v>
      </c>
      <c r="B23" s="958" t="s">
        <v>4004</v>
      </c>
      <c r="C23" s="958" t="s">
        <v>2977</v>
      </c>
      <c r="D23" s="971" t="s">
        <v>4250</v>
      </c>
      <c r="E23" s="962">
        <v>30191900</v>
      </c>
      <c r="F23" s="954"/>
      <c r="G23" s="954">
        <v>1605000</v>
      </c>
      <c r="H23" s="954">
        <v>480000</v>
      </c>
      <c r="I23" s="954">
        <v>85032</v>
      </c>
      <c r="J23" s="954">
        <v>469000</v>
      </c>
      <c r="K23" s="954">
        <v>940000</v>
      </c>
      <c r="L23" s="954"/>
      <c r="M23" s="954"/>
      <c r="N23" s="954"/>
      <c r="O23" s="954"/>
      <c r="P23" s="954"/>
      <c r="Q23" s="954">
        <f t="shared" si="2"/>
        <v>33770932</v>
      </c>
      <c r="R23" s="954">
        <f>4056418+330850</f>
        <v>4387268</v>
      </c>
      <c r="S23" s="954">
        <v>630000</v>
      </c>
      <c r="T23" s="954">
        <f t="shared" si="4"/>
        <v>5017268</v>
      </c>
      <c r="U23" s="954">
        <f t="shared" si="5"/>
        <v>38788200</v>
      </c>
      <c r="V23" s="955"/>
      <c r="W23" s="1058">
        <f t="shared" si="3"/>
        <v>38788200</v>
      </c>
    </row>
    <row r="24" spans="1:23" ht="16.2" customHeight="1" thickBot="1" x14ac:dyDescent="0.35">
      <c r="A24" s="1135" t="s">
        <v>4369</v>
      </c>
      <c r="B24" s="1136"/>
      <c r="C24" s="1136"/>
      <c r="D24" s="1137"/>
      <c r="E24" s="972">
        <f>SUM(E25:E26)</f>
        <v>49417219</v>
      </c>
      <c r="F24" s="956">
        <f t="shared" ref="F24:W24" si="6">SUM(F25:F26)</f>
        <v>0</v>
      </c>
      <c r="G24" s="879">
        <f t="shared" si="6"/>
        <v>895160</v>
      </c>
      <c r="H24" s="879">
        <f t="shared" si="6"/>
        <v>1680000</v>
      </c>
      <c r="I24" s="879">
        <f t="shared" si="6"/>
        <v>141720</v>
      </c>
      <c r="J24" s="879">
        <f t="shared" si="6"/>
        <v>380000</v>
      </c>
      <c r="K24" s="879">
        <f t="shared" si="6"/>
        <v>6019841</v>
      </c>
      <c r="L24" s="879">
        <f t="shared" si="6"/>
        <v>0</v>
      </c>
      <c r="M24" s="879">
        <f t="shared" si="6"/>
        <v>0</v>
      </c>
      <c r="N24" s="879">
        <f t="shared" si="6"/>
        <v>1004700</v>
      </c>
      <c r="O24" s="879">
        <f t="shared" si="6"/>
        <v>0</v>
      </c>
      <c r="P24" s="879">
        <f t="shared" si="6"/>
        <v>3500000</v>
      </c>
      <c r="Q24" s="879">
        <f t="shared" si="6"/>
        <v>63038640</v>
      </c>
      <c r="R24" s="879">
        <f t="shared" si="6"/>
        <v>8228354.3300000001</v>
      </c>
      <c r="S24" s="879">
        <f t="shared" si="6"/>
        <v>1530000</v>
      </c>
      <c r="T24" s="879">
        <f t="shared" si="6"/>
        <v>9758354.3300000001</v>
      </c>
      <c r="U24" s="879">
        <f t="shared" si="6"/>
        <v>72796994.329999998</v>
      </c>
      <c r="V24" s="879">
        <f t="shared" si="6"/>
        <v>0</v>
      </c>
      <c r="W24" s="881">
        <f t="shared" si="6"/>
        <v>72796994.329999998</v>
      </c>
    </row>
    <row r="25" spans="1:23" x14ac:dyDescent="0.3">
      <c r="A25" s="1053" t="s">
        <v>1093</v>
      </c>
      <c r="B25" s="965" t="s">
        <v>4011</v>
      </c>
      <c r="C25" s="965" t="s">
        <v>2983</v>
      </c>
      <c r="D25" s="966" t="s">
        <v>4250</v>
      </c>
      <c r="E25" s="970">
        <v>49417219</v>
      </c>
      <c r="F25" s="855"/>
      <c r="G25" s="855">
        <v>241160</v>
      </c>
      <c r="H25" s="855">
        <v>1680000</v>
      </c>
      <c r="I25" s="855">
        <v>141720</v>
      </c>
      <c r="J25" s="855">
        <v>380000</v>
      </c>
      <c r="K25" s="855"/>
      <c r="L25" s="855"/>
      <c r="M25" s="855"/>
      <c r="N25" s="855">
        <v>1004700</v>
      </c>
      <c r="O25" s="855"/>
      <c r="P25" s="855"/>
      <c r="Q25" s="855">
        <f>SUM(E25:P25)</f>
        <v>52864799</v>
      </c>
      <c r="R25" s="855">
        <v>6905755</v>
      </c>
      <c r="S25" s="855">
        <v>1530000</v>
      </c>
      <c r="T25" s="855">
        <f>SUM(R25:S25)</f>
        <v>8435755</v>
      </c>
      <c r="U25" s="855">
        <f>Q25+T25</f>
        <v>61300554</v>
      </c>
      <c r="V25" s="883"/>
      <c r="W25" s="1051">
        <f>U25-V25</f>
        <v>61300554</v>
      </c>
    </row>
    <row r="26" spans="1:23" ht="15" customHeight="1" thickBot="1" x14ac:dyDescent="0.35">
      <c r="A26" s="1059" t="s">
        <v>4012</v>
      </c>
      <c r="B26" s="872" t="s">
        <v>2730</v>
      </c>
      <c r="C26" s="872" t="s">
        <v>4375</v>
      </c>
      <c r="D26" s="969" t="s">
        <v>4250</v>
      </c>
      <c r="E26" s="960"/>
      <c r="F26" s="856"/>
      <c r="G26" s="856">
        <f>564000+90000</f>
        <v>654000</v>
      </c>
      <c r="H26" s="856"/>
      <c r="I26" s="856"/>
      <c r="J26" s="856"/>
      <c r="K26" s="856">
        <v>6019841</v>
      </c>
      <c r="L26" s="856"/>
      <c r="M26" s="856"/>
      <c r="N26" s="856"/>
      <c r="O26" s="856"/>
      <c r="P26" s="856">
        <v>3500000</v>
      </c>
      <c r="Q26" s="859">
        <f>SUM(E26:P26)</f>
        <v>10173841</v>
      </c>
      <c r="R26" s="856">
        <f>Q26*0.13</f>
        <v>1322599.33</v>
      </c>
      <c r="S26" s="856"/>
      <c r="T26" s="856">
        <f>SUM(R26:S26)</f>
        <v>1322599.33</v>
      </c>
      <c r="U26" s="856">
        <f>Q26+T26</f>
        <v>11496440.33</v>
      </c>
      <c r="V26" s="858"/>
      <c r="W26" s="1055">
        <f>U26-V26</f>
        <v>11496440.33</v>
      </c>
    </row>
    <row r="27" spans="1:23" ht="37.5" hidden="1" customHeight="1" thickBot="1" x14ac:dyDescent="0.35">
      <c r="A27" s="1138" t="s">
        <v>4253</v>
      </c>
      <c r="B27" s="1139"/>
      <c r="C27" s="1139"/>
      <c r="D27" s="1140"/>
      <c r="E27" s="866">
        <f>SUM(E28:E31)</f>
        <v>0</v>
      </c>
      <c r="F27" s="866">
        <f t="shared" ref="F27:U27" si="7">SUM(F28:F31)</f>
        <v>0</v>
      </c>
      <c r="G27" s="866">
        <f t="shared" si="7"/>
        <v>0</v>
      </c>
      <c r="H27" s="866">
        <f t="shared" si="7"/>
        <v>0</v>
      </c>
      <c r="I27" s="866">
        <f t="shared" si="7"/>
        <v>0</v>
      </c>
      <c r="J27" s="866">
        <f t="shared" si="7"/>
        <v>0</v>
      </c>
      <c r="K27" s="866">
        <f t="shared" si="7"/>
        <v>0</v>
      </c>
      <c r="L27" s="866">
        <f t="shared" si="7"/>
        <v>0</v>
      </c>
      <c r="M27" s="866">
        <f t="shared" si="7"/>
        <v>0</v>
      </c>
      <c r="N27" s="866">
        <f t="shared" si="7"/>
        <v>0</v>
      </c>
      <c r="O27" s="866">
        <f t="shared" si="7"/>
        <v>0</v>
      </c>
      <c r="P27" s="866">
        <f t="shared" si="7"/>
        <v>0</v>
      </c>
      <c r="Q27" s="866">
        <f t="shared" si="7"/>
        <v>0</v>
      </c>
      <c r="R27" s="866"/>
      <c r="S27" s="866"/>
      <c r="T27" s="866">
        <f t="shared" si="7"/>
        <v>0</v>
      </c>
      <c r="U27" s="866">
        <f t="shared" si="7"/>
        <v>0</v>
      </c>
      <c r="V27" s="867"/>
      <c r="W27" s="1055">
        <f t="shared" ref="W27:W33" si="8">U27-V27</f>
        <v>0</v>
      </c>
    </row>
    <row r="28" spans="1:23" ht="16.2" hidden="1" thickBot="1" x14ac:dyDescent="0.35">
      <c r="A28" s="868" t="s">
        <v>4252</v>
      </c>
      <c r="B28" s="869"/>
      <c r="C28" s="854" t="s">
        <v>4254</v>
      </c>
      <c r="D28" s="854" t="s">
        <v>4255</v>
      </c>
      <c r="E28" s="870"/>
      <c r="F28" s="870"/>
      <c r="G28" s="870"/>
      <c r="H28" s="870"/>
      <c r="I28" s="870"/>
      <c r="J28" s="870"/>
      <c r="K28" s="870"/>
      <c r="L28" s="870"/>
      <c r="M28" s="870"/>
      <c r="N28" s="870"/>
      <c r="O28" s="870"/>
      <c r="P28" s="870"/>
      <c r="Q28" s="870"/>
      <c r="R28" s="870"/>
      <c r="S28" s="870"/>
      <c r="T28" s="870"/>
      <c r="U28" s="870"/>
      <c r="V28" s="871"/>
      <c r="W28" s="1055">
        <f t="shared" si="8"/>
        <v>0</v>
      </c>
    </row>
    <row r="29" spans="1:23" ht="16.2" hidden="1" thickBot="1" x14ac:dyDescent="0.35">
      <c r="A29" s="862" t="s">
        <v>4252</v>
      </c>
      <c r="B29" s="863"/>
      <c r="C29" s="857" t="s">
        <v>4256</v>
      </c>
      <c r="D29" s="857" t="s">
        <v>4257</v>
      </c>
      <c r="E29" s="864"/>
      <c r="F29" s="864"/>
      <c r="G29" s="864"/>
      <c r="H29" s="864"/>
      <c r="I29" s="864"/>
      <c r="J29" s="864"/>
      <c r="K29" s="864"/>
      <c r="L29" s="864"/>
      <c r="M29" s="864"/>
      <c r="N29" s="864"/>
      <c r="O29" s="864"/>
      <c r="P29" s="864"/>
      <c r="Q29" s="864"/>
      <c r="R29" s="864"/>
      <c r="S29" s="864"/>
      <c r="T29" s="864"/>
      <c r="U29" s="864"/>
      <c r="V29" s="865"/>
      <c r="W29" s="1055">
        <f t="shared" si="8"/>
        <v>0</v>
      </c>
    </row>
    <row r="30" spans="1:23" ht="16.2" hidden="1" thickBot="1" x14ac:dyDescent="0.35">
      <c r="A30" s="862" t="s">
        <v>4252</v>
      </c>
      <c r="B30" s="863"/>
      <c r="C30" s="857" t="s">
        <v>4258</v>
      </c>
      <c r="D30" s="857" t="s">
        <v>4255</v>
      </c>
      <c r="E30" s="864"/>
      <c r="F30" s="864"/>
      <c r="G30" s="864"/>
      <c r="H30" s="864"/>
      <c r="I30" s="864"/>
      <c r="J30" s="864"/>
      <c r="K30" s="864"/>
      <c r="L30" s="864"/>
      <c r="M30" s="864"/>
      <c r="N30" s="864"/>
      <c r="O30" s="864"/>
      <c r="P30" s="864"/>
      <c r="Q30" s="864"/>
      <c r="R30" s="864"/>
      <c r="S30" s="864"/>
      <c r="T30" s="864"/>
      <c r="U30" s="864"/>
      <c r="V30" s="865"/>
      <c r="W30" s="1055">
        <f t="shared" si="8"/>
        <v>0</v>
      </c>
    </row>
    <row r="31" spans="1:23" ht="16.2" hidden="1" thickBot="1" x14ac:dyDescent="0.35">
      <c r="A31" s="973" t="s">
        <v>4252</v>
      </c>
      <c r="B31" s="974"/>
      <c r="C31" s="958"/>
      <c r="D31" s="958"/>
      <c r="E31" s="877"/>
      <c r="F31" s="877"/>
      <c r="G31" s="877"/>
      <c r="H31" s="877"/>
      <c r="I31" s="877"/>
      <c r="J31" s="877"/>
      <c r="K31" s="877"/>
      <c r="L31" s="877"/>
      <c r="M31" s="877"/>
      <c r="N31" s="877"/>
      <c r="O31" s="877"/>
      <c r="P31" s="877"/>
      <c r="Q31" s="877"/>
      <c r="R31" s="877"/>
      <c r="S31" s="877"/>
      <c r="T31" s="877"/>
      <c r="U31" s="877"/>
      <c r="V31" s="878"/>
      <c r="W31" s="1055">
        <f t="shared" si="8"/>
        <v>0</v>
      </c>
    </row>
    <row r="32" spans="1:23" ht="16.2" customHeight="1" thickBot="1" x14ac:dyDescent="0.35">
      <c r="A32" s="1135" t="s">
        <v>4259</v>
      </c>
      <c r="B32" s="1136"/>
      <c r="C32" s="1136"/>
      <c r="D32" s="1137"/>
      <c r="E32" s="972">
        <f>+E33</f>
        <v>7226044.9024659535</v>
      </c>
      <c r="F32" s="957">
        <f t="shared" ref="F32:U32" si="9">+F33</f>
        <v>0</v>
      </c>
      <c r="G32" s="875">
        <f t="shared" si="9"/>
        <v>0</v>
      </c>
      <c r="H32" s="875">
        <f t="shared" si="9"/>
        <v>0</v>
      </c>
      <c r="I32" s="875">
        <f t="shared" si="9"/>
        <v>0</v>
      </c>
      <c r="J32" s="875">
        <f t="shared" si="9"/>
        <v>0</v>
      </c>
      <c r="K32" s="875">
        <f t="shared" si="9"/>
        <v>0</v>
      </c>
      <c r="L32" s="875">
        <f t="shared" si="9"/>
        <v>0</v>
      </c>
      <c r="M32" s="875">
        <f t="shared" si="9"/>
        <v>0</v>
      </c>
      <c r="N32" s="875">
        <f t="shared" si="9"/>
        <v>0</v>
      </c>
      <c r="O32" s="875">
        <f t="shared" si="9"/>
        <v>0</v>
      </c>
      <c r="P32" s="875">
        <f t="shared" si="9"/>
        <v>0</v>
      </c>
      <c r="Q32" s="875">
        <f t="shared" si="9"/>
        <v>0</v>
      </c>
      <c r="R32" s="875"/>
      <c r="S32" s="875"/>
      <c r="T32" s="875">
        <f t="shared" si="9"/>
        <v>0</v>
      </c>
      <c r="U32" s="879">
        <f t="shared" si="9"/>
        <v>8180485</v>
      </c>
      <c r="V32" s="876"/>
      <c r="W32" s="881">
        <f t="shared" si="8"/>
        <v>8180485</v>
      </c>
    </row>
    <row r="33" spans="1:23" ht="16.2" thickBot="1" x14ac:dyDescent="0.35">
      <c r="A33" s="976" t="s">
        <v>4367</v>
      </c>
      <c r="B33" s="977"/>
      <c r="C33" s="978" t="s">
        <v>4260</v>
      </c>
      <c r="D33" s="979" t="s">
        <v>4261</v>
      </c>
      <c r="E33" s="981">
        <f>8180485/((1.13*0.916666666666667)+(1.155/12))</f>
        <v>7226044.9024659535</v>
      </c>
      <c r="F33" s="930"/>
      <c r="G33" s="930"/>
      <c r="H33" s="930"/>
      <c r="I33" s="930"/>
      <c r="J33" s="930"/>
      <c r="K33" s="930"/>
      <c r="L33" s="930"/>
      <c r="M33" s="930"/>
      <c r="N33" s="930"/>
      <c r="O33" s="930"/>
      <c r="P33" s="930"/>
      <c r="Q33" s="930"/>
      <c r="R33" s="859">
        <f>8180485-E33</f>
        <v>954440.09753404651</v>
      </c>
      <c r="S33" s="930"/>
      <c r="T33" s="930"/>
      <c r="U33" s="859">
        <f>+R33+E33</f>
        <v>8180485</v>
      </c>
      <c r="V33" s="931"/>
      <c r="W33" s="1055">
        <f t="shared" si="8"/>
        <v>8180485</v>
      </c>
    </row>
    <row r="34" spans="1:23" ht="16.2" thickBot="1" x14ac:dyDescent="0.35">
      <c r="A34" s="1146" t="s">
        <v>4262</v>
      </c>
      <c r="B34" s="1147"/>
      <c r="C34" s="1147"/>
      <c r="D34" s="1148"/>
      <c r="E34" s="972">
        <f>SUM(E35:E37)</f>
        <v>3840520</v>
      </c>
      <c r="F34" s="956">
        <f t="shared" ref="F34:W34" si="10">SUM(F35:F37)</f>
        <v>0</v>
      </c>
      <c r="G34" s="879">
        <f t="shared" si="10"/>
        <v>0</v>
      </c>
      <c r="H34" s="879">
        <f t="shared" si="10"/>
        <v>0</v>
      </c>
      <c r="I34" s="879">
        <f t="shared" si="10"/>
        <v>0</v>
      </c>
      <c r="J34" s="879">
        <f t="shared" si="10"/>
        <v>0</v>
      </c>
      <c r="K34" s="879">
        <f t="shared" si="10"/>
        <v>0</v>
      </c>
      <c r="L34" s="879">
        <f t="shared" si="10"/>
        <v>0</v>
      </c>
      <c r="M34" s="879">
        <f t="shared" si="10"/>
        <v>0</v>
      </c>
      <c r="N34" s="879">
        <f t="shared" si="10"/>
        <v>0</v>
      </c>
      <c r="O34" s="879">
        <f t="shared" si="10"/>
        <v>0</v>
      </c>
      <c r="P34" s="879">
        <f t="shared" si="10"/>
        <v>0</v>
      </c>
      <c r="Q34" s="879">
        <f t="shared" si="10"/>
        <v>3840520</v>
      </c>
      <c r="R34" s="879">
        <f t="shared" si="10"/>
        <v>595280.6</v>
      </c>
      <c r="S34" s="879"/>
      <c r="T34" s="879">
        <f t="shared" si="10"/>
        <v>0</v>
      </c>
      <c r="U34" s="879">
        <f t="shared" si="10"/>
        <v>4435800.5999999996</v>
      </c>
      <c r="V34" s="880"/>
      <c r="W34" s="881">
        <f t="shared" si="10"/>
        <v>4435800.5999999996</v>
      </c>
    </row>
    <row r="35" spans="1:23" x14ac:dyDescent="0.3">
      <c r="A35" s="991" t="s">
        <v>3605</v>
      </c>
      <c r="B35" s="982" t="s">
        <v>3687</v>
      </c>
      <c r="C35" s="983" t="s">
        <v>4263</v>
      </c>
      <c r="D35" s="966" t="s">
        <v>4257</v>
      </c>
      <c r="E35" s="970">
        <v>2164360</v>
      </c>
      <c r="F35" s="855"/>
      <c r="G35" s="855"/>
      <c r="H35" s="855"/>
      <c r="I35" s="855"/>
      <c r="J35" s="855"/>
      <c r="K35" s="855"/>
      <c r="L35" s="855"/>
      <c r="M35" s="855"/>
      <c r="N35" s="855"/>
      <c r="O35" s="855"/>
      <c r="P35" s="855"/>
      <c r="Q35" s="882">
        <f>SUM(E35:P35)</f>
        <v>2164360</v>
      </c>
      <c r="R35" s="882">
        <f>+E35*0.155</f>
        <v>335475.8</v>
      </c>
      <c r="S35" s="882"/>
      <c r="T35" s="882"/>
      <c r="U35" s="882">
        <f>+Q35+R35</f>
        <v>2499835.7999999998</v>
      </c>
      <c r="V35" s="883"/>
      <c r="W35" s="1051">
        <f>+U35</f>
        <v>2499835.7999999998</v>
      </c>
    </row>
    <row r="36" spans="1:23" x14ac:dyDescent="0.3">
      <c r="A36" s="992" t="s">
        <v>4266</v>
      </c>
      <c r="B36" s="980" t="s">
        <v>3687</v>
      </c>
      <c r="C36" s="857" t="s">
        <v>4264</v>
      </c>
      <c r="D36" s="967" t="s">
        <v>4257</v>
      </c>
      <c r="E36" s="960">
        <v>1431160</v>
      </c>
      <c r="F36" s="856"/>
      <c r="G36" s="856"/>
      <c r="H36" s="856"/>
      <c r="I36" s="856"/>
      <c r="J36" s="856"/>
      <c r="K36" s="856"/>
      <c r="L36" s="856"/>
      <c r="M36" s="856"/>
      <c r="N36" s="856"/>
      <c r="O36" s="856"/>
      <c r="P36" s="856"/>
      <c r="Q36" s="882">
        <f>SUM(E36:P36)</f>
        <v>1431160</v>
      </c>
      <c r="R36" s="882">
        <f>+E36*0.155</f>
        <v>221829.8</v>
      </c>
      <c r="S36" s="860"/>
      <c r="T36" s="882"/>
      <c r="U36" s="882">
        <f>+Q36+R36</f>
        <v>1652989.8</v>
      </c>
      <c r="V36" s="858"/>
      <c r="W36" s="1051">
        <f>+U36</f>
        <v>1652989.8</v>
      </c>
    </row>
    <row r="37" spans="1:23" ht="16.2" thickBot="1" x14ac:dyDescent="0.35">
      <c r="A37" s="993" t="s">
        <v>4267</v>
      </c>
      <c r="B37" s="984" t="s">
        <v>3687</v>
      </c>
      <c r="C37" s="975" t="s">
        <v>4265</v>
      </c>
      <c r="D37" s="969" t="s">
        <v>4257</v>
      </c>
      <c r="E37" s="962">
        <v>245000</v>
      </c>
      <c r="F37" s="954"/>
      <c r="G37" s="954"/>
      <c r="H37" s="954"/>
      <c r="I37" s="954"/>
      <c r="J37" s="954"/>
      <c r="K37" s="954"/>
      <c r="L37" s="954"/>
      <c r="M37" s="954"/>
      <c r="N37" s="954"/>
      <c r="O37" s="954"/>
      <c r="P37" s="954"/>
      <c r="Q37" s="985">
        <f>SUM(E37:P37)</f>
        <v>245000</v>
      </c>
      <c r="R37" s="985">
        <f>+E37*0.155</f>
        <v>37975</v>
      </c>
      <c r="S37" s="986"/>
      <c r="T37" s="985"/>
      <c r="U37" s="985">
        <f>+Q37+R37</f>
        <v>282975</v>
      </c>
      <c r="V37" s="955"/>
      <c r="W37" s="1052">
        <f>+U37</f>
        <v>282975</v>
      </c>
    </row>
    <row r="38" spans="1:23" ht="15.75" customHeight="1" thickBot="1" x14ac:dyDescent="0.35">
      <c r="A38" s="1141" t="s">
        <v>4368</v>
      </c>
      <c r="B38" s="1142"/>
      <c r="C38" s="1142"/>
      <c r="D38" s="887"/>
      <c r="E38" s="987">
        <f t="shared" ref="E38:R38" si="11">+E4+E24+E27+E32+E34</f>
        <v>485948211.90246594</v>
      </c>
      <c r="F38" s="988">
        <f t="shared" si="11"/>
        <v>0</v>
      </c>
      <c r="G38" s="989">
        <f t="shared" si="11"/>
        <v>5567160</v>
      </c>
      <c r="H38" s="989">
        <f t="shared" si="11"/>
        <v>7440000</v>
      </c>
      <c r="I38" s="989">
        <f t="shared" si="11"/>
        <v>1358150</v>
      </c>
      <c r="J38" s="989">
        <f t="shared" si="11"/>
        <v>6528100</v>
      </c>
      <c r="K38" s="989">
        <f t="shared" si="11"/>
        <v>13478878</v>
      </c>
      <c r="L38" s="989">
        <f t="shared" si="11"/>
        <v>0</v>
      </c>
      <c r="M38" s="989">
        <f t="shared" si="11"/>
        <v>0</v>
      </c>
      <c r="N38" s="989">
        <f t="shared" si="11"/>
        <v>8645000</v>
      </c>
      <c r="O38" s="989">
        <f t="shared" si="11"/>
        <v>0</v>
      </c>
      <c r="P38" s="989">
        <f t="shared" si="11"/>
        <v>6720000</v>
      </c>
      <c r="Q38" s="989">
        <f t="shared" si="11"/>
        <v>528459455</v>
      </c>
      <c r="R38" s="989">
        <f t="shared" si="11"/>
        <v>68497929.069999993</v>
      </c>
      <c r="S38" s="989"/>
      <c r="T38" s="989">
        <f>+T4+T24+T27+T32+T34</f>
        <v>77982648.469999999</v>
      </c>
      <c r="U38" s="989">
        <f>+U4+U24+U27+U32+U34</f>
        <v>615217869.07000005</v>
      </c>
      <c r="V38" s="989"/>
      <c r="W38" s="990">
        <f>+W4+W24+W27+W32+W34</f>
        <v>615217869.07000005</v>
      </c>
    </row>
  </sheetData>
  <mergeCells count="26">
    <mergeCell ref="O2:O3"/>
    <mergeCell ref="P2:P3"/>
    <mergeCell ref="U2:U3"/>
    <mergeCell ref="V2:V3"/>
    <mergeCell ref="W2:W3"/>
    <mergeCell ref="Q2:Q3"/>
    <mergeCell ref="R2:R3"/>
    <mergeCell ref="S2:S3"/>
    <mergeCell ref="T2:T3"/>
    <mergeCell ref="L2:L3"/>
    <mergeCell ref="M2:M3"/>
    <mergeCell ref="N2:N3"/>
    <mergeCell ref="J2:J3"/>
    <mergeCell ref="E2:E3"/>
    <mergeCell ref="F2:F3"/>
    <mergeCell ref="G2:G3"/>
    <mergeCell ref="H2:H3"/>
    <mergeCell ref="I2:I3"/>
    <mergeCell ref="K2:K3"/>
    <mergeCell ref="A24:D24"/>
    <mergeCell ref="A4:D4"/>
    <mergeCell ref="A27:D27"/>
    <mergeCell ref="A38:C38"/>
    <mergeCell ref="A2:C2"/>
    <mergeCell ref="A34:D34"/>
    <mergeCell ref="A32:D32"/>
  </mergeCells>
  <pageMargins left="0.70866141732283472" right="0.70866141732283472" top="0.74803149606299213" bottom="0.74803149606299213" header="0.31496062992125984" footer="0.31496062992125984"/>
  <pageSetup paperSize="8" scale="6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38</vt:i4>
      </vt:variant>
      <vt:variant>
        <vt:lpstr>Névvel ellátott tartományok</vt:lpstr>
      </vt:variant>
      <vt:variant>
        <vt:i4>2</vt:i4>
      </vt:variant>
    </vt:vector>
  </HeadingPairs>
  <TitlesOfParts>
    <vt:vector size="40" baseType="lpstr">
      <vt:lpstr>SAP rögzítés</vt:lpstr>
      <vt:lpstr>1 kari főtábla</vt:lpstr>
      <vt:lpstr>1 b felosztások</vt:lpstr>
      <vt:lpstr>2 források és kiadások</vt:lpstr>
      <vt:lpstr>3a bevételek</vt:lpstr>
      <vt:lpstr>3b képzési bevételek</vt:lpstr>
      <vt:lpstr>4. melléklet</vt:lpstr>
      <vt:lpstr>5. melléklet</vt:lpstr>
      <vt:lpstr>6. melléklet</vt:lpstr>
      <vt:lpstr>7. melléklet</vt:lpstr>
      <vt:lpstr>8 pályázat elszámolásköteles</vt:lpstr>
      <vt:lpstr>Bevétel 2a SZH 2022</vt:lpstr>
      <vt:lpstr>Kiadások 2a SZH 2022</vt:lpstr>
      <vt:lpstr>22.b2</vt:lpstr>
      <vt:lpstr>22.b3</vt:lpstr>
      <vt:lpstr>14.b</vt:lpstr>
      <vt:lpstr>14.c</vt:lpstr>
      <vt:lpstr>10.</vt:lpstr>
      <vt:lpstr>3.a</vt:lpstr>
      <vt:lpstr>3.a SH itt lévő-nem lévő bontás</vt:lpstr>
      <vt:lpstr>Munka4</vt:lpstr>
      <vt:lpstr>Neptun sz.e.</vt:lpstr>
      <vt:lpstr>Tervezés</vt:lpstr>
      <vt:lpstr>7.</vt:lpstr>
      <vt:lpstr>7d űrlapsoros tervezéshez</vt:lpstr>
      <vt:lpstr>12.</vt:lpstr>
      <vt:lpstr>12.c - folyórat</vt:lpstr>
      <vt:lpstr>12.c- EISZ</vt:lpstr>
      <vt:lpstr>20.</vt:lpstr>
      <vt:lpstr>Munka2</vt:lpstr>
      <vt:lpstr>16</vt:lpstr>
      <vt:lpstr>11.</vt:lpstr>
      <vt:lpstr>2022. tervsor</vt:lpstr>
      <vt:lpstr>Bevétel 2a 2022</vt:lpstr>
      <vt:lpstr>Kiadások 2a 2022</vt:lpstr>
      <vt:lpstr>19.</vt:lpstr>
      <vt:lpstr>2a</vt:lpstr>
      <vt:lpstr>hallgatói létszámanalitika_NP_</vt:lpstr>
      <vt:lpstr>'7d űrlapsoros tervezéshez'!Nyomtatási_cím</vt:lpstr>
      <vt:lpstr>'8 pályázat elszámolásköteles'!Nyomtatási_cím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ELTE-User</dc:creator>
  <cp:lastModifiedBy>Erdei Zsuzsa</cp:lastModifiedBy>
  <cp:lastPrinted>2022-05-01T07:27:47Z</cp:lastPrinted>
  <dcterms:created xsi:type="dcterms:W3CDTF">2021-03-01T12:09:29Z</dcterms:created>
  <dcterms:modified xsi:type="dcterms:W3CDTF">2022-05-27T05:06:05Z</dcterms:modified>
</cp:coreProperties>
</file>